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EE104FA-AD8F-474F-BCBB-2B16F6A617B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'MS-25'!$A$1:$H$171</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96" i="1" l="1"/>
  <c r="J473" i="1"/>
  <c r="J469" i="1"/>
  <c r="F9" i="1"/>
  <c r="H137" i="2" l="1"/>
  <c r="H139"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5" i="2"/>
  <c r="H136" i="2"/>
  <c r="H143" i="2"/>
  <c r="H132" i="2"/>
  <c r="H131" i="2"/>
  <c r="H97" i="2"/>
  <c r="H98" i="2"/>
  <c r="H100" i="2"/>
  <c r="H101" i="2"/>
  <c r="H102" i="2"/>
  <c r="H94" i="2"/>
  <c r="H93" i="2"/>
  <c r="H90" i="2"/>
  <c r="H87" i="2"/>
  <c r="H85" i="2"/>
  <c r="H73" i="2"/>
  <c r="H74" i="2"/>
  <c r="H79" i="2"/>
  <c r="H80" i="2"/>
  <c r="H72" i="2"/>
  <c r="H48" i="2"/>
  <c r="H40" i="2"/>
  <c r="H9" i="2"/>
  <c r="H10" i="2"/>
  <c r="H14"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F47" i="2"/>
  <c r="E47" i="2"/>
  <c r="D47" i="2"/>
  <c r="C47" i="2"/>
  <c r="F44" i="2"/>
  <c r="E44" i="2"/>
  <c r="D44" i="2"/>
  <c r="C44" i="2"/>
  <c r="H44" i="2" s="1"/>
  <c r="F43" i="2"/>
  <c r="E43" i="2"/>
  <c r="D43" i="2"/>
  <c r="C43" i="2"/>
  <c r="H43" i="2" s="1"/>
  <c r="F42" i="2"/>
  <c r="E42" i="2"/>
  <c r="D42" i="2"/>
  <c r="C42" i="2"/>
  <c r="H42" i="2" s="1"/>
  <c r="F38" i="2"/>
  <c r="E38" i="2"/>
  <c r="D38" i="2"/>
  <c r="C38" i="2"/>
  <c r="F36" i="2"/>
  <c r="E36" i="2"/>
  <c r="D36" i="2"/>
  <c r="C36" i="2"/>
  <c r="I456" i="1"/>
  <c r="J45" i="1" s="1"/>
  <c r="G44" i="2" s="1"/>
  <c r="I459" i="1"/>
  <c r="J39" i="1" s="1"/>
  <c r="G38" i="2" s="1"/>
  <c r="H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C112" i="2" s="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M2" i="14" s="1"/>
  <c r="M3" i="14" s="1"/>
  <c r="L284" i="1"/>
  <c r="L285" i="1"/>
  <c r="L286" i="1"/>
  <c r="L287" i="1"/>
  <c r="L288" i="1"/>
  <c r="L289" i="1"/>
  <c r="L296" i="1"/>
  <c r="L297" i="1"/>
  <c r="L298" i="1"/>
  <c r="L299" i="1"/>
  <c r="L301" i="1"/>
  <c r="L302" i="1"/>
  <c r="L303" i="1"/>
  <c r="L304" i="1"/>
  <c r="L305" i="1"/>
  <c r="L306" i="1"/>
  <c r="L307" i="1"/>
  <c r="G663" i="1" s="1"/>
  <c r="L308" i="1"/>
  <c r="L315" i="1"/>
  <c r="L316" i="1"/>
  <c r="L317" i="1"/>
  <c r="L318" i="1"/>
  <c r="E112" i="2" s="1"/>
  <c r="L320" i="1"/>
  <c r="L321" i="1"/>
  <c r="L322" i="1"/>
  <c r="E120" i="2" s="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C58" i="2" s="1"/>
  <c r="H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H15" i="2" s="1"/>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H24" i="2" s="1"/>
  <c r="C25" i="2"/>
  <c r="F25" i="2"/>
  <c r="H25" i="2" s="1"/>
  <c r="C26" i="2"/>
  <c r="F26" i="2"/>
  <c r="H26" i="2" s="1"/>
  <c r="C27" i="2"/>
  <c r="D27" i="2"/>
  <c r="E27" i="2"/>
  <c r="F27" i="2"/>
  <c r="C28" i="2"/>
  <c r="D28" i="2"/>
  <c r="E28" i="2"/>
  <c r="F28" i="2"/>
  <c r="H28" i="2" s="1"/>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H36" i="2" s="1"/>
  <c r="I460" i="1"/>
  <c r="J48" i="1" s="1"/>
  <c r="G47" i="2" s="1"/>
  <c r="H47" i="2" s="1"/>
  <c r="C49" i="2"/>
  <c r="H49" i="2" s="1"/>
  <c r="F56"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H99" i="2" s="1"/>
  <c r="C100" i="2"/>
  <c r="D100" i="2"/>
  <c r="E100" i="2"/>
  <c r="F100" i="2"/>
  <c r="C101" i="2"/>
  <c r="D101" i="2"/>
  <c r="E101" i="2"/>
  <c r="F101" i="2"/>
  <c r="C102" i="2"/>
  <c r="D102" i="2"/>
  <c r="E102" i="2"/>
  <c r="F102" i="2"/>
  <c r="C110" i="2"/>
  <c r="E111" i="2"/>
  <c r="D115" i="2"/>
  <c r="F115" i="2"/>
  <c r="G11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H653" i="1"/>
  <c r="G654" i="1"/>
  <c r="H654" i="1"/>
  <c r="H655" i="1"/>
  <c r="H656" i="1"/>
  <c r="I170" i="1"/>
  <c r="I409" i="1" l="1"/>
  <c r="H11" i="2"/>
  <c r="J652" i="1"/>
  <c r="G646" i="1"/>
  <c r="C119" i="2"/>
  <c r="E13" i="13"/>
  <c r="C13" i="13" s="1"/>
  <c r="H113" i="2"/>
  <c r="D15" i="13"/>
  <c r="C15" i="13" s="1"/>
  <c r="C121" i="2"/>
  <c r="C120" i="2"/>
  <c r="H120" i="2" s="1"/>
  <c r="H112" i="2"/>
  <c r="H111" i="2"/>
  <c r="H59" i="2"/>
  <c r="H30" i="2"/>
  <c r="H27" i="2"/>
  <c r="H22" i="2"/>
  <c r="H477" i="1"/>
  <c r="H625" i="1" s="1"/>
  <c r="E125" i="2"/>
  <c r="H125" i="2" s="1"/>
  <c r="C13" i="10"/>
  <c r="L2" i="14"/>
  <c r="L3" i="14" s="1"/>
  <c r="E124" i="2"/>
  <c r="A40" i="12"/>
  <c r="K2" i="14"/>
  <c r="K3" i="14" s="1"/>
  <c r="E121" i="2"/>
  <c r="N2" i="14"/>
  <c r="N3" i="14" s="1"/>
  <c r="C12" i="10"/>
  <c r="H89" i="2"/>
  <c r="H61" i="2"/>
  <c r="H8" i="2"/>
  <c r="H23" i="2"/>
  <c r="H29" i="2"/>
  <c r="H12" i="2"/>
  <c r="H13" i="2"/>
  <c r="G477" i="1"/>
  <c r="D29" i="13"/>
  <c r="C29" i="13" s="1"/>
  <c r="G662" i="1"/>
  <c r="D78" i="2"/>
  <c r="H77" i="2"/>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H103" i="2" s="1"/>
  <c r="C103" i="2"/>
  <c r="F91" i="2"/>
  <c r="E50" i="2"/>
  <c r="C50" i="2"/>
  <c r="F31" i="2"/>
  <c r="C31" i="2"/>
  <c r="E18" i="2"/>
  <c r="E144" i="2"/>
  <c r="F50" i="2"/>
  <c r="C24" i="10"/>
  <c r="H31" i="13"/>
  <c r="H33" i="13" s="1"/>
  <c r="I339" i="1"/>
  <c r="I353" i="1" s="1"/>
  <c r="J651" i="1"/>
  <c r="L408" i="1"/>
  <c r="C140" i="2" s="1"/>
  <c r="H140" i="2" s="1"/>
  <c r="I193" i="1"/>
  <c r="J655" i="1"/>
  <c r="J654" i="1"/>
  <c r="G21" i="2"/>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14" i="2"/>
  <c r="H121" i="2"/>
  <c r="H124" i="2"/>
  <c r="H123" i="2"/>
  <c r="H122" i="2"/>
  <c r="C81" i="2"/>
  <c r="H81" i="2" s="1"/>
  <c r="F194" i="1"/>
  <c r="G628" i="1" s="1"/>
  <c r="J628" i="1" s="1"/>
  <c r="E128" i="2"/>
  <c r="H118" i="2"/>
  <c r="H78" i="2"/>
  <c r="E51" i="2"/>
  <c r="G31" i="2"/>
  <c r="G51" i="2" s="1"/>
  <c r="H21" i="2"/>
  <c r="H50" i="2"/>
  <c r="G144" i="2"/>
  <c r="G145" i="2" s="1"/>
  <c r="H134" i="2"/>
  <c r="H91" i="2"/>
  <c r="H18" i="2"/>
  <c r="I662" i="1"/>
  <c r="D128" i="2"/>
  <c r="H127" i="2"/>
  <c r="D63" i="2"/>
  <c r="H62" i="2"/>
  <c r="D5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63" i="2"/>
  <c r="H31" i="2"/>
  <c r="H51" i="2"/>
  <c r="C144" i="2"/>
  <c r="H144" i="2" s="1"/>
  <c r="H141" i="2"/>
  <c r="D145"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<sst xmlns="http://schemas.openxmlformats.org/spreadsheetml/2006/main" count="6566" uniqueCount="1814">
  <si>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</si>
  <si>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</si>
  <si>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</si>
  <si>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</si>
  <si>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</si>
  <si>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</si>
  <si>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</si>
  <si>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</si>
  <si>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</si>
  <si>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</si>
  <si>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</si>
  <si>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</si>
  <si>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</si>
  <si>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</si>
  <si>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</si>
  <si>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</si>
  <si>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</si>
  <si>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</si>
  <si>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</si>
  <si>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</si>
  <si>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</si>
  <si>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</si>
  <si>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</si>
  <si>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</si>
  <si>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</si>
  <si>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</si>
  <si>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</si>
  <si>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</si>
  <si>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</si>
  <si>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</si>
  <si>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</si>
  <si>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</si>
  <si>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</si>
  <si>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</si>
  <si>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</si>
  <si>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</si>
  <si>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</si>
  <si>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</si>
  <si>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</si>
  <si>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</si>
  <si>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</si>
  <si>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</si>
  <si>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</si>
  <si>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</si>
  <si>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</si>
  <si>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</si>
  <si>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</si>
  <si>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</si>
  <si>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</si>
  <si>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</si>
  <si>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</si>
  <si>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</si>
  <si>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</si>
  <si>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</si>
  <si>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</si>
  <si>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</si>
  <si>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</si>
  <si>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</si>
  <si>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</si>
  <si>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</si>
  <si>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</si>
  <si>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</si>
  <si>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</si>
  <si>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</si>
  <si>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</si>
  <si>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</si>
  <si>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</si>
  <si>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</si>
  <si>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</si>
  <si>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</si>
  <si>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</si>
  <si>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</si>
  <si>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</si>
  <si>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</si>
  <si>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</si>
  <si>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</si>
  <si>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</si>
  <si>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</si>
  <si>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</si>
  <si>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</si>
  <si>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</si>
  <si>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</si>
  <si>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</si>
  <si>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</si>
  <si>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</si>
  <si>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</si>
  <si>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</si>
  <si>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</si>
  <si>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</si>
  <si>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</si>
  <si>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</si>
  <si>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</si>
  <si>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</si>
  <si>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</si>
  <si>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</si>
  <si>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</si>
  <si>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</si>
  <si>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</si>
  <si>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</si>
  <si>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</si>
  <si>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</si>
  <si>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</si>
  <si>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</si>
  <si>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</si>
  <si>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</si>
  <si>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</si>
  <si>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</si>
  <si>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</si>
  <si>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</si>
  <si>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</si>
  <si>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</si>
  <si>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</si>
  <si>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</si>
  <si>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</si>
  <si>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</si>
  <si>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</si>
  <si>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</si>
  <si>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</si>
  <si>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</si>
  <si>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</si>
  <si>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</si>
  <si>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</si>
  <si>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</si>
  <si>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</si>
  <si>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</si>
  <si>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</si>
  <si>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</si>
  <si>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</si>
  <si>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</si>
  <si>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</si>
  <si>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</si>
  <si>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</si>
  <si>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</si>
  <si>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</si>
  <si>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</si>
  <si>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</si>
  <si>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</si>
  <si>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</si>
  <si>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</si>
  <si>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</si>
  <si>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</si>
  <si>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</si>
  <si>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</si>
  <si>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</si>
  <si>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</si>
  <si>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</si>
  <si>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</si>
  <si>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</si>
  <si>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</si>
  <si>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</si>
  <si>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</si>
  <si>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</si>
  <si>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</si>
  <si>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</si>
  <si>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</si>
  <si>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</si>
  <si>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</si>
  <si>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</si>
  <si>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</si>
  <si>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</si>
  <si>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</si>
  <si>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</si>
  <si>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</si>
  <si>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</si>
  <si>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</si>
  <si>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</si>
  <si>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</si>
  <si>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</si>
  <si>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</si>
  <si>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</si>
  <si>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</si>
  <si>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</si>
  <si>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</si>
  <si>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</si>
  <si>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</si>
  <si>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</si>
  <si>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</si>
  <si>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</si>
  <si>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</si>
  <si>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</si>
  <si>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</si>
  <si>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</si>
  <si>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</si>
  <si>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</si>
  <si>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</si>
  <si>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</si>
  <si>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</si>
  <si>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</si>
  <si>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</si>
  <si>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</si>
  <si>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</si>
  <si>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</si>
  <si>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</si>
  <si>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</si>
  <si>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</si>
  <si>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</si>
  <si>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</si>
  <si>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</si>
  <si>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</si>
  <si>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</si>
  <si>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</si>
  <si>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</si>
  <si>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</si>
  <si>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</si>
  <si>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</si>
  <si>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</si>
  <si>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</si>
  <si>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</si>
  <si>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</si>
  <si>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</si>
  <si>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</si>
  <si>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</si>
  <si>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</si>
  <si>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</si>
  <si>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</si>
  <si>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</si>
  <si>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</si>
  <si>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</si>
  <si>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</si>
  <si>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</si>
  <si>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</si>
  <si>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</si>
  <si>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</si>
  <si>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</si>
  <si>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</si>
  <si>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</si>
  <si>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</si>
  <si>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</si>
  <si>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</si>
  <si>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</si>
  <si>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</si>
  <si>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</si>
  <si>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</si>
  <si>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</si>
  <si>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</si>
  <si>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</si>
  <si>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</si>
  <si>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</si>
  <si>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</si>
  <si>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</si>
  <si>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</si>
  <si>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</si>
  <si>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</si>
  <si>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</si>
  <si>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</si>
  <si>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</si>
  <si>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</si>
  <si>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</si>
  <si>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</si>
  <si>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</si>
  <si>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</si>
  <si>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</si>
  <si>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</si>
  <si>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</si>
  <si>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</si>
  <si>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</si>
  <si>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</si>
  <si>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</si>
  <si>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</si>
  <si>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</si>
  <si>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</si>
  <si>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</si>
  <si>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</si>
  <si>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</si>
  <si>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</si>
  <si>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</si>
  <si>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</si>
  <si>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</si>
  <si>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</si>
  <si>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</si>
  <si>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</si>
  <si>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</si>
  <si>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</si>
  <si>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</si>
  <si>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</si>
  <si>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</si>
  <si>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</si>
  <si>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</si>
  <si>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</si>
  <si>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</si>
  <si>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</si>
  <si>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</si>
  <si>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</si>
  <si>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</si>
  <si>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</si>
  <si>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</si>
  <si>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</si>
  <si>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</si>
  <si>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</si>
  <si>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</si>
  <si>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</si>
  <si>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</si>
  <si>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</si>
  <si>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</si>
  <si>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</si>
  <si>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</si>
  <si>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</si>
  <si>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</si>
  <si>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</si>
  <si>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</si>
  <si>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</si>
  <si>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</si>
  <si>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</si>
  <si>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</si>
  <si>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</si>
  <si>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</si>
  <si>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</si>
  <si>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</si>
  <si>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</si>
  <si>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</si>
  <si>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</si>
  <si>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</si>
  <si>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</si>
  <si>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</si>
  <si>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</si>
  <si>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</si>
  <si>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</si>
  <si>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</si>
  <si>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</si>
  <si>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</si>
  <si>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</si>
  <si>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</si>
  <si>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</si>
  <si>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</si>
  <si>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</si>
  <si>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</si>
  <si>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</si>
  <si>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</si>
  <si>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</si>
  <si>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</si>
  <si>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</si>
  <si>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</si>
  <si>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</si>
  <si>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</si>
  <si>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</si>
  <si>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</si>
  <si>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</si>
  <si>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</si>
  <si>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</si>
  <si>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</si>
  <si>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</si>
  <si>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</si>
  <si>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</si>
  <si>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</si>
  <si>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</si>
  <si>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</si>
  <si>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</si>
  <si>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</si>
  <si>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</si>
  <si>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</si>
  <si>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</si>
  <si>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</si>
  <si>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</si>
  <si>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</si>
  <si>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</si>
  <si>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</si>
  <si>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</si>
  <si>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</si>
  <si>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</si>
  <si>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</si>
  <si>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</si>
  <si>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</si>
  <si>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</si>
  <si>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</si>
  <si>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</si>
  <si>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</si>
  <si>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</si>
  <si>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</si>
  <si>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</si>
  <si>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</si>
  <si>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</si>
  <si>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</si>
  <si>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</si>
  <si>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</si>
  <si>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</si>
  <si>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</si>
  <si>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</si>
  <si>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</si>
  <si>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</si>
  <si>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</si>
  <si>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</si>
  <si>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</si>
  <si>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</si>
  <si>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</si>
  <si>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</si>
  <si>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</si>
  <si>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</si>
  <si>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</si>
  <si>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</si>
  <si>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</si>
  <si>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</si>
  <si>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</si>
  <si>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</si>
  <si>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</si>
  <si>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</si>
  <si>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</si>
  <si>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</si>
  <si>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</si>
  <si>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</si>
  <si>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</si>
  <si>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</si>
  <si>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</si>
  <si>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</si>
  <si>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</si>
  <si>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</si>
  <si>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</si>
  <si>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</si>
  <si>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</si>
  <si>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</si>
  <si>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</si>
  <si>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</si>
  <si>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</si>
  <si>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</si>
  <si>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</si>
  <si>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</si>
  <si>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</si>
  <si>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</si>
  <si>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</si>
  <si>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</si>
  <si>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</si>
  <si>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</si>
  <si>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</si>
  <si>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</si>
  <si>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</si>
  <si>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</si>
  <si>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</si>
  <si>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</si>
  <si>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</si>
  <si>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</si>
  <si>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</si>
  <si>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</si>
  <si>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</si>
  <si>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</si>
  <si>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</si>
  <si>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</si>
  <si>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</si>
  <si>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</si>
  <si>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</si>
  <si>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</si>
  <si>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</si>
  <si>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</si>
  <si>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</si>
  <si>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</si>
  <si>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</si>
  <si>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</si>
  <si>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</si>
  <si>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</si>
  <si>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</si>
  <si>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</si>
  <si>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</si>
  <si>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</si>
  <si>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</si>
  <si>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</si>
  <si>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</si>
  <si>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</si>
  <si>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</si>
  <si>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</si>
  <si>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</si>
  <si>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</si>
  <si>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</si>
  <si>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</si>
  <si>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</si>
  <si>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</si>
  <si>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</si>
  <si>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</si>
  <si>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</si>
  <si>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</si>
  <si>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</si>
  <si>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</si>
  <si>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</si>
  <si>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</si>
  <si>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</si>
  <si>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</si>
  <si>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</si>
  <si>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</si>
  <si>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</si>
  <si>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</si>
  <si>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</si>
  <si>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</si>
  <si>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</si>
  <si>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</si>
  <si>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</si>
  <si>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</si>
  <si>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</si>
  <si>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</si>
  <si>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</si>
  <si>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</si>
  <si>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</si>
  <si>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</si>
  <si>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</si>
  <si>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</si>
  <si>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</si>
  <si>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</si>
  <si>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</si>
  <si>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</si>
  <si>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</si>
  <si>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</si>
  <si>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</si>
  <si>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</si>
  <si>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</si>
  <si>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</si>
  <si>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</si>
  <si>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</si>
  <si>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</si>
  <si>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</si>
  <si>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</si>
  <si>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</si>
  <si>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</si>
  <si>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</si>
  <si>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</si>
  <si>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</si>
  <si>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</si>
  <si>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</si>
  <si>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</si>
  <si>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</si>
  <si>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</si>
  <si>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</si>
  <si>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</si>
  <si>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</si>
  <si>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</si>
  <si>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</si>
  <si>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</si>
  <si>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</si>
  <si>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</si>
  <si>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</si>
  <si>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</si>
  <si>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</si>
  <si>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</si>
  <si>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</si>
  <si>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</si>
  <si>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</si>
  <si>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</si>
  <si>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</si>
  <si>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</si>
  <si>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</si>
  <si>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</si>
  <si>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</si>
  <si>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</si>
  <si>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</si>
  <si>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</si>
  <si>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</si>
  <si>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</si>
  <si>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</si>
  <si>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</si>
  <si>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</si>
  <si>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</si>
  <si>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</si>
  <si>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</si>
  <si>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</si>
  <si>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</si>
  <si>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</si>
  <si>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</si>
  <si>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</si>
  <si>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</si>
  <si>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</si>
  <si>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</si>
  <si>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</si>
  <si>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</si>
  <si>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</si>
  <si>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</si>
  <si>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</si>
  <si>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</si>
  <si>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</si>
  <si>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</si>
  <si>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</si>
  <si>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</si>
  <si>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</si>
  <si>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</si>
  <si>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</si>
  <si>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</si>
  <si>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</si>
  <si>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</si>
  <si>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</si>
  <si>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</si>
  <si>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</si>
  <si>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</si>
  <si>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</si>
  <si>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</si>
  <si>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</si>
  <si>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</si>
  <si>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</si>
  <si>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</si>
  <si>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</si>
  <si>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</si>
  <si>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</si>
  <si>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</si>
  <si>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</si>
  <si>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</si>
  <si>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</si>
  <si>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</si>
  <si>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</si>
  <si>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</si>
  <si>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</si>
  <si>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</si>
  <si>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</si>
  <si>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</si>
  <si>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</si>
  <si>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</si>
  <si>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</si>
  <si>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</si>
  <si>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</si>
  <si>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</si>
  <si>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</si>
  <si>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</si>
  <si>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</si>
  <si>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</si>
  <si>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</si>
  <si>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</si>
  <si>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</si>
  <si>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</si>
  <si>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</si>
  <si>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</si>
  <si>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</si>
  <si>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</si>
  <si>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</si>
  <si>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</si>
  <si>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</si>
  <si>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</si>
  <si>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</si>
  <si>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</si>
  <si>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</si>
  <si>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</si>
  <si>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</si>
  <si>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</si>
  <si>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</si>
  <si>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</si>
  <si>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</si>
  <si>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</si>
  <si>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</si>
  <si>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</si>
  <si>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</si>
  <si>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</si>
  <si>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</si>
  <si>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</si>
  <si>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</si>
  <si>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</si>
  <si>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</si>
  <si>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</si>
  <si>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</si>
  <si>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</si>
  <si>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</si>
  <si>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</si>
  <si>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</si>
  <si>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</si>
  <si>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</si>
  <si>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</si>
  <si>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</si>
  <si>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</si>
  <si>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</si>
  <si>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</si>
  <si>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</si>
  <si>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</si>
  <si>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</si>
  <si>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</si>
  <si>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</si>
  <si>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</si>
  <si>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</si>
  <si>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</si>
  <si>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</si>
  <si>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</si>
  <si>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</si>
  <si>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</si>
  <si>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</si>
  <si>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</si>
  <si>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</si>
  <si>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</si>
  <si>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</si>
  <si>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</si>
  <si>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</si>
  <si>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</si>
  <si>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</si>
  <si>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</si>
  <si>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</si>
  <si>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</si>
  <si>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</si>
  <si>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</si>
  <si>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</si>
  <si>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</si>
  <si>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</si>
  <si>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</si>
  <si>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</si>
  <si>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</si>
  <si>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</si>
  <si>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</si>
  <si>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</si>
  <si>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</si>
  <si>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</si>
  <si>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</si>
  <si>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</si>
  <si>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</si>
  <si>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</si>
  <si>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</si>
  <si>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</si>
  <si>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</si>
  <si>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</si>
  <si>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</si>
  <si>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</si>
  <si>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</si>
  <si>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</si>
  <si>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</si>
  <si>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</si>
  <si>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</si>
  <si>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</si>
  <si>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</si>
  <si>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</si>
  <si>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</si>
  <si>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</si>
  <si>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</si>
  <si>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</si>
  <si>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</si>
  <si>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</si>
  <si>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</si>
  <si>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</si>
  <si>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</si>
  <si>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</si>
  <si>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</si>
  <si>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</si>
  <si>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</si>
  <si>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</si>
  <si>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</si>
  <si>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</si>
  <si>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</si>
  <si>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</si>
  <si>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</si>
  <si>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</si>
  <si>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</si>
  <si>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</si>
  <si>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</si>
  <si>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</si>
  <si>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</si>
  <si>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</si>
  <si>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</si>
  <si>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</si>
  <si>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</si>
  <si>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</si>
  <si>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</si>
  <si>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</si>
  <si>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</si>
  <si>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</si>
  <si>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</si>
  <si>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</si>
  <si>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</si>
  <si>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</si>
  <si>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</si>
  <si>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</si>
  <si>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</si>
  <si>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</si>
  <si>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</si>
  <si>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</si>
  <si>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</si>
  <si>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</si>
  <si>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</si>
  <si>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</si>
  <si>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</si>
  <si>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</si>
  <si>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</si>
  <si>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</si>
  <si>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</si>
  <si>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</si>
  <si>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</si>
  <si>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</si>
  <si>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</si>
  <si>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</si>
  <si>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</si>
  <si>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</si>
  <si>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</si>
  <si>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</si>
  <si>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</si>
  <si>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</si>
  <si>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</si>
  <si>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</si>
  <si>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</si>
  <si>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</si>
  <si>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</si>
  <si>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</si>
  <si>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</si>
  <si>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</si>
  <si>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</si>
  <si>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</si>
  <si>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</si>
  <si>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</si>
  <si>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</si>
  <si>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</si>
  <si>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</si>
  <si>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</si>
  <si>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</si>
  <si>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</si>
  <si>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</si>
  <si>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</si>
  <si>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</si>
  <si>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</si>
  <si>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</si>
  <si>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</si>
  <si>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</si>
  <si>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</si>
  <si>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</si>
  <si>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</si>
  <si>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</si>
  <si>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</si>
  <si>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</si>
  <si>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</si>
  <si>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</si>
  <si>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</si>
  <si>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</si>
  <si>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</si>
  <si>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</si>
  <si>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</si>
  <si>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</si>
  <si>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</si>
  <si>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</si>
  <si>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</si>
  <si>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</si>
  <si>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</si>
  <si>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</si>
  <si>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</si>
  <si>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</si>
  <si>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</si>
  <si>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</si>
  <si>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</si>
  <si>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</si>
  <si>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</si>
  <si>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</si>
  <si>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</si>
  <si>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</si>
  <si>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</si>
  <si>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</si>
  <si>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</si>
  <si>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</si>
  <si>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</si>
  <si>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</si>
  <si>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</si>
  <si>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</si>
  <si>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</si>
  <si>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</si>
  <si>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</si>
  <si>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</si>
  <si>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</si>
  <si>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</si>
  <si>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</si>
  <si>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</si>
  <si>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</si>
  <si>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</si>
  <si>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</si>
  <si>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</si>
  <si>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</si>
  <si>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</si>
  <si>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</si>
  <si>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</si>
  <si>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</si>
  <si>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</si>
  <si>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</si>
  <si>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</si>
  <si>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</si>
  <si>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</si>
  <si>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</si>
  <si>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</si>
  <si>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</si>
  <si>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</si>
  <si>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</si>
  <si>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</si>
  <si>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</si>
  <si>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</si>
  <si>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</si>
  <si>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</si>
  <si>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</si>
  <si>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</si>
  <si>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</si>
  <si>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</si>
  <si>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</si>
  <si>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</si>
  <si>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</si>
  <si>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</si>
  <si>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</si>
  <si>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</si>
  <si>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</si>
  <si>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</si>
  <si>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</si>
  <si>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</si>
  <si>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</si>
  <si>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</si>
  <si>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</si>
  <si>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</si>
  <si>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</si>
  <si>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</si>
  <si>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</si>
  <si>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</si>
  <si>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</si>
  <si>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</si>
  <si>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</si>
  <si>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</si>
  <si>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</si>
  <si>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</si>
  <si>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</si>
  <si>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</si>
  <si>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</si>
  <si>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</si>
  <si>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</si>
  <si>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</si>
  <si>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</si>
  <si>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</si>
  <si>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</si>
  <si>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</si>
  <si>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</si>
  <si>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</si>
  <si>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</si>
  <si>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</si>
  <si>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</si>
  <si>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</si>
  <si>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</si>
  <si>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</si>
  <si>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</si>
  <si>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</si>
  <si>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</si>
  <si>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</si>
  <si>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</si>
  <si>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</si>
  <si>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</si>
  <si>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</si>
  <si>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</si>
  <si>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</si>
  <si>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</si>
  <si>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</si>
  <si>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</si>
  <si>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</si>
  <si>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</si>
  <si>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</si>
  <si>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</si>
  <si>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</si>
  <si>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</si>
  <si>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</si>
  <si>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</si>
  <si>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</si>
  <si>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</si>
  <si>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</si>
  <si>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</si>
  <si>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</si>
  <si>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</si>
  <si>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</si>
  <si>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</si>
  <si>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</si>
  <si>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</si>
  <si>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</si>
  <si>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</si>
  <si>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</si>
  <si>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</si>
  <si>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</si>
  <si>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</si>
  <si>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</si>
  <si>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</si>
  <si>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</si>
  <si>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</si>
  <si>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</si>
  <si>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</si>
  <si>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</si>
  <si>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</si>
  <si>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</si>
  <si>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</si>
  <si>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</si>
  <si>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</si>
  <si>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</si>
  <si>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</si>
  <si>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</si>
  <si>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</si>
  <si>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</si>
  <si>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</si>
  <si>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</si>
  <si>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</si>
  <si>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</si>
  <si>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</si>
  <si>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</si>
  <si>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</si>
  <si>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</si>
  <si>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</si>
  <si>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</si>
  <si>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</si>
  <si>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</si>
  <si>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</si>
  <si>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</si>
  <si>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</si>
  <si>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</si>
  <si>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</si>
  <si>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</si>
  <si>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</si>
  <si>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</si>
  <si>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</si>
  <si>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</si>
  <si>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</si>
  <si>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</si>
  <si>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</si>
  <si>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</si>
  <si>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</si>
  <si>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</si>
  <si>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</si>
  <si>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</si>
  <si>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</si>
  <si>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</si>
  <si>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</si>
  <si>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</si>
  <si>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</si>
  <si>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</si>
  <si>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</si>
  <si>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</si>
  <si>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</si>
  <si>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</si>
  <si>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</si>
  <si>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</si>
  <si>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</si>
  <si>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</si>
  <si>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</si>
  <si>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</si>
  <si>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</si>
  <si>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</si>
  <si>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</si>
  <si>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</si>
  <si>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</si>
  <si>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</si>
  <si>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</si>
  <si>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</si>
  <si>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</si>
  <si>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</si>
  <si>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</si>
  <si>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</si>
  <si>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</si>
  <si>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</si>
  <si>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</si>
  <si>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</si>
  <si>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</si>
  <si>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</si>
  <si>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</si>
  <si>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</si>
  <si>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</si>
  <si>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</si>
  <si>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</si>
  <si>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</si>
  <si>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</si>
  <si>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</si>
  <si>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</si>
  <si>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</si>
  <si>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</si>
  <si>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</si>
  <si>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</si>
  <si>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</si>
  <si>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</si>
  <si>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</si>
  <si>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</si>
  <si>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</si>
  <si>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</si>
  <si>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</si>
  <si>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</si>
  <si>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</si>
  <si>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</si>
  <si>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</si>
  <si>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</si>
  <si>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</si>
  <si>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</si>
  <si>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</si>
  <si>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</si>
  <si>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</si>
  <si>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</si>
  <si>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</si>
  <si>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</si>
  <si>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</si>
  <si>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</si>
  <si>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</si>
  <si>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</si>
  <si>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</si>
  <si>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</si>
  <si>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</si>
  <si>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</si>
  <si>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</si>
  <si>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</si>
  <si>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</si>
  <si>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</si>
  <si>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</si>
  <si>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</si>
  <si>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</si>
  <si>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</si>
  <si>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</si>
  <si>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</si>
  <si>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</si>
  <si>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</si>
  <si>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</si>
  <si>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</si>
  <si>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</si>
  <si>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</si>
  <si>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</si>
  <si>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</si>
  <si>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</si>
  <si>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</si>
  <si>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</si>
  <si>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</si>
  <si>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</si>
  <si>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</si>
  <si>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</si>
  <si>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</si>
  <si>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</si>
  <si>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</si>
  <si>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</si>
  <si>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</si>
  <si>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</si>
  <si>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</si>
  <si>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</si>
  <si>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</si>
  <si>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</si>
  <si>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</si>
  <si>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</si>
  <si>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</si>
  <si>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</si>
  <si>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</si>
  <si>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</si>
  <si>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</si>
  <si>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</si>
  <si>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</si>
  <si>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</si>
  <si>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</si>
  <si>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</si>
  <si>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</si>
  <si>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</si>
  <si>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</si>
  <si>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</si>
  <si>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</si>
  <si>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</si>
  <si>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</si>
  <si>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</si>
  <si>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</si>
  <si>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</si>
  <si>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</si>
  <si>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</si>
  <si>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</si>
  <si>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</si>
  <si>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</si>
  <si>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</si>
  <si>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</si>
  <si>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</si>
  <si>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</si>
  <si>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</si>
  <si>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</si>
  <si>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</si>
  <si>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</si>
  <si>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</si>
  <si>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</si>
  <si>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</si>
  <si>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</si>
  <si>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</si>
  <si>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</si>
  <si>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</si>
  <si>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</si>
  <si>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</si>
  <si>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</si>
  <si>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</si>
  <si>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</si>
  <si>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</si>
  <si>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</si>
  <si>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</si>
  <si>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</si>
  <si>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</si>
  <si>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</si>
  <si>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</si>
  <si>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</si>
  <si>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</si>
  <si>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</si>
  <si>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</si>
  <si>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</si>
  <si>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</si>
  <si>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</si>
  <si>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</si>
  <si>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</si>
  <si>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</si>
  <si>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</si>
  <si>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</si>
  <si>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</si>
  <si>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</si>
  <si>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</si>
  <si>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</si>
  <si>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</si>
  <si>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</si>
  <si>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</si>
  <si>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</si>
  <si>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</si>
  <si>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</si>
  <si>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</si>
  <si>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</si>
  <si>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</si>
  <si>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</si>
  <si>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</si>
  <si>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</si>
  <si>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</si>
  <si>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</si>
  <si>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</si>
  <si>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</si>
  <si>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</si>
  <si>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</si>
  <si>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</si>
  <si>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</si>
  <si>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</si>
  <si>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</si>
  <si>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</si>
  <si>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</si>
  <si>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</si>
  <si>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</si>
  <si>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</si>
  <si>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</si>
  <si>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</si>
  <si>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</si>
  <si>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</si>
  <si>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</si>
  <si>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</si>
  <si>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</si>
  <si>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</si>
  <si>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</si>
  <si>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</si>
  <si>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</si>
  <si>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</si>
  <si>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</si>
  <si>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</si>
  <si>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</si>
  <si>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</si>
  <si>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</si>
  <si>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</si>
  <si>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</si>
  <si>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</si>
  <si>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</si>
  <si>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</si>
  <si>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</si>
  <si>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</si>
  <si>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</si>
  <si>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</si>
  <si>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</si>
  <si>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</si>
  <si>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</si>
  <si>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</si>
  <si>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</si>
  <si>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</si>
  <si>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</si>
  <si>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</si>
  <si>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</si>
  <si>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</si>
  <si>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</si>
  <si>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</si>
  <si>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</si>
  <si>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</si>
  <si>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</si>
  <si>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</si>
  <si>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</si>
  <si>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</si>
  <si>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</si>
  <si>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</si>
  <si>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</si>
  <si>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</si>
  <si>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</si>
  <si>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</si>
  <si>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</si>
  <si>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</si>
  <si>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</si>
  <si>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</si>
  <si>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</si>
  <si>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</si>
  <si>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</si>
  <si>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</si>
  <si>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</si>
  <si>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</si>
  <si>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</si>
  <si>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</si>
  <si>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</si>
  <si>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</si>
  <si>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</si>
  <si>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</si>
  <si>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</si>
  <si>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</si>
  <si>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</si>
  <si>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</si>
  <si>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</si>
  <si>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</si>
  <si>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</si>
  <si>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</si>
  <si>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</si>
  <si>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</si>
  <si>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</si>
  <si>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</si>
  <si>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</si>
  <si>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</si>
  <si>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</si>
  <si>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</si>
  <si>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</si>
  <si>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</si>
  <si>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</si>
  <si>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</si>
  <si>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</si>
  <si>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</si>
  <si>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</si>
  <si>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</si>
  <si>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</si>
  <si>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</si>
  <si>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</si>
  <si>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</si>
  <si>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</si>
  <si>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</si>
  <si>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</si>
  <si>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</si>
  <si>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</si>
  <si>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</si>
  <si>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</si>
  <si>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</si>
  <si>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</si>
  <si>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</si>
  <si>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</si>
  <si>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</si>
  <si>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</si>
  <si>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</si>
  <si>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</si>
  <si>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</si>
  <si>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</si>
  <si>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</si>
  <si>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</si>
  <si>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</si>
  <si>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</si>
  <si>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</si>
  <si>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</si>
  <si>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</si>
  <si>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</si>
  <si>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</si>
  <si>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</si>
  <si>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</si>
  <si>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</si>
  <si>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</si>
  <si>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</si>
  <si>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</si>
  <si>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</si>
  <si>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</si>
  <si>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</si>
  <si>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</si>
  <si>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</si>
  <si>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</si>
  <si>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</si>
  <si>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</si>
  <si>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</si>
  <si>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</si>
  <si>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</si>
  <si>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</si>
  <si>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</si>
  <si>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</si>
  <si>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</si>
  <si>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</si>
  <si>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</si>
  <si>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</si>
  <si>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</si>
  <si>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</si>
  <si>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</si>
  <si>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</si>
  <si>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</si>
  <si>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</si>
  <si>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</si>
  <si>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</si>
  <si>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</si>
  <si>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</si>
  <si>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</si>
  <si>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</si>
  <si>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</si>
  <si>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</si>
  <si>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</si>
  <si>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</si>
  <si>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</si>
  <si>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</si>
  <si>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</si>
  <si>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</si>
  <si>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</si>
  <si>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</si>
  <si>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</si>
  <si>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</si>
  <si>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</si>
  <si>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</si>
  <si>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</si>
  <si>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</si>
  <si>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</si>
  <si>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</si>
  <si>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</si>
  <si>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</si>
  <si>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</si>
  <si>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</si>
  <si>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</si>
  <si>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</si>
  <si>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</si>
  <si>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</si>
  <si>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</si>
  <si>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</si>
  <si>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</si>
  <si>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</si>
  <si>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</si>
  <si>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</si>
  <si>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</si>
  <si>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</si>
  <si>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</si>
  <si>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</si>
  <si>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</si>
  <si>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</si>
  <si>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</si>
  <si>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</si>
  <si>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</si>
  <si>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</si>
  <si>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</si>
  <si>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</si>
  <si>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</si>
  <si>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</si>
  <si>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</si>
  <si>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</si>
  <si>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</si>
  <si>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</si>
  <si>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</si>
  <si>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</si>
  <si>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</si>
  <si>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</si>
  <si>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</si>
  <si>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</si>
  <si>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</si>
  <si>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</si>
  <si>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</si>
  <si>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</si>
  <si>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</si>
  <si>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</si>
  <si>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</si>
  <si>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</si>
  <si>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</si>
  <si>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</si>
  <si>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</si>
  <si>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</si>
  <si>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</si>
  <si>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</si>
  <si>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</si>
  <si>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</si>
  <si>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</si>
  <si>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</si>
  <si>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</si>
  <si>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</si>
  <si>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</si>
  <si>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</si>
  <si>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</si>
  <si>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</si>
  <si>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</si>
  <si>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</si>
  <si>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</si>
  <si>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</si>
  <si>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</si>
  <si>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</si>
  <si>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</si>
  <si>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</si>
  <si>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</si>
  <si>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</si>
  <si>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</si>
  <si>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</si>
  <si>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</si>
  <si>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</si>
  <si>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</si>
  <si>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</si>
  <si>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</si>
  <si>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</si>
  <si>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</si>
  <si>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</si>
  <si>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</si>
  <si>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</si>
  <si>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</si>
  <si>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</si>
  <si>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</si>
  <si>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</si>
  <si>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</si>
  <si>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</si>
  <si>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</si>
  <si>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</si>
  <si>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</si>
  <si>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</si>
  <si>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</si>
  <si>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</si>
  <si>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</si>
  <si>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</si>
  <si>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</si>
  <si>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</si>
  <si>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</si>
  <si>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</si>
  <si>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</si>
  <si>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</si>
  <si>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</si>
  <si>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</si>
  <si>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</si>
  <si>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</si>
  <si>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</si>
  <si>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</si>
  <si>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</si>
  <si>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</si>
  <si>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</si>
  <si>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</si>
  <si>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</si>
  <si>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</si>
  <si>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</si>
  <si>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</si>
  <si>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</si>
  <si>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</si>
  <si>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</si>
  <si>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</si>
  <si>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</si>
  <si>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</si>
  <si>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</si>
  <si>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</si>
  <si>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</si>
  <si>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</si>
  <si>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</si>
  <si>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</si>
  <si>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</si>
  <si>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</si>
  <si>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</si>
  <si>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</si>
  <si>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</si>
  <si>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</si>
  <si>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</si>
  <si>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</si>
  <si>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</si>
  <si>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</si>
  <si>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</si>
  <si>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</si>
  <si>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</si>
  <si>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</si>
  <si>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</si>
  <si>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</si>
  <si>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</si>
  <si>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</si>
  <si>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</si>
  <si>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</si>
  <si>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</si>
  <si>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</si>
  <si>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</si>
  <si>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</si>
  <si>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</si>
  <si>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</si>
  <si>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</si>
  <si>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</si>
  <si>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</si>
  <si>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</si>
  <si>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</si>
  <si>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</si>
  <si>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</si>
  <si>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</si>
  <si>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</si>
  <si>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</si>
  <si>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</si>
  <si>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</si>
  <si>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</si>
  <si>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</si>
  <si>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</si>
  <si>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</si>
  <si>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</si>
  <si>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</si>
  <si>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</si>
  <si>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</si>
  <si>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</si>
  <si>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</si>
  <si>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</si>
  <si>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</si>
  <si>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</si>
  <si>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</si>
  <si>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</si>
  <si>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</si>
  <si>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</si>
  <si>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</si>
  <si>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</si>
  <si>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</si>
  <si>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</si>
  <si>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</si>
  <si>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</si>
  <si>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</si>
  <si>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</si>
  <si>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</si>
  <si>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</si>
  <si>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</si>
  <si>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</si>
  <si>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</si>
  <si>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</si>
  <si>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</si>
  <si>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</si>
  <si>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</si>
  <si>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</si>
  <si>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</si>
  <si>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</si>
  <si>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</si>
  <si>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</si>
  <si>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</si>
  <si>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</si>
  <si>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</si>
  <si>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</si>
  <si>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</si>
  <si>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</si>
  <si>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</si>
  <si>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</si>
  <si>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</si>
  <si>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</si>
  <si>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</si>
  <si>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</si>
  <si>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</si>
  <si>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</si>
  <si>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</si>
  <si>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</si>
  <si>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</si>
  <si>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</si>
  <si>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</si>
  <si>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</si>
  <si>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</si>
  <si>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</si>
  <si>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</si>
  <si>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</si>
  <si>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</si>
  <si>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</si>
  <si>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</si>
  <si>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</si>
  <si>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</si>
  <si>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</si>
  <si>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</si>
  <si>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</si>
  <si>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</si>
  <si>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</si>
  <si>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</si>
  <si>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</si>
  <si>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</si>
  <si>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</si>
  <si>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</si>
  <si>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</si>
  <si>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</si>
  <si>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</si>
  <si>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</si>
  <si>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</si>
  <si>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</si>
  <si>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</si>
  <si>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</si>
  <si>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</si>
  <si>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</si>
  <si>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</si>
  <si>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</si>
  <si>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</si>
  <si>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</si>
  <si>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</si>
  <si>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</si>
  <si>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</si>
  <si>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</si>
  <si>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</si>
  <si>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</si>
  <si>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</si>
  <si>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</si>
  <si>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</si>
  <si>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</si>
  <si>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</si>
  <si>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</si>
  <si>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</si>
  <si>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</si>
  <si>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</si>
  <si>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</si>
  <si>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</si>
  <si>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</si>
  <si>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</si>
  <si>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</si>
  <si>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</si>
  <si>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</si>
  <si>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</si>
  <si>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</si>
  <si>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</si>
  <si>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</si>
  <si>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</si>
  <si>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</si>
  <si>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</si>
  <si>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</si>
  <si>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</si>
  <si>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</si>
  <si>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</si>
  <si>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</si>
  <si>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</si>
  <si>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</si>
  <si>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</si>
  <si>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</si>
  <si>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</si>
  <si>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</si>
  <si>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</si>
  <si>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</si>
  <si>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</si>
  <si>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</si>
  <si>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</si>
  <si>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</si>
  <si>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</si>
  <si>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</si>
  <si>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</si>
  <si>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</si>
  <si>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</si>
  <si>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</si>
  <si>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</si>
  <si>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</si>
  <si>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</si>
  <si>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</si>
  <si>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</si>
  <si>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</si>
  <si>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</si>
  <si>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</si>
  <si>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</si>
  <si>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</si>
  <si>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</si>
  <si>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</si>
  <si>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</si>
  <si>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</si>
  <si>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</si>
  <si>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</si>
  <si>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</si>
  <si>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</si>
  <si>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</si>
  <si>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</si>
  <si>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</si>
  <si>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</si>
  <si>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</si>
  <si>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</si>
  <si>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</si>
  <si>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</si>
  <si>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</si>
  <si>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</si>
  <si>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</si>
  <si>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</si>
  <si>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</si>
  <si>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</si>
  <si>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</si>
  <si>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</si>
  <si>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</si>
  <si>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</si>
  <si>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</si>
  <si>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</si>
  <si>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</si>
  <si>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</si>
  <si>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</si>
  <si>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</si>
  <si>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</si>
  <si>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</si>
  <si>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</si>
  <si>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</si>
  <si>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</si>
  <si>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</si>
  <si>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</si>
  <si>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</si>
  <si>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</si>
  <si>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</si>
  <si>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</si>
  <si>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</si>
  <si>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</si>
  <si>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</si>
  <si>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</si>
  <si>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</si>
  <si>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</si>
  <si>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</si>
  <si>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</si>
  <si>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</si>
  <si>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</si>
  <si>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</si>
  <si>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</si>
  <si>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</si>
  <si>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</si>
  <si>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</si>
  <si>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</si>
  <si>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</si>
  <si>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</si>
  <si>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</si>
  <si>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</si>
  <si>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</si>
  <si>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</si>
  <si>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</si>
  <si>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</si>
  <si>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</si>
  <si>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</si>
  <si>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</si>
  <si>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</si>
  <si>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</si>
  <si>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</si>
  <si>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</si>
  <si>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</si>
  <si>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</si>
  <si>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</si>
  <si>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</si>
  <si>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</si>
  <si>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</si>
  <si>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</si>
  <si>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</si>
  <si>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</si>
  <si>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</si>
  <si>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</si>
  <si>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</si>
  <si>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</si>
  <si>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</si>
  <si>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</si>
  <si>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</si>
  <si>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</si>
  <si>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</si>
  <si>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</si>
  <si>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</si>
  <si>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</si>
  <si>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</si>
  <si>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</si>
  <si>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</si>
  <si>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</si>
  <si>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</si>
  <si>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</si>
  <si>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</si>
  <si>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</si>
  <si>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</si>
  <si>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</si>
  <si>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</si>
  <si>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</si>
  <si>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</si>
  <si>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</si>
  <si>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</si>
  <si>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</si>
  <si>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</si>
  <si>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</si>
  <si>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</si>
  <si>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</si>
  <si>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Mildred Stark Library Trust </t>
  </si>
  <si>
    <t>Goffstown paid off its high school renovation bond in FY 22. There are no P&amp;I costs in FY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</si>
</sst>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1055</v>
      </c>
      <c r="B2">
        <f>INDEX('School Tables'!$AH$3:$AH$209,MATCH('DOE25'!A2,'School Tables'!$AJ$3:$AJ$209,0))</f>
        <v>199</v>
      </c>
      <c r="C2">
        <f>INDEX('School Tables'!$AI$3:$AI$209,MATCH('DOE25'!A2,'School Tables'!$AJ$3:$AJ$209,0))</f>
        <v>199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5756953.36-600789.38</f>
        <v>5156163.9800000004</v>
      </c>
      <c r="G9" s="18">
        <v>366429.40000000037</v>
      </c>
      <c r="H9" s="18">
        <v>10529.64</v>
      </c>
      <c r="I9" s="18">
        <v>0</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902495.4</v>
      </c>
      <c r="G12" s="18"/>
      <c r="H12" s="18"/>
      <c r="I12" s="18">
        <v>156063.5</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129173.99</v>
      </c>
      <c r="G13" s="18">
        <v>73245.22</v>
      </c>
      <c r="H13" s="18">
        <v>325726.65000000002</v>
      </c>
      <c r="I13" s="18">
        <v>841211.47</v>
      </c>
      <c r="J13" s="13">
        <f>SUM(I443)</f>
        <v>511807.72</v>
      </c>
      <c r="K13" s="23" t="s">
        <v>288</v>
      </c>
      <c r="L13" s="23" t="s">
        <v>288</v>
      </c>
      <c r="M13" s="8"/>
      <c r="N13" s="165"/>
    </row>
    <row r="14" spans="1:14" s="3" customFormat="1" ht="12.2" customHeight="1" x14ac:dyDescent="0.15">
      <c r="A14" s="1" t="s">
        <v>565</v>
      </c>
      <c r="B14" s="2" t="s">
        <v>289</v>
      </c>
      <c r="C14" s="6">
        <v>6</v>
      </c>
      <c r="D14" s="2" t="s">
        <v>428</v>
      </c>
      <c r="E14" s="6">
        <v>150</v>
      </c>
      <c r="F14" s="18">
        <v>6705</v>
      </c>
      <c r="G14" s="18">
        <v>0</v>
      </c>
      <c r="H14" s="18"/>
      <c r="I14" s="18" t="s">
        <v>286</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40337.89</v>
      </c>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126249.78</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6361126.040000001</v>
      </c>
      <c r="G19" s="38">
        <f>SUM(G9:G18)</f>
        <v>439674.62000000034</v>
      </c>
      <c r="H19" s="38">
        <f>SUM(H9:H18)</f>
        <v>336256.29000000004</v>
      </c>
      <c r="I19" s="38">
        <f>SUM(I9:I18)</f>
        <v>997274.97</v>
      </c>
      <c r="J19" s="38">
        <f>SUM(J9:J18)</f>
        <v>511807.72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301706.02</v>
      </c>
      <c r="I22" s="18">
        <v>600789.38</v>
      </c>
      <c r="J22" s="13">
        <f>SUM(I449)</f>
        <v>156063.5</v>
      </c>
      <c r="K22" s="23" t="s">
        <v>288</v>
      </c>
      <c r="L22" s="23" t="s">
        <v>288</v>
      </c>
      <c r="M22" s="8"/>
      <c r="N22" s="165"/>
    </row>
    <row r="23" spans="1:14" s="3" customFormat="1" ht="12.2" customHeight="1" x14ac:dyDescent="0.15">
      <c r="A23" s="1" t="s">
        <v>607</v>
      </c>
      <c r="B23" s="2" t="s">
        <v>289</v>
      </c>
      <c r="C23" s="6">
        <v>13</v>
      </c>
      <c r="D23" s="2" t="s">
        <v>429</v>
      </c>
      <c r="E23" s="6">
        <v>410</v>
      </c>
      <c r="F23" s="18">
        <v>1394176.01</v>
      </c>
      <c r="G23" s="18">
        <v>29</v>
      </c>
      <c r="H23" s="18">
        <v>150</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319055.24</v>
      </c>
      <c r="G24" s="18">
        <v>44967.09</v>
      </c>
      <c r="H24" s="18">
        <v>8067</v>
      </c>
      <c r="I24" s="18">
        <v>118955.25</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v>168152.25</v>
      </c>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91636.57</v>
      </c>
      <c r="G28" s="18"/>
      <c r="H28" s="18">
        <v>14025.85</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14300</v>
      </c>
      <c r="G30" s="18">
        <v>37686.31</v>
      </c>
      <c r="H30" s="18">
        <v>12307.42</v>
      </c>
      <c r="I30" s="18">
        <v>109378.09</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3487.78</v>
      </c>
      <c r="G31" s="18">
        <v>57.45</v>
      </c>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1822655.6</v>
      </c>
      <c r="G32" s="38">
        <f>SUM(G22:G31)</f>
        <v>82739.849999999991</v>
      </c>
      <c r="H32" s="38">
        <f>SUM(H22:H31)</f>
        <v>336256.29</v>
      </c>
      <c r="I32" s="38">
        <f>SUM(I22:I31)</f>
        <v>997274.97</v>
      </c>
      <c r="J32" s="38">
        <f>SUM(J22:J31)</f>
        <v>156063.5</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40337.89</v>
      </c>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126249.78</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38322.199999999997</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5957.08</v>
      </c>
      <c r="K39" s="23" t="s">
        <v>288</v>
      </c>
      <c r="L39" s="23" t="s">
        <v>288</v>
      </c>
      <c r="M39" s="8"/>
      <c r="N39" s="165"/>
    </row>
    <row r="40" spans="1:14" s="3" customFormat="1" ht="12.2" customHeight="1" x14ac:dyDescent="0.15">
      <c r="A40" s="1" t="s">
        <v>859</v>
      </c>
      <c r="B40" s="6">
        <v>1</v>
      </c>
      <c r="C40" s="6">
        <v>27</v>
      </c>
      <c r="D40" s="2"/>
      <c r="E40" s="6"/>
      <c r="F40" s="23" t="s">
        <v>288</v>
      </c>
      <c r="G40" s="18">
        <v>356934.77</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415528.02</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1100000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311464.94</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2606354.75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4538470.4399999995</v>
      </c>
      <c r="G51" s="38">
        <f>SUM(G35:G50)</f>
        <v>356934.77</v>
      </c>
      <c r="H51" s="38">
        <f>SUM(H35:H50)</f>
        <v>0</v>
      </c>
      <c r="I51" s="38">
        <f>SUM(I35:I50)</f>
        <v>0</v>
      </c>
      <c r="J51" s="38">
        <f>SUM(J35:J50)</f>
        <v>355744.22</v>
      </c>
      <c r="K51" s="42" t="s">
        <v>288</v>
      </c>
      <c r="L51" s="42" t="s">
        <v>288</v>
      </c>
      <c r="N51" s="131"/>
    </row>
    <row r="52" spans="1:14" s="3" customFormat="1" ht="12.2" customHeight="1" thickTop="1" x14ac:dyDescent="0.15">
      <c r="A52" s="35" t="s">
        <v>455</v>
      </c>
      <c r="B52" s="36" t="s">
        <v>289</v>
      </c>
      <c r="C52" s="6">
        <v>37</v>
      </c>
      <c r="D52" s="36" t="s">
        <v>653</v>
      </c>
      <c r="E52" s="36"/>
      <c r="F52" s="38">
        <f>F51+F32</f>
        <v>6361126.0399999991</v>
      </c>
      <c r="G52" s="38">
        <f>G51+G32</f>
        <v>439674.62</v>
      </c>
      <c r="H52" s="38">
        <f>H51+H32</f>
        <v>336256.29</v>
      </c>
      <c r="I52" s="38">
        <f>I51+I32</f>
        <v>997274.97</v>
      </c>
      <c r="J52" s="38">
        <f>J51+J32</f>
        <v>511807.72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25393716</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25393716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61150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20473</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7712286.0300000003</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244711.56</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8038620.5899999999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8313.52</v>
      </c>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8313.52</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179272.52000000002</v>
      </c>
      <c r="G96" s="18"/>
      <c r="H96" s="18"/>
      <c r="I96" s="18"/>
      <c r="J96" s="18">
        <f>17759.32+902.09</f>
        <v>18661.41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719800.14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13803.130000000001</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22635.98</v>
      </c>
      <c r="I102" s="18">
        <v>386759.11</v>
      </c>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237.28</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60180.86</v>
      </c>
      <c r="G110" s="18"/>
      <c r="H110" s="18"/>
      <c r="I110" s="18">
        <v>454862.8</v>
      </c>
      <c r="J110" s="18">
        <v>3560.31</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253493.79000000004</v>
      </c>
      <c r="G111" s="38">
        <f>SUM(G96:G110)</f>
        <v>719800.14</v>
      </c>
      <c r="H111" s="38">
        <f>SUM(H96:H110)</f>
        <v>22635.98</v>
      </c>
      <c r="I111" s="38">
        <f>SUM(I96:I110)</f>
        <v>841621.90999999992</v>
      </c>
      <c r="J111" s="38">
        <f>SUM(J96:J110)</f>
        <v>22221.72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33694143.899999999</v>
      </c>
      <c r="G112" s="38">
        <f>G60+G111</f>
        <v>719800.14</v>
      </c>
      <c r="H112" s="38">
        <f>H60+H79+H94+H111</f>
        <v>22635.98</v>
      </c>
      <c r="I112" s="38">
        <f>I60+I111</f>
        <v>841621.90999999992</v>
      </c>
      <c r="J112" s="38">
        <f>J60+J111</f>
        <v>22221.72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8493170.8399999999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2443973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280242.39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11217386.23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317473.28000000003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25565</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v>75657.149999999994</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15053.26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11739.18</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343038.28</v>
      </c>
      <c r="G136" s="38">
        <f>SUM(G123:G135)</f>
        <v>15053.26</v>
      </c>
      <c r="H136" s="38">
        <f>SUM(H123:H135)</f>
        <v>87396.329999999987</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11560424.51</v>
      </c>
      <c r="G140" s="38">
        <f>G121+SUM(G136:G137)</f>
        <v>15053.26</v>
      </c>
      <c r="H140" s="38">
        <f>H121+SUM(H136:H139)</f>
        <v>87396.329999999987</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311008.94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126298.86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500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418513.54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662963.50000000012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60222.12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99748.41</v>
      </c>
      <c r="I161" s="18">
        <v>993998.67</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1037400.19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60222.12</v>
      </c>
      <c r="G163" s="38">
        <f>SUM(G150:G162)</f>
        <v>418513.54</v>
      </c>
      <c r="H163" s="38">
        <f>SUM(H150:H162)</f>
        <v>2237919.9</v>
      </c>
      <c r="I163" s="38">
        <f>SUM(I150:I162)</f>
        <v>993998.67</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v>176000</v>
      </c>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v>82094.259999999995</v>
      </c>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60222.12</v>
      </c>
      <c r="G170" s="38">
        <f>G147+G163+SUM(G164:G169)</f>
        <v>500607.8</v>
      </c>
      <c r="H170" s="38">
        <f>H147+H163+SUM(H164:H169)</f>
        <v>2413919.9</v>
      </c>
      <c r="I170" s="38">
        <f>I147+I163+SUM(I164:I169)</f>
        <v>993998.67</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v>190329.82</v>
      </c>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190329.82</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190329.82</v>
      </c>
      <c r="J193" s="38">
        <f>J184</f>
        <v>200000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45314790.529999994</v>
      </c>
      <c r="G194" s="38">
        <f>G112+G140+G170+G193</f>
        <v>1235461.2</v>
      </c>
      <c r="H194" s="38">
        <f>H112+H140+H170+H193</f>
        <v>2523952.21</v>
      </c>
      <c r="I194" s="38">
        <f>I112+I140+I170+I193</f>
        <v>2025950.4000000001</v>
      </c>
      <c r="J194" s="38">
        <f>J112+J140+J193</f>
        <v>222221.72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3302880.6910999999</v>
      </c>
      <c r="G198" s="18">
        <v>1619872.6457999998</v>
      </c>
      <c r="H198" s="18">
        <v>102043.50289999998</v>
      </c>
      <c r="I198" s="18">
        <v>170863.4056</v>
      </c>
      <c r="J198" s="18">
        <v>146582.18609999999</v>
      </c>
      <c r="K198" s="18">
        <v>0</v>
      </c>
      <c r="L198" s="13">
        <f>SUM(F198:K198)</f>
        <v>5342242.431499999</v>
      </c>
      <c r="M198" s="8"/>
      <c r="N198" s="165"/>
    </row>
    <row r="199" spans="1:14" s="3" customFormat="1" ht="12.2" customHeight="1" x14ac:dyDescent="0.15">
      <c r="A199" s="1" t="s">
        <v>439</v>
      </c>
      <c r="B199" s="2" t="s">
        <v>341</v>
      </c>
      <c r="C199" s="2" t="s">
        <v>291</v>
      </c>
      <c r="D199" s="2" t="s">
        <v>431</v>
      </c>
      <c r="E199" s="6">
        <v>1200</v>
      </c>
      <c r="F199" s="18">
        <v>2188113.4012000002</v>
      </c>
      <c r="G199" s="18">
        <v>1113654.3415000001</v>
      </c>
      <c r="H199" s="18">
        <v>500422.63129999995</v>
      </c>
      <c r="I199" s="18">
        <v>23305.037799999998</v>
      </c>
      <c r="J199" s="18">
        <v>8340.39</v>
      </c>
      <c r="K199" s="18">
        <v>0</v>
      </c>
      <c r="L199" s="13">
        <f>SUM(F199:K199)</f>
        <v>3833835.8018000005</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0</v>
      </c>
      <c r="G201" s="18">
        <v>0</v>
      </c>
      <c r="H201" s="18">
        <v>1536.5</v>
      </c>
      <c r="I201" s="18">
        <v>3200</v>
      </c>
      <c r="J201" s="18">
        <v>0</v>
      </c>
      <c r="K201" s="18">
        <v>0</v>
      </c>
      <c r="L201" s="13">
        <f>SUM(F201:K201)</f>
        <v>4736.5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629622.46</v>
      </c>
      <c r="G203" s="18">
        <v>280118.41460000002</v>
      </c>
      <c r="H203" s="18">
        <v>1009.8216</v>
      </c>
      <c r="I203" s="18">
        <v>28638.592200000003</v>
      </c>
      <c r="J203" s="18">
        <v>0</v>
      </c>
      <c r="K203" s="18">
        <v>0</v>
      </c>
      <c r="L203" s="13">
        <f t="shared" ref="L203:L209" si="0">SUM(F203:K203)</f>
        <v>939389.28839999996</v>
      </c>
      <c r="M203" s="8"/>
      <c r="N203" s="165"/>
    </row>
    <row r="204" spans="1:14" s="3" customFormat="1" ht="12.2" customHeight="1" x14ac:dyDescent="0.15">
      <c r="A204" s="1" t="s">
        <v>443</v>
      </c>
      <c r="B204" s="2" t="s">
        <v>341</v>
      </c>
      <c r="C204" s="2" t="s">
        <v>295</v>
      </c>
      <c r="D204" s="2" t="s">
        <v>431</v>
      </c>
      <c r="E204" s="6">
        <v>2200</v>
      </c>
      <c r="F204" s="18">
        <v>282427.54690000002</v>
      </c>
      <c r="G204" s="18">
        <v>113155.13989999999</v>
      </c>
      <c r="H204" s="18">
        <v>10099.4588</v>
      </c>
      <c r="I204" s="18">
        <v>19965.239999999998</v>
      </c>
      <c r="J204" s="18">
        <v>1299</v>
      </c>
      <c r="K204" s="18">
        <v>0</v>
      </c>
      <c r="L204" s="13">
        <f t="shared" si="0"/>
        <v>426946.38560000004</v>
      </c>
      <c r="M204" s="8"/>
      <c r="N204" s="165"/>
    </row>
    <row r="205" spans="1:14" s="3" customFormat="1" ht="12.2" customHeight="1" x14ac:dyDescent="0.15">
      <c r="A205" s="1" t="s">
        <v>444</v>
      </c>
      <c r="B205" s="2" t="s">
        <v>341</v>
      </c>
      <c r="C205" s="2" t="s">
        <v>296</v>
      </c>
      <c r="D205" s="2" t="s">
        <v>431</v>
      </c>
      <c r="E205" s="6">
        <v>2300</v>
      </c>
      <c r="F205" s="18">
        <v>8174.2183999999988</v>
      </c>
      <c r="G205" s="18">
        <v>654.88089999999988</v>
      </c>
      <c r="H205" s="18">
        <v>549050.34449999989</v>
      </c>
      <c r="I205" s="18">
        <v>1394.6360999999997</v>
      </c>
      <c r="J205" s="18">
        <v>0</v>
      </c>
      <c r="K205" s="18">
        <v>1806.3172</v>
      </c>
      <c r="L205" s="13">
        <f t="shared" si="0"/>
        <v>561080.39709999994</v>
      </c>
      <c r="M205" s="8"/>
      <c r="N205" s="165"/>
    </row>
    <row r="206" spans="1:14" s="3" customFormat="1" ht="12.2" customHeight="1" x14ac:dyDescent="0.15">
      <c r="A206" s="1" t="s">
        <v>445</v>
      </c>
      <c r="B206" s="2" t="s">
        <v>341</v>
      </c>
      <c r="C206" s="2" t="s">
        <v>297</v>
      </c>
      <c r="D206" s="2" t="s">
        <v>431</v>
      </c>
      <c r="E206" s="6">
        <v>2400</v>
      </c>
      <c r="F206" s="18">
        <v>657875.69499999983</v>
      </c>
      <c r="G206" s="18">
        <v>410709.51000000007</v>
      </c>
      <c r="H206" s="18">
        <v>26874.531899999998</v>
      </c>
      <c r="I206" s="18">
        <v>3669.7100000000005</v>
      </c>
      <c r="J206" s="18">
        <v>0</v>
      </c>
      <c r="K206" s="18">
        <v>10146.7094</v>
      </c>
      <c r="L206" s="13">
        <f t="shared" si="0"/>
        <v>1109276.1562999999</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232697.82799999998</v>
      </c>
      <c r="G208" s="18">
        <v>116832.61009999996</v>
      </c>
      <c r="H208" s="18">
        <v>406024.72280000005</v>
      </c>
      <c r="I208" s="18">
        <v>233863.29149999999</v>
      </c>
      <c r="J208" s="18">
        <v>24519.6211</v>
      </c>
      <c r="K208" s="18">
        <v>0</v>
      </c>
      <c r="L208" s="13">
        <f t="shared" si="0"/>
        <v>1013938.0735000001</v>
      </c>
      <c r="M208" s="8"/>
      <c r="N208" s="165"/>
    </row>
    <row r="209" spans="1:14" s="3" customFormat="1" ht="12.2" customHeight="1" x14ac:dyDescent="0.15">
      <c r="A209" s="1" t="s">
        <v>448</v>
      </c>
      <c r="B209" s="2" t="s">
        <v>341</v>
      </c>
      <c r="C209" s="2" t="s">
        <v>300</v>
      </c>
      <c r="D209" s="2" t="s">
        <v>431</v>
      </c>
      <c r="E209" s="6">
        <v>2700</v>
      </c>
      <c r="F209" s="18">
        <v>0</v>
      </c>
      <c r="G209" s="18">
        <v>0</v>
      </c>
      <c r="H209" s="18">
        <v>567869.70739999996</v>
      </c>
      <c r="I209" s="18">
        <v>0</v>
      </c>
      <c r="J209" s="18">
        <v>0</v>
      </c>
      <c r="K209" s="18">
        <v>0</v>
      </c>
      <c r="L209" s="13">
        <f t="shared" si="0"/>
        <v>567869.70739999996</v>
      </c>
      <c r="M209" s="8"/>
      <c r="N209" s="165"/>
    </row>
    <row r="210" spans="1:14" s="3" customFormat="1" ht="12.2" customHeight="1" x14ac:dyDescent="0.15">
      <c r="A210" s="1" t="s">
        <v>449</v>
      </c>
      <c r="B210" s="2" t="s">
        <v>341</v>
      </c>
      <c r="C210" s="2" t="s">
        <v>343</v>
      </c>
      <c r="D210" s="2" t="s">
        <v>431</v>
      </c>
      <c r="E210" s="6">
        <v>2800</v>
      </c>
      <c r="F210" s="18">
        <v>0</v>
      </c>
      <c r="G210" s="18">
        <v>1445.0670999999998</v>
      </c>
      <c r="H210" s="18">
        <v>0</v>
      </c>
      <c r="I210" s="18">
        <v>0</v>
      </c>
      <c r="J210" s="18">
        <v>0</v>
      </c>
      <c r="K210" s="18">
        <v>0</v>
      </c>
      <c r="L210" s="13">
        <f>SUM(F210:K210)</f>
        <v>1445.0670999999998</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7301791.8405999988</v>
      </c>
      <c r="G212" s="38">
        <f t="shared" si="1"/>
        <v>3656442.6099000005</v>
      </c>
      <c r="H212" s="38">
        <f t="shared" si="1"/>
        <v>2164931.2212</v>
      </c>
      <c r="I212" s="38">
        <f t="shared" si="1"/>
        <v>484899.91319999995</v>
      </c>
      <c r="J212" s="38">
        <f t="shared" si="1"/>
        <v>180741.1972</v>
      </c>
      <c r="K212" s="38">
        <f t="shared" si="1"/>
        <v>11953.026599999999</v>
      </c>
      <c r="L212" s="38">
        <f t="shared" si="1"/>
        <v>13800759.808700001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3929501.3788000001</v>
      </c>
      <c r="G216" s="18">
        <v>1898579.3764000004</v>
      </c>
      <c r="H216" s="18">
        <v>98024.103199999998</v>
      </c>
      <c r="I216" s="18">
        <v>138994.22479999997</v>
      </c>
      <c r="J216" s="18">
        <v>99176.258799999996</v>
      </c>
      <c r="K216" s="18">
        <v>325</v>
      </c>
      <c r="L216" s="13">
        <f>SUM(F216:K216)</f>
        <v>6164600.3420000002</v>
      </c>
      <c r="M216" s="8"/>
      <c r="N216" s="165"/>
    </row>
    <row r="217" spans="1:14" s="3" customFormat="1" ht="12.2" customHeight="1" x14ac:dyDescent="0.15">
      <c r="A217" s="1" t="s">
        <v>439</v>
      </c>
      <c r="B217" s="2" t="s">
        <v>346</v>
      </c>
      <c r="C217" s="2" t="s">
        <v>291</v>
      </c>
      <c r="D217" s="2" t="s">
        <v>431</v>
      </c>
      <c r="E217" s="6">
        <v>1200</v>
      </c>
      <c r="F217" s="18">
        <v>1609570.5396</v>
      </c>
      <c r="G217" s="18">
        <v>815787.81199999992</v>
      </c>
      <c r="H217" s="18">
        <v>552352.07039999997</v>
      </c>
      <c r="I217" s="18">
        <v>20025.772399999998</v>
      </c>
      <c r="J217" s="18">
        <v>2499.58</v>
      </c>
      <c r="K217" s="18">
        <v>0</v>
      </c>
      <c r="L217" s="13">
        <f>SUM(F217:K217)</f>
        <v>3000235.7744</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96408.762000000002</v>
      </c>
      <c r="G219" s="18">
        <v>29340.545999999998</v>
      </c>
      <c r="H219" s="18">
        <v>27696.87</v>
      </c>
      <c r="I219" s="18">
        <v>7700.6260000000002</v>
      </c>
      <c r="J219" s="18">
        <v>13767.59</v>
      </c>
      <c r="K219" s="18">
        <v>3721.5</v>
      </c>
      <c r="L219" s="13">
        <f>SUM(F219:K219)</f>
        <v>178635.894</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453628.63</v>
      </c>
      <c r="G221" s="18">
        <v>196794.91679999998</v>
      </c>
      <c r="H221" s="18">
        <v>1105.6128000000001</v>
      </c>
      <c r="I221" s="18">
        <v>25473.227600000002</v>
      </c>
      <c r="J221" s="18">
        <v>0</v>
      </c>
      <c r="K221" s="18">
        <v>0</v>
      </c>
      <c r="L221" s="13">
        <f t="shared" ref="L221:L227" si="2">SUM(F221:K221)</f>
        <v>677002.3872</v>
      </c>
      <c r="M221" s="8"/>
      <c r="N221" s="165"/>
    </row>
    <row r="222" spans="1:14" s="3" customFormat="1" ht="12.2" customHeight="1" x14ac:dyDescent="0.15">
      <c r="A222" s="1" t="s">
        <v>443</v>
      </c>
      <c r="B222" s="2" t="s">
        <v>346</v>
      </c>
      <c r="C222" s="2" t="s">
        <v>295</v>
      </c>
      <c r="D222" s="2" t="s">
        <v>431</v>
      </c>
      <c r="E222" s="6">
        <v>2200</v>
      </c>
      <c r="F222" s="18">
        <v>237114.9952</v>
      </c>
      <c r="G222" s="18">
        <v>111471.57920000001</v>
      </c>
      <c r="H222" s="18">
        <v>11563.2304</v>
      </c>
      <c r="I222" s="18">
        <v>28783.040000000001</v>
      </c>
      <c r="J222" s="18">
        <v>4938.34</v>
      </c>
      <c r="K222" s="18">
        <v>0</v>
      </c>
      <c r="L222" s="13">
        <f t="shared" si="2"/>
        <v>393871.18480000005</v>
      </c>
      <c r="M222" s="8"/>
      <c r="N222" s="165"/>
    </row>
    <row r="223" spans="1:14" s="3" customFormat="1" ht="12.2" customHeight="1" x14ac:dyDescent="0.15">
      <c r="A223" s="1" t="s">
        <v>444</v>
      </c>
      <c r="B223" s="2" t="s">
        <v>346</v>
      </c>
      <c r="C223" s="2" t="s">
        <v>296</v>
      </c>
      <c r="D223" s="2" t="s">
        <v>431</v>
      </c>
      <c r="E223" s="6">
        <v>2300</v>
      </c>
      <c r="F223" s="18">
        <v>9019.8271999999997</v>
      </c>
      <c r="G223" s="18">
        <v>722.62720000000002</v>
      </c>
      <c r="H223" s="18">
        <v>605848.65599999996</v>
      </c>
      <c r="I223" s="18">
        <v>1538.9088000000002</v>
      </c>
      <c r="J223" s="18">
        <v>0</v>
      </c>
      <c r="K223" s="18">
        <v>1993.1776000000002</v>
      </c>
      <c r="L223" s="13">
        <f t="shared" si="2"/>
        <v>619123.19680000003</v>
      </c>
      <c r="M223" s="8"/>
      <c r="N223" s="165"/>
    </row>
    <row r="224" spans="1:14" s="3" customFormat="1" ht="12.2" customHeight="1" x14ac:dyDescent="0.15">
      <c r="A224" s="1" t="s">
        <v>445</v>
      </c>
      <c r="B224" s="2" t="s">
        <v>346</v>
      </c>
      <c r="C224" s="2" t="s">
        <v>297</v>
      </c>
      <c r="D224" s="2" t="s">
        <v>431</v>
      </c>
      <c r="E224" s="6">
        <v>2400</v>
      </c>
      <c r="F224" s="18">
        <v>519987.29000000004</v>
      </c>
      <c r="G224" s="18">
        <v>253423.26</v>
      </c>
      <c r="H224" s="18">
        <v>27918.495200000001</v>
      </c>
      <c r="I224" s="18">
        <v>1513.05</v>
      </c>
      <c r="J224" s="18">
        <v>0</v>
      </c>
      <c r="K224" s="18">
        <v>7366.9751999999999</v>
      </c>
      <c r="L224" s="13">
        <f t="shared" si="2"/>
        <v>810209.07040000008</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327938.02399999998</v>
      </c>
      <c r="G226" s="18">
        <v>135092.70079999999</v>
      </c>
      <c r="H226" s="18">
        <v>331067.91240000003</v>
      </c>
      <c r="I226" s="18">
        <v>201924.60200000001</v>
      </c>
      <c r="J226" s="18">
        <v>43360.468800000002</v>
      </c>
      <c r="K226" s="18">
        <v>0</v>
      </c>
      <c r="L226" s="13">
        <f t="shared" si="2"/>
        <v>1039383.708</v>
      </c>
      <c r="M226" s="8"/>
      <c r="N226" s="165"/>
    </row>
    <row r="227" spans="1:14" s="3" customFormat="1" ht="12.2" customHeight="1" x14ac:dyDescent="0.15">
      <c r="A227" s="1" t="s">
        <v>448</v>
      </c>
      <c r="B227" s="2" t="s">
        <v>346</v>
      </c>
      <c r="C227" s="2" t="s">
        <v>300</v>
      </c>
      <c r="D227" s="2" t="s">
        <v>431</v>
      </c>
      <c r="E227" s="6">
        <v>2700</v>
      </c>
      <c r="F227" s="18">
        <v>0</v>
      </c>
      <c r="G227" s="18">
        <v>0</v>
      </c>
      <c r="H227" s="18">
        <v>628284.51919999998</v>
      </c>
      <c r="I227" s="18">
        <v>0</v>
      </c>
      <c r="J227" s="18">
        <v>0</v>
      </c>
      <c r="K227" s="18">
        <v>0</v>
      </c>
      <c r="L227" s="13">
        <f t="shared" si="2"/>
        <v>628284.51919999998</v>
      </c>
      <c r="M227" s="8"/>
      <c r="N227" s="165"/>
    </row>
    <row r="228" spans="1:14" s="3" customFormat="1" ht="12.2" customHeight="1" x14ac:dyDescent="0.15">
      <c r="A228" s="1" t="s">
        <v>449</v>
      </c>
      <c r="B228" s="2" t="s">
        <v>346</v>
      </c>
      <c r="C228" s="2" t="s">
        <v>343</v>
      </c>
      <c r="D228" s="2" t="s">
        <v>431</v>
      </c>
      <c r="E228" s="6">
        <v>2800</v>
      </c>
      <c r="F228" s="18">
        <v>0</v>
      </c>
      <c r="G228" s="18">
        <v>1594.5568000000001</v>
      </c>
      <c r="H228" s="18">
        <v>1850</v>
      </c>
      <c r="I228" s="18">
        <v>0</v>
      </c>
      <c r="J228" s="18">
        <v>0</v>
      </c>
      <c r="K228" s="18">
        <v>0</v>
      </c>
      <c r="L228" s="13">
        <f>SUM(F228:K228)</f>
        <v>3444.5568000000003</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7183169.4468</v>
      </c>
      <c r="G230" s="38">
        <f>SUM(G216:G229)</f>
        <v>3442807.3752000001</v>
      </c>
      <c r="H230" s="38">
        <f>SUM(H216:H229)</f>
        <v>2285711.4696</v>
      </c>
      <c r="I230" s="38">
        <f>SUM(I216:I229)</f>
        <v>425953.45159999997</v>
      </c>
      <c r="J230" s="38">
        <f>SUM(J216:J229)</f>
        <v>163742.23759999999</v>
      </c>
      <c r="K230" s="38">
        <f t="shared" si="3"/>
        <v>13406.6528</v>
      </c>
      <c r="L230" s="38">
        <f t="shared" si="3"/>
        <v>13514790.6336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4866236.9701000005</v>
      </c>
      <c r="G234" s="18">
        <v>2331061.4077999997</v>
      </c>
      <c r="H234" s="18">
        <v>133865.23389999999</v>
      </c>
      <c r="I234" s="18">
        <v>257718.93960000001</v>
      </c>
      <c r="J234" s="18">
        <v>189239.48509999999</v>
      </c>
      <c r="K234" s="18">
        <v>5585</v>
      </c>
      <c r="L234" s="13">
        <f>SUM(F234:K234)</f>
        <v>7783707.0365000013</v>
      </c>
      <c r="M234" s="8"/>
      <c r="N234" s="165"/>
    </row>
    <row r="235" spans="1:14" s="3" customFormat="1" ht="12.2" customHeight="1" x14ac:dyDescent="0.15">
      <c r="A235" s="1" t="s">
        <v>439</v>
      </c>
      <c r="B235" s="2" t="s">
        <v>350</v>
      </c>
      <c r="C235" s="2" t="s">
        <v>291</v>
      </c>
      <c r="D235" s="2" t="s">
        <v>431</v>
      </c>
      <c r="E235" s="6">
        <v>1200</v>
      </c>
      <c r="F235" s="18">
        <v>1474176.1991999999</v>
      </c>
      <c r="G235" s="18">
        <v>708781.15650000004</v>
      </c>
      <c r="H235" s="18">
        <v>674355.44830000005</v>
      </c>
      <c r="I235" s="18">
        <v>25401.579799999996</v>
      </c>
      <c r="J235" s="18">
        <v>598</v>
      </c>
      <c r="K235" s="18">
        <v>0</v>
      </c>
      <c r="L235" s="13">
        <f>SUM(F235:K235)</f>
        <v>2883312.3838000004</v>
      </c>
      <c r="M235" s="8"/>
      <c r="N235" s="165"/>
    </row>
    <row r="236" spans="1:14" s="3" customFormat="1" ht="12.2" customHeight="1" x14ac:dyDescent="0.15">
      <c r="A236" s="1" t="s">
        <v>440</v>
      </c>
      <c r="B236" s="2" t="s">
        <v>350</v>
      </c>
      <c r="C236" s="2" t="s">
        <v>292</v>
      </c>
      <c r="D236" s="2" t="s">
        <v>431</v>
      </c>
      <c r="E236" s="6">
        <v>1300</v>
      </c>
      <c r="F236" s="18">
        <v>0</v>
      </c>
      <c r="G236" s="18">
        <v>0</v>
      </c>
      <c r="H236" s="18">
        <v>183976.73</v>
      </c>
      <c r="I236" s="18">
        <v>0</v>
      </c>
      <c r="J236" s="18">
        <v>0</v>
      </c>
      <c r="K236" s="18">
        <v>0</v>
      </c>
      <c r="L236" s="13">
        <f>SUM(F236:K236)</f>
        <v>183976.73</v>
      </c>
      <c r="M236" s="8"/>
      <c r="N236" s="165"/>
    </row>
    <row r="237" spans="1:14" s="3" customFormat="1" ht="12.2" customHeight="1" x14ac:dyDescent="0.15">
      <c r="A237" s="1" t="s">
        <v>441</v>
      </c>
      <c r="B237" s="2" t="s">
        <v>350</v>
      </c>
      <c r="C237" s="2" t="s">
        <v>293</v>
      </c>
      <c r="D237" s="2" t="s">
        <v>431</v>
      </c>
      <c r="E237" s="6">
        <v>1400</v>
      </c>
      <c r="F237" s="18">
        <v>385635.04800000001</v>
      </c>
      <c r="G237" s="18">
        <v>117362.18399999999</v>
      </c>
      <c r="H237" s="18">
        <v>153824.46</v>
      </c>
      <c r="I237" s="18">
        <v>49841.144</v>
      </c>
      <c r="J237" s="18">
        <v>23471.360000000001</v>
      </c>
      <c r="K237" s="18">
        <v>36063.919999999998</v>
      </c>
      <c r="L237" s="13">
        <f>SUM(F237:K237)</f>
        <v>766198.11600000004</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790721.80999999994</v>
      </c>
      <c r="G239" s="18">
        <v>427615.70860000007</v>
      </c>
      <c r="H239" s="18">
        <v>1347.4656</v>
      </c>
      <c r="I239" s="18">
        <v>58320.260199999997</v>
      </c>
      <c r="J239" s="18">
        <v>0</v>
      </c>
      <c r="K239" s="18">
        <v>1423.9099999999999</v>
      </c>
      <c r="L239" s="13">
        <f t="shared" ref="L239:L245" si="4">SUM(F239:K239)</f>
        <v>1279429.1543999999</v>
      </c>
      <c r="M239" s="8"/>
      <c r="N239" s="165"/>
    </row>
    <row r="240" spans="1:14" s="3" customFormat="1" ht="12.2" customHeight="1" x14ac:dyDescent="0.15">
      <c r="A240" s="1" t="s">
        <v>443</v>
      </c>
      <c r="B240" s="2" t="s">
        <v>350</v>
      </c>
      <c r="C240" s="2" t="s">
        <v>295</v>
      </c>
      <c r="D240" s="2" t="s">
        <v>431</v>
      </c>
      <c r="E240" s="6">
        <v>2200</v>
      </c>
      <c r="F240" s="18">
        <v>242847.14789999998</v>
      </c>
      <c r="G240" s="18">
        <v>124421.9209</v>
      </c>
      <c r="H240" s="18">
        <v>13582.0308</v>
      </c>
      <c r="I240" s="18">
        <v>51659.05</v>
      </c>
      <c r="J240" s="18">
        <v>260.42</v>
      </c>
      <c r="K240" s="18">
        <v>0</v>
      </c>
      <c r="L240" s="13">
        <f t="shared" si="4"/>
        <v>432770.56959999999</v>
      </c>
      <c r="M240" s="8"/>
      <c r="N240" s="165"/>
    </row>
    <row r="241" spans="1:14" s="3" customFormat="1" ht="12.2" customHeight="1" x14ac:dyDescent="0.15">
      <c r="A241" s="1" t="s">
        <v>444</v>
      </c>
      <c r="B241" s="2" t="s">
        <v>350</v>
      </c>
      <c r="C241" s="2" t="s">
        <v>296</v>
      </c>
      <c r="D241" s="2" t="s">
        <v>431</v>
      </c>
      <c r="E241" s="6">
        <v>2300</v>
      </c>
      <c r="F241" s="18">
        <v>10992.9144</v>
      </c>
      <c r="G241" s="18">
        <v>880.70190000000002</v>
      </c>
      <c r="H241" s="18">
        <v>738378.04949999996</v>
      </c>
      <c r="I241" s="18">
        <v>1875.5451</v>
      </c>
      <c r="J241" s="18">
        <v>0</v>
      </c>
      <c r="K241" s="18">
        <v>2429.1852000000003</v>
      </c>
      <c r="L241" s="13">
        <f t="shared" si="4"/>
        <v>754556.3960999999</v>
      </c>
      <c r="M241" s="8"/>
      <c r="N241" s="165"/>
    </row>
    <row r="242" spans="1:14" s="3" customFormat="1" ht="12.2" customHeight="1" x14ac:dyDescent="0.15">
      <c r="A242" s="1" t="s">
        <v>445</v>
      </c>
      <c r="B242" s="2" t="s">
        <v>350</v>
      </c>
      <c r="C242" s="2" t="s">
        <v>297</v>
      </c>
      <c r="D242" s="2" t="s">
        <v>431</v>
      </c>
      <c r="E242" s="6">
        <v>2400</v>
      </c>
      <c r="F242" s="18">
        <v>565625.86499999999</v>
      </c>
      <c r="G242" s="18">
        <v>340859.31</v>
      </c>
      <c r="H242" s="18">
        <v>45032.532899999998</v>
      </c>
      <c r="I242" s="18">
        <v>5101.25</v>
      </c>
      <c r="J242" s="18">
        <v>0</v>
      </c>
      <c r="K242" s="18">
        <v>30501.465399999997</v>
      </c>
      <c r="L242" s="13">
        <f t="shared" si="4"/>
        <v>987120.42330000002</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452483.30799999996</v>
      </c>
      <c r="G244" s="18">
        <v>209960.55910000001</v>
      </c>
      <c r="H244" s="18">
        <v>397811.13479999994</v>
      </c>
      <c r="I244" s="18">
        <v>433287.84650000004</v>
      </c>
      <c r="J244" s="18">
        <v>24566.7601</v>
      </c>
      <c r="K244" s="18">
        <v>0</v>
      </c>
      <c r="L244" s="13">
        <f t="shared" si="4"/>
        <v>1518109.6084999999</v>
      </c>
      <c r="M244" s="8"/>
      <c r="N244" s="165"/>
    </row>
    <row r="245" spans="1:14" s="3" customFormat="1" ht="12.2" customHeight="1" x14ac:dyDescent="0.15">
      <c r="A245" s="1" t="s">
        <v>448</v>
      </c>
      <c r="B245" s="2" t="s">
        <v>350</v>
      </c>
      <c r="C245" s="2" t="s">
        <v>300</v>
      </c>
      <c r="D245" s="2" t="s">
        <v>431</v>
      </c>
      <c r="E245" s="6">
        <v>2700</v>
      </c>
      <c r="F245" s="18">
        <v>0</v>
      </c>
      <c r="G245" s="18">
        <v>0</v>
      </c>
      <c r="H245" s="18">
        <v>935826.35340000025</v>
      </c>
      <c r="I245" s="18">
        <v>0</v>
      </c>
      <c r="J245" s="18">
        <v>0</v>
      </c>
      <c r="K245" s="18">
        <v>0</v>
      </c>
      <c r="L245" s="13">
        <f t="shared" si="4"/>
        <v>935826.35340000025</v>
      </c>
      <c r="M245" s="8"/>
      <c r="N245" s="165"/>
    </row>
    <row r="246" spans="1:14" s="3" customFormat="1" ht="12.2" customHeight="1" x14ac:dyDescent="0.15">
      <c r="A246" s="1" t="s">
        <v>449</v>
      </c>
      <c r="B246" s="2" t="s">
        <v>350</v>
      </c>
      <c r="C246" s="2" t="s">
        <v>343</v>
      </c>
      <c r="D246" s="2" t="s">
        <v>431</v>
      </c>
      <c r="E246" s="6">
        <v>2800</v>
      </c>
      <c r="F246" s="18">
        <v>0</v>
      </c>
      <c r="G246" s="18">
        <v>1943.3661</v>
      </c>
      <c r="H246" s="18">
        <v>0</v>
      </c>
      <c r="I246" s="18">
        <v>0</v>
      </c>
      <c r="J246" s="18">
        <v>0</v>
      </c>
      <c r="K246" s="18">
        <v>0</v>
      </c>
      <c r="L246" s="13">
        <f>SUM(F246:K246)</f>
        <v>1943.3661</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8788719.2626000009</v>
      </c>
      <c r="G248" s="38">
        <f t="shared" si="5"/>
        <v>4262886.3148999996</v>
      </c>
      <c r="H248" s="38">
        <f t="shared" si="5"/>
        <v>3277999.4392000004</v>
      </c>
      <c r="I248" s="38">
        <f t="shared" si="5"/>
        <v>883205.6152</v>
      </c>
      <c r="J248" s="38">
        <f t="shared" si="5"/>
        <v>238136.02519999997</v>
      </c>
      <c r="K248" s="38">
        <f t="shared" si="5"/>
        <v>76003.480599999995</v>
      </c>
      <c r="L248" s="38">
        <f t="shared" si="5"/>
        <v>17526950.137699999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44771.25</v>
      </c>
      <c r="G252" s="18">
        <v>12704.84</v>
      </c>
      <c r="H252" s="18">
        <v>407.72</v>
      </c>
      <c r="I252" s="18">
        <v>1341.28</v>
      </c>
      <c r="J252" s="18">
        <v>0</v>
      </c>
      <c r="K252" s="18">
        <v>50</v>
      </c>
      <c r="L252" s="13">
        <f t="shared" si="6"/>
        <v>59275.09</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c r="G254" s="18"/>
      <c r="H254" s="18">
        <v>5000</v>
      </c>
      <c r="I254" s="18">
        <v>0</v>
      </c>
      <c r="J254" s="18"/>
      <c r="K254" s="18"/>
      <c r="L254" s="13">
        <f t="shared" si="6"/>
        <v>5000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44771.25</v>
      </c>
      <c r="G257" s="38">
        <f t="shared" si="7"/>
        <v>12704.84</v>
      </c>
      <c r="H257" s="38">
        <f t="shared" si="7"/>
        <v>5407.72</v>
      </c>
      <c r="I257" s="38">
        <f t="shared" si="7"/>
        <v>1341.28</v>
      </c>
      <c r="J257" s="38">
        <f t="shared" si="7"/>
        <v>0</v>
      </c>
      <c r="K257" s="38">
        <f t="shared" si="7"/>
        <v>50</v>
      </c>
      <c r="L257" s="38">
        <f>SUM(F257:K257)</f>
        <v>64275.09</v>
      </c>
      <c r="M257" s="8"/>
      <c r="N257" s="165"/>
    </row>
    <row r="258" spans="1:14" s="3" customFormat="1" ht="12.2" customHeight="1" thickTop="1" x14ac:dyDescent="0.15">
      <c r="A258" s="35" t="s">
        <v>462</v>
      </c>
      <c r="B258" s="37">
        <v>10</v>
      </c>
      <c r="C258" s="37">
        <v>8</v>
      </c>
      <c r="D258" s="36" t="s">
        <v>431</v>
      </c>
      <c r="E258" s="37"/>
      <c r="F258" s="38">
        <f t="shared" ref="F258:L258" si="8">F212+F230+F248+F257</f>
        <v>23318451.800000001</v>
      </c>
      <c r="G258" s="38">
        <f t="shared" si="8"/>
        <v>11374841.140000001</v>
      </c>
      <c r="H258" s="38">
        <f t="shared" si="8"/>
        <v>7734049.8500000006</v>
      </c>
      <c r="I258" s="38">
        <f t="shared" si="8"/>
        <v>1795400.26</v>
      </c>
      <c r="J258" s="38">
        <f t="shared" si="8"/>
        <v>582619.46</v>
      </c>
      <c r="K258" s="38">
        <f t="shared" si="8"/>
        <v>101413.16</v>
      </c>
      <c r="L258" s="38">
        <f t="shared" si="8"/>
        <v>44906775.670000002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200000</v>
      </c>
      <c r="L267" s="13">
        <f t="shared" si="9"/>
        <v>200000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200000</v>
      </c>
      <c r="L271" s="38">
        <f t="shared" si="9"/>
        <v>200000</v>
      </c>
      <c r="M271" s="8"/>
      <c r="N271" s="165"/>
    </row>
    <row r="272" spans="1:14" s="33" customFormat="1" ht="12.2" customHeight="1" thickTop="1" x14ac:dyDescent="0.2">
      <c r="A272" s="40" t="s">
        <v>464</v>
      </c>
      <c r="B272" s="37">
        <v>10</v>
      </c>
      <c r="C272" s="37">
        <v>18</v>
      </c>
      <c r="D272" s="36" t="s">
        <v>431</v>
      </c>
      <c r="E272" s="37"/>
      <c r="F272" s="39">
        <f t="shared" ref="F272:L272" si="11">F258+F271</f>
        <v>23318451.800000001</v>
      </c>
      <c r="G272" s="39">
        <f t="shared" si="11"/>
        <v>11374841.140000001</v>
      </c>
      <c r="H272" s="39">
        <f t="shared" si="11"/>
        <v>7734049.8500000006</v>
      </c>
      <c r="I272" s="39">
        <f t="shared" si="11"/>
        <v>1795400.26</v>
      </c>
      <c r="J272" s="39">
        <f t="shared" si="11"/>
        <v>582619.46</v>
      </c>
      <c r="K272" s="39">
        <f t="shared" si="11"/>
        <v>301413.16000000003</v>
      </c>
      <c r="L272" s="39">
        <f t="shared" si="11"/>
        <v>45106775.670000002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185643.80559999996</v>
      </c>
      <c r="G277" s="18">
        <v>94987.541799999977</v>
      </c>
      <c r="H277" s="18">
        <v>4895.9728999999998</v>
      </c>
      <c r="I277" s="18">
        <v>78468.254799999995</v>
      </c>
      <c r="J277" s="18">
        <v>0</v>
      </c>
      <c r="K277" s="18">
        <v>0</v>
      </c>
      <c r="L277" s="13">
        <f>SUM(F277:K277)</f>
        <v>363995.57509999996</v>
      </c>
      <c r="M277" s="8"/>
      <c r="N277" s="165"/>
    </row>
    <row r="278" spans="1:14" s="3" customFormat="1" ht="12.2" customHeight="1" x14ac:dyDescent="0.15">
      <c r="A278" s="1" t="s">
        <v>439</v>
      </c>
      <c r="B278" s="2" t="s">
        <v>357</v>
      </c>
      <c r="C278" s="2" t="s">
        <v>291</v>
      </c>
      <c r="D278" s="2" t="s">
        <v>431</v>
      </c>
      <c r="E278" s="6">
        <v>1200</v>
      </c>
      <c r="F278" s="18">
        <v>176251.0436</v>
      </c>
      <c r="G278" s="18">
        <v>88815.541799999992</v>
      </c>
      <c r="H278" s="18">
        <v>1937.78</v>
      </c>
      <c r="I278" s="18">
        <v>14132.6564</v>
      </c>
      <c r="J278" s="18">
        <v>670.42200000000003</v>
      </c>
      <c r="K278" s="18">
        <v>0</v>
      </c>
      <c r="L278" s="13">
        <f>SUM(F278:K278)</f>
        <v>281807.44380000001</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767.77499999999998</v>
      </c>
      <c r="G282" s="18">
        <v>220.11869999999999</v>
      </c>
      <c r="H282" s="18">
        <v>4142.3107</v>
      </c>
      <c r="I282" s="18">
        <v>2195.1968999999995</v>
      </c>
      <c r="J282" s="18">
        <v>1636.5250999999998</v>
      </c>
      <c r="K282" s="18">
        <v>0</v>
      </c>
      <c r="L282" s="13">
        <f t="shared" ref="L282:L288" si="12">SUM(F282:K282)</f>
        <v>8961.9264000000003</v>
      </c>
      <c r="M282" s="8"/>
      <c r="N282" s="165"/>
    </row>
    <row r="283" spans="1:14" s="3" customFormat="1" ht="12.2" customHeight="1" x14ac:dyDescent="0.15">
      <c r="A283" s="1" t="s">
        <v>443</v>
      </c>
      <c r="B283" s="2" t="s">
        <v>357</v>
      </c>
      <c r="C283" s="2" t="s">
        <v>295</v>
      </c>
      <c r="D283" s="2" t="s">
        <v>431</v>
      </c>
      <c r="E283" s="6">
        <v>2200</v>
      </c>
      <c r="F283" s="18">
        <v>18059.349999999999</v>
      </c>
      <c r="G283" s="18">
        <v>6050.861399999998</v>
      </c>
      <c r="H283" s="18">
        <v>2804.16</v>
      </c>
      <c r="I283" s="18">
        <v>1059.6334999999999</v>
      </c>
      <c r="J283" s="18">
        <v>0</v>
      </c>
      <c r="K283" s="18">
        <v>0</v>
      </c>
      <c r="L283" s="13">
        <f t="shared" si="12"/>
        <v>27974.004899999996</v>
      </c>
      <c r="M283" s="8"/>
      <c r="N283" s="165"/>
    </row>
    <row r="284" spans="1:14" s="3" customFormat="1" ht="12.2" customHeight="1" x14ac:dyDescent="0.15">
      <c r="A284" s="1" t="s">
        <v>444</v>
      </c>
      <c r="B284" s="2" t="s">
        <v>357</v>
      </c>
      <c r="C284" s="2" t="s">
        <v>296</v>
      </c>
      <c r="D284" s="2" t="s">
        <v>431</v>
      </c>
      <c r="E284" s="6">
        <v>2300</v>
      </c>
      <c r="F284" s="18">
        <v>0</v>
      </c>
      <c r="G284" s="18">
        <v>0</v>
      </c>
      <c r="H284" s="18">
        <v>1304.6984</v>
      </c>
      <c r="I284" s="18">
        <v>0</v>
      </c>
      <c r="J284" s="18">
        <v>0</v>
      </c>
      <c r="K284" s="18">
        <v>8576.4599999999991</v>
      </c>
      <c r="L284" s="13">
        <f t="shared" si="12"/>
        <v>9881.1583999999984</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1508.05</v>
      </c>
      <c r="J285" s="18">
        <v>0</v>
      </c>
      <c r="K285" s="18">
        <v>0</v>
      </c>
      <c r="L285" s="13">
        <f t="shared" si="12"/>
        <v>1508.05</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2762.88</v>
      </c>
      <c r="I287" s="18">
        <v>0</v>
      </c>
      <c r="J287" s="18">
        <v>5395</v>
      </c>
      <c r="K287" s="18">
        <v>0</v>
      </c>
      <c r="L287" s="13">
        <f t="shared" si="12"/>
        <v>8157.88</v>
      </c>
      <c r="M287" s="8"/>
      <c r="N287" s="165"/>
    </row>
    <row r="288" spans="1:14" s="3" customFormat="1" ht="12.2" customHeight="1" x14ac:dyDescent="0.15">
      <c r="A288" s="1" t="s">
        <v>448</v>
      </c>
      <c r="B288" s="2" t="s">
        <v>357</v>
      </c>
      <c r="C288" s="2" t="s">
        <v>300</v>
      </c>
      <c r="D288" s="2" t="s">
        <v>431</v>
      </c>
      <c r="E288" s="6">
        <v>2700</v>
      </c>
      <c r="F288" s="18">
        <v>0</v>
      </c>
      <c r="G288" s="18">
        <v>0</v>
      </c>
      <c r="H288" s="18">
        <v>25.403999999999996</v>
      </c>
      <c r="I288" s="18">
        <v>0</v>
      </c>
      <c r="J288" s="18">
        <v>0</v>
      </c>
      <c r="K288" s="18">
        <v>0</v>
      </c>
      <c r="L288" s="13">
        <f t="shared" si="12"/>
        <v>25.403999999999996</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380721.97419999994</v>
      </c>
      <c r="G291" s="39">
        <f t="shared" si="13"/>
        <v>190074.06369999994</v>
      </c>
      <c r="H291" s="39">
        <f t="shared" si="13"/>
        <v>17873.205999999998</v>
      </c>
      <c r="I291" s="39">
        <f t="shared" si="13"/>
        <v>97363.791599999997</v>
      </c>
      <c r="J291" s="39">
        <f t="shared" si="13"/>
        <v>7701.9470999999994</v>
      </c>
      <c r="K291" s="39">
        <f t="shared" si="13"/>
        <v>8576.4599999999991</v>
      </c>
      <c r="L291" s="38">
        <f t="shared" si="13"/>
        <v>702311.44259999995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88430.214800000002</v>
      </c>
      <c r="G296" s="18">
        <v>36075.1944</v>
      </c>
      <c r="H296" s="18">
        <v>9631.7631999999994</v>
      </c>
      <c r="I296" s="18">
        <v>75675.198399999994</v>
      </c>
      <c r="J296" s="18">
        <v>0</v>
      </c>
      <c r="K296" s="18">
        <v>0</v>
      </c>
      <c r="L296" s="13">
        <f>SUM(F296:K296)</f>
        <v>209812.37079999998</v>
      </c>
      <c r="M296" s="8"/>
      <c r="N296" s="165"/>
    </row>
    <row r="297" spans="1:14" s="3" customFormat="1" ht="12.2" customHeight="1" x14ac:dyDescent="0.15">
      <c r="A297" s="1" t="s">
        <v>439</v>
      </c>
      <c r="B297" s="2" t="s">
        <v>358</v>
      </c>
      <c r="C297" s="2" t="s">
        <v>291</v>
      </c>
      <c r="D297" s="2" t="s">
        <v>431</v>
      </c>
      <c r="E297" s="6">
        <v>1200</v>
      </c>
      <c r="F297" s="18">
        <v>134298.8688</v>
      </c>
      <c r="G297" s="18">
        <v>73859.304400000008</v>
      </c>
      <c r="H297" s="18">
        <v>2138.2400000000002</v>
      </c>
      <c r="I297" s="18">
        <v>4840.3712000000005</v>
      </c>
      <c r="J297" s="18">
        <v>739.77600000000007</v>
      </c>
      <c r="K297" s="18">
        <v>0</v>
      </c>
      <c r="L297" s="13">
        <f>SUM(F297:K297)</f>
        <v>215876.56040000002</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3382.44</v>
      </c>
      <c r="G299" s="18">
        <v>969.74</v>
      </c>
      <c r="H299" s="18">
        <v>0</v>
      </c>
      <c r="I299" s="18">
        <v>0</v>
      </c>
      <c r="J299" s="18">
        <v>0</v>
      </c>
      <c r="K299" s="18">
        <v>0</v>
      </c>
      <c r="L299" s="13">
        <f>SUM(F299:K299)</f>
        <v>4352.18</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847.2</v>
      </c>
      <c r="G301" s="18">
        <v>242.88960000000003</v>
      </c>
      <c r="H301" s="18">
        <v>4570.8256000000001</v>
      </c>
      <c r="I301" s="18">
        <v>2167.5551999999998</v>
      </c>
      <c r="J301" s="18">
        <v>1805.8208</v>
      </c>
      <c r="K301" s="18"/>
      <c r="L301" s="13">
        <f t="shared" ref="L301:L307" si="14">SUM(F301:K301)</f>
        <v>9634.2911999999997</v>
      </c>
      <c r="M301" s="8"/>
      <c r="N301" s="165"/>
    </row>
    <row r="302" spans="1:14" s="3" customFormat="1" ht="12.2" customHeight="1" x14ac:dyDescent="0.15">
      <c r="A302" s="1" t="s">
        <v>443</v>
      </c>
      <c r="B302" s="2" t="s">
        <v>358</v>
      </c>
      <c r="C302" s="2" t="s">
        <v>295</v>
      </c>
      <c r="D302" s="2" t="s">
        <v>431</v>
      </c>
      <c r="E302" s="6">
        <v>2200</v>
      </c>
      <c r="F302" s="18">
        <v>18244.800000000003</v>
      </c>
      <c r="G302" s="18">
        <v>6193.4912000000004</v>
      </c>
      <c r="H302" s="18">
        <v>785.28</v>
      </c>
      <c r="I302" s="18">
        <v>989.80800000000011</v>
      </c>
      <c r="J302" s="18">
        <v>0</v>
      </c>
      <c r="K302" s="18">
        <v>0</v>
      </c>
      <c r="L302" s="13">
        <f t="shared" si="14"/>
        <v>26213.379200000003</v>
      </c>
      <c r="M302" s="8"/>
      <c r="N302" s="165"/>
    </row>
    <row r="303" spans="1:14" s="3" customFormat="1" ht="12.2" customHeight="1" x14ac:dyDescent="0.15">
      <c r="A303" s="1" t="s">
        <v>444</v>
      </c>
      <c r="B303" s="2" t="s">
        <v>358</v>
      </c>
      <c r="C303" s="2" t="s">
        <v>296</v>
      </c>
      <c r="D303" s="2" t="s">
        <v>431</v>
      </c>
      <c r="E303" s="6">
        <v>2300</v>
      </c>
      <c r="F303" s="18">
        <v>0</v>
      </c>
      <c r="G303" s="18">
        <v>0</v>
      </c>
      <c r="H303" s="18">
        <v>1439.6671999999999</v>
      </c>
      <c r="I303" s="18">
        <v>0</v>
      </c>
      <c r="J303" s="18">
        <v>0</v>
      </c>
      <c r="K303" s="18">
        <v>9463.68</v>
      </c>
      <c r="L303" s="13">
        <f t="shared" si="14"/>
        <v>10903.3472</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4885</v>
      </c>
      <c r="K306" s="18">
        <v>0</v>
      </c>
      <c r="L306" s="13">
        <f t="shared" si="14"/>
        <v>4885</v>
      </c>
      <c r="M306" s="8"/>
      <c r="N306" s="165"/>
    </row>
    <row r="307" spans="1:14" s="3" customFormat="1" ht="12.2" customHeight="1" x14ac:dyDescent="0.15">
      <c r="A307" s="1" t="s">
        <v>448</v>
      </c>
      <c r="B307" s="2" t="s">
        <v>358</v>
      </c>
      <c r="C307" s="2" t="s">
        <v>300</v>
      </c>
      <c r="D307" s="2" t="s">
        <v>431</v>
      </c>
      <c r="E307" s="6">
        <v>2700</v>
      </c>
      <c r="F307" s="18">
        <v>0</v>
      </c>
      <c r="G307" s="18">
        <v>0</v>
      </c>
      <c r="H307" s="18">
        <v>28.032</v>
      </c>
      <c r="I307" s="18">
        <v>0</v>
      </c>
      <c r="J307" s="18">
        <v>0</v>
      </c>
      <c r="K307" s="18">
        <v>0</v>
      </c>
      <c r="L307" s="13">
        <f t="shared" si="14"/>
        <v>28.032</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245203.52360000001</v>
      </c>
      <c r="G310" s="39">
        <f t="shared" si="15"/>
        <v>117340.61960000001</v>
      </c>
      <c r="H310" s="39">
        <f t="shared" si="15"/>
        <v>18593.807999999997</v>
      </c>
      <c r="I310" s="39">
        <f t="shared" si="15"/>
        <v>83672.932799999995</v>
      </c>
      <c r="J310" s="39">
        <f t="shared" si="15"/>
        <v>7430.5968000000003</v>
      </c>
      <c r="K310" s="39">
        <f t="shared" si="15"/>
        <v>9463.68</v>
      </c>
      <c r="L310" s="38">
        <f t="shared" si="15"/>
        <v>481705.16080000001</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38298.549599999998</v>
      </c>
      <c r="G315" s="18">
        <v>16318.533800000001</v>
      </c>
      <c r="H315" s="18">
        <v>5575.2739000000001</v>
      </c>
      <c r="I315" s="18">
        <v>80806.746799999994</v>
      </c>
      <c r="J315" s="18">
        <v>2170.02</v>
      </c>
      <c r="K315" s="18">
        <v>0</v>
      </c>
      <c r="L315" s="13">
        <f>SUM(F315:K315)</f>
        <v>143169.12409999999</v>
      </c>
      <c r="M315" s="8"/>
      <c r="N315" s="165"/>
    </row>
    <row r="316" spans="1:14" s="3" customFormat="1" ht="12.2" customHeight="1" x14ac:dyDescent="0.15">
      <c r="A316" s="1" t="s">
        <v>439</v>
      </c>
      <c r="B316" s="2" t="s">
        <v>359</v>
      </c>
      <c r="C316" s="2" t="s">
        <v>291</v>
      </c>
      <c r="D316" s="2" t="s">
        <v>431</v>
      </c>
      <c r="E316" s="6">
        <v>1200</v>
      </c>
      <c r="F316" s="18">
        <v>116218.6376</v>
      </c>
      <c r="G316" s="18">
        <v>49778.923799999997</v>
      </c>
      <c r="H316" s="18">
        <v>2605.98</v>
      </c>
      <c r="I316" s="18">
        <v>6820.2324000000008</v>
      </c>
      <c r="J316" s="18">
        <v>901.60200000000009</v>
      </c>
      <c r="K316" s="18">
        <v>0</v>
      </c>
      <c r="L316" s="13">
        <f>SUM(F316:K316)</f>
        <v>176325.37580000004</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2582</v>
      </c>
      <c r="J318" s="18">
        <v>0</v>
      </c>
      <c r="K318" s="18">
        <v>0</v>
      </c>
      <c r="L318" s="13">
        <f>SUM(F318:K318)</f>
        <v>2582</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7087.5249999999996</v>
      </c>
      <c r="G320" s="18">
        <v>2123.4216999999999</v>
      </c>
      <c r="H320" s="18">
        <v>5570.6936999999998</v>
      </c>
      <c r="I320" s="18">
        <v>2641.7079000000003</v>
      </c>
      <c r="J320" s="18">
        <v>2200.8440999999998</v>
      </c>
      <c r="K320" s="18">
        <v>2636.25</v>
      </c>
      <c r="L320" s="13">
        <f t="shared" ref="L320:L326" si="16">SUM(F320:K320)</f>
        <v>22260.4424</v>
      </c>
      <c r="M320" s="8"/>
      <c r="N320" s="165"/>
    </row>
    <row r="321" spans="1:14" s="3" customFormat="1" ht="12.2" customHeight="1" x14ac:dyDescent="0.15">
      <c r="A321" s="1" t="s">
        <v>443</v>
      </c>
      <c r="B321" s="2" t="s">
        <v>359</v>
      </c>
      <c r="C321" s="2" t="s">
        <v>295</v>
      </c>
      <c r="D321" s="2" t="s">
        <v>431</v>
      </c>
      <c r="E321" s="6">
        <v>2200</v>
      </c>
      <c r="F321" s="18">
        <v>22235.85</v>
      </c>
      <c r="G321" s="18">
        <v>7548.317399999999</v>
      </c>
      <c r="H321" s="18">
        <v>957.06</v>
      </c>
      <c r="I321" s="18">
        <v>1206.3285000000001</v>
      </c>
      <c r="J321" s="18">
        <v>0</v>
      </c>
      <c r="K321" s="18">
        <v>0</v>
      </c>
      <c r="L321" s="13">
        <f t="shared" si="16"/>
        <v>31947.555899999999</v>
      </c>
      <c r="M321" s="8"/>
      <c r="N321" s="165"/>
    </row>
    <row r="322" spans="1:14" s="3" customFormat="1" ht="12.2" customHeight="1" x14ac:dyDescent="0.15">
      <c r="A322" s="1" t="s">
        <v>444</v>
      </c>
      <c r="B322" s="2" t="s">
        <v>359</v>
      </c>
      <c r="C322" s="2" t="s">
        <v>296</v>
      </c>
      <c r="D322" s="2" t="s">
        <v>431</v>
      </c>
      <c r="E322" s="6">
        <v>2300</v>
      </c>
      <c r="F322" s="18">
        <v>0</v>
      </c>
      <c r="G322" s="18">
        <v>0</v>
      </c>
      <c r="H322" s="18">
        <v>1754.5944000000002</v>
      </c>
      <c r="I322" s="18">
        <v>0</v>
      </c>
      <c r="J322" s="18">
        <v>0</v>
      </c>
      <c r="K322" s="18">
        <v>13554.970000000001</v>
      </c>
      <c r="L322" s="13">
        <f t="shared" si="16"/>
        <v>15309.564400000001</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6394.3</v>
      </c>
      <c r="I325" s="18">
        <v>0</v>
      </c>
      <c r="J325" s="18">
        <v>89505.1</v>
      </c>
      <c r="K325" s="18">
        <v>0</v>
      </c>
      <c r="L325" s="13">
        <f t="shared" si="16"/>
        <v>95899.400000000009</v>
      </c>
      <c r="M325" s="8"/>
      <c r="N325" s="165"/>
    </row>
    <row r="326" spans="1:14" s="3" customFormat="1" ht="12.2" customHeight="1" x14ac:dyDescent="0.15">
      <c r="A326" s="1" t="s">
        <v>448</v>
      </c>
      <c r="B326" s="2" t="s">
        <v>359</v>
      </c>
      <c r="C326" s="2" t="s">
        <v>300</v>
      </c>
      <c r="D326" s="2" t="s">
        <v>431</v>
      </c>
      <c r="E326" s="6">
        <v>2700</v>
      </c>
      <c r="F326" s="18">
        <v>0</v>
      </c>
      <c r="G326" s="18">
        <v>0</v>
      </c>
      <c r="H326" s="18">
        <v>34.164000000000001</v>
      </c>
      <c r="I326" s="18">
        <v>0</v>
      </c>
      <c r="J326" s="18">
        <v>0</v>
      </c>
      <c r="K326" s="18">
        <v>0</v>
      </c>
      <c r="L326" s="13">
        <f t="shared" si="16"/>
        <v>34.164000000000001</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183840.56219999999</v>
      </c>
      <c r="G329" s="39">
        <f t="shared" si="17"/>
        <v>75769.1967</v>
      </c>
      <c r="H329" s="39">
        <f t="shared" si="17"/>
        <v>22892.065999999999</v>
      </c>
      <c r="I329" s="39">
        <f t="shared" si="17"/>
        <v>94057.015599999999</v>
      </c>
      <c r="J329" s="39">
        <f t="shared" si="17"/>
        <v>94777.566100000011</v>
      </c>
      <c r="K329" s="39">
        <f t="shared" si="17"/>
        <v>16191.220000000001</v>
      </c>
      <c r="L329" s="38">
        <f t="shared" si="17"/>
        <v>487527.62660000002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46709.65</v>
      </c>
      <c r="G334" s="18">
        <v>12771.2</v>
      </c>
      <c r="H334" s="18">
        <v>0</v>
      </c>
      <c r="I334" s="18">
        <v>1630.79</v>
      </c>
      <c r="J334" s="18">
        <v>5142</v>
      </c>
      <c r="K334" s="18">
        <v>0</v>
      </c>
      <c r="L334" s="13">
        <f t="shared" si="18"/>
        <v>66253.640000000014</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t="s">
        <v>286</v>
      </c>
      <c r="G337" s="18" t="s">
        <v>286</v>
      </c>
      <c r="H337" s="18">
        <v>766893.34</v>
      </c>
      <c r="I337" s="18">
        <v>0</v>
      </c>
      <c r="J337" s="18">
        <v>19261</v>
      </c>
      <c r="K337" s="18">
        <v>0</v>
      </c>
      <c r="L337" s="13">
        <f t="shared" si="18"/>
        <v>786154.34</v>
      </c>
      <c r="M337" s="8"/>
      <c r="N337" s="165"/>
    </row>
    <row r="338" spans="1:43" s="3" customFormat="1" ht="12.2" customHeight="1" thickTop="1" thickBot="1" x14ac:dyDescent="0.2">
      <c r="A338" s="46" t="s">
        <v>467</v>
      </c>
      <c r="B338" s="37">
        <v>14</v>
      </c>
      <c r="C338" s="47">
        <v>6</v>
      </c>
      <c r="D338" s="44" t="s">
        <v>431</v>
      </c>
      <c r="E338" s="47"/>
      <c r="F338" s="38">
        <f t="shared" ref="F338:K338" si="19">SUM(F333:F337)</f>
        <v>46709.65</v>
      </c>
      <c r="G338" s="38">
        <f t="shared" si="19"/>
        <v>12771.2</v>
      </c>
      <c r="H338" s="38">
        <f t="shared" si="19"/>
        <v>766893.34</v>
      </c>
      <c r="I338" s="38">
        <f t="shared" si="19"/>
        <v>1630.79</v>
      </c>
      <c r="J338" s="38">
        <f t="shared" si="19"/>
        <v>24403</v>
      </c>
      <c r="K338" s="38">
        <f t="shared" si="19"/>
        <v>0</v>
      </c>
      <c r="L338" s="38">
        <f t="shared" si="18"/>
        <v>852407.98</v>
      </c>
      <c r="M338" s="8"/>
      <c r="N338" s="165"/>
    </row>
    <row r="339" spans="1:43" s="3" customFormat="1" ht="12.2" customHeight="1" thickTop="1" x14ac:dyDescent="0.15">
      <c r="A339" s="35" t="s">
        <v>468</v>
      </c>
      <c r="B339" s="37">
        <v>14</v>
      </c>
      <c r="C339" s="37">
        <v>7</v>
      </c>
      <c r="D339" s="36" t="s">
        <v>431</v>
      </c>
      <c r="E339" s="37"/>
      <c r="F339" s="38">
        <f t="shared" ref="F339:L339" si="20">F291+F310+F329+F338</f>
        <v>856475.71000000008</v>
      </c>
      <c r="G339" s="38">
        <f t="shared" si="20"/>
        <v>395955.0799999999</v>
      </c>
      <c r="H339" s="38">
        <f t="shared" si="20"/>
        <v>826252.41999999993</v>
      </c>
      <c r="I339" s="38">
        <f t="shared" si="20"/>
        <v>276724.52999999997</v>
      </c>
      <c r="J339" s="38">
        <f t="shared" si="20"/>
        <v>134313.11000000002</v>
      </c>
      <c r="K339" s="38">
        <f t="shared" si="20"/>
        <v>34231.360000000001</v>
      </c>
      <c r="L339" s="38">
        <f t="shared" si="20"/>
        <v>2523952.21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856475.71000000008</v>
      </c>
      <c r="G353" s="38">
        <f>G339</f>
        <v>395955.0799999999</v>
      </c>
      <c r="H353" s="38">
        <f>H339</f>
        <v>826252.41999999993</v>
      </c>
      <c r="I353" s="38">
        <f>I339</f>
        <v>276724.52999999997</v>
      </c>
      <c r="J353" s="38">
        <f>J339</f>
        <v>134313.11000000002</v>
      </c>
      <c r="K353" s="38">
        <f>K339+K352</f>
        <v>34231.360000000001</v>
      </c>
      <c r="L353" s="38">
        <f>L339+L352</f>
        <v>2523952.21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126144.92819999999</v>
      </c>
      <c r="G359" s="18">
        <v>48967.28639999999</v>
      </c>
      <c r="H359" s="18">
        <v>8663.9502999999986</v>
      </c>
      <c r="I359" s="18">
        <v>154581.50709999996</v>
      </c>
      <c r="J359" s="18">
        <v>24637.45</v>
      </c>
      <c r="K359" s="18">
        <v>387.76499999999999</v>
      </c>
      <c r="L359" s="13">
        <f>SUM(F359:K359)</f>
        <v>363382.88699999993</v>
      </c>
      <c r="M359" s="8"/>
      <c r="N359" s="165"/>
    </row>
    <row r="360" spans="1:22" s="3" customFormat="1" ht="12.2" customHeight="1" x14ac:dyDescent="0.15">
      <c r="A360" s="1" t="s">
        <v>542</v>
      </c>
      <c r="B360" s="2" t="s">
        <v>366</v>
      </c>
      <c r="C360" s="6">
        <v>2</v>
      </c>
      <c r="D360" s="2" t="s">
        <v>431</v>
      </c>
      <c r="E360" s="6"/>
      <c r="F360" s="18">
        <v>141988.61559999999</v>
      </c>
      <c r="G360" s="18">
        <v>45348.541200000007</v>
      </c>
      <c r="H360" s="18">
        <v>9761.8424000000014</v>
      </c>
      <c r="I360" s="18">
        <v>223144.88680000001</v>
      </c>
      <c r="J360" s="18">
        <v>60343.74</v>
      </c>
      <c r="K360" s="18">
        <v>377.12</v>
      </c>
      <c r="L360" s="13">
        <f>SUM(F360:K360)</f>
        <v>480964.74599999998</v>
      </c>
      <c r="M360" s="8"/>
      <c r="N360" s="165"/>
    </row>
    <row r="361" spans="1:22" s="3" customFormat="1" ht="12.2" customHeight="1" x14ac:dyDescent="0.15">
      <c r="A361" s="3" t="s">
        <v>543</v>
      </c>
      <c r="B361" s="2" t="s">
        <v>366</v>
      </c>
      <c r="C361" s="6">
        <v>3</v>
      </c>
      <c r="D361" s="2" t="s">
        <v>431</v>
      </c>
      <c r="E361" s="6"/>
      <c r="F361" s="18">
        <v>152221.4762</v>
      </c>
      <c r="G361" s="18">
        <v>66898.482399999994</v>
      </c>
      <c r="H361" s="18">
        <v>18510.527300000002</v>
      </c>
      <c r="I361" s="18">
        <v>208414.91610000003</v>
      </c>
      <c r="J361" s="18">
        <v>37308</v>
      </c>
      <c r="K361" s="18">
        <v>463.21500000000003</v>
      </c>
      <c r="L361" s="13">
        <f>SUM(F361:K361)</f>
        <v>483816.61700000009</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420355.02</v>
      </c>
      <c r="G363" s="38">
        <f t="shared" si="22"/>
        <v>161214.31</v>
      </c>
      <c r="H363" s="38">
        <f t="shared" si="22"/>
        <v>36936.32</v>
      </c>
      <c r="I363" s="38">
        <f t="shared" si="22"/>
        <v>586141.31000000006</v>
      </c>
      <c r="J363" s="38">
        <f t="shared" si="22"/>
        <v>122289.19</v>
      </c>
      <c r="K363" s="38">
        <f t="shared" si="22"/>
        <v>1228.0999999999999</v>
      </c>
      <c r="L363" s="38">
        <f t="shared" si="22"/>
        <v>1328164.25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140895.38</v>
      </c>
      <c r="G368" s="18">
        <v>196300.42</v>
      </c>
      <c r="H368" s="18">
        <v>183960.42</v>
      </c>
      <c r="I368" s="13">
        <f>SUM(F368:H368)</f>
        <v>521156.22000000009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23565.059999999998</v>
      </c>
      <c r="G369" s="53">
        <v>22391.99</v>
      </c>
      <c r="H369" s="53">
        <v>19028.04</v>
      </c>
      <c r="I369" s="13">
        <f>SUM(F369:H369)</f>
        <v>64985.090000000004</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164460.44</v>
      </c>
      <c r="G370" s="38">
        <f>SUM(G368:G369)</f>
        <v>218692.41</v>
      </c>
      <c r="H370" s="38">
        <f>SUM(H368:H369)</f>
        <v>202988.46000000002</v>
      </c>
      <c r="I370" s="38">
        <f>SUM(I368:I369)</f>
        <v>586141.31000000006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v>1835620.58</v>
      </c>
      <c r="I376" s="18"/>
      <c r="J376" s="18"/>
      <c r="K376" s="18"/>
      <c r="L376" s="13">
        <f t="shared" ref="L376:L382" si="23">SUM(F376:K376)</f>
        <v>1835620.58</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v>54327.82</v>
      </c>
      <c r="I381" s="18"/>
      <c r="J381" s="18">
        <v>135393</v>
      </c>
      <c r="K381" s="18"/>
      <c r="L381" s="13">
        <f t="shared" si="23"/>
        <v>189720.82</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1889948.4000000001</v>
      </c>
      <c r="I383" s="38">
        <f t="shared" si="24"/>
        <v>0</v>
      </c>
      <c r="J383" s="38">
        <f t="shared" si="24"/>
        <v>135393</v>
      </c>
      <c r="K383" s="38">
        <f t="shared" si="24"/>
        <v>0</v>
      </c>
      <c r="L383" s="38">
        <f t="shared" si="24"/>
        <v>2025341.4000000001</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200000</v>
      </c>
      <c r="H393" s="18">
        <v>17759.32</v>
      </c>
      <c r="I393" s="18"/>
      <c r="J393" s="23" t="s">
        <v>288</v>
      </c>
      <c r="K393" s="23" t="s">
        <v>288</v>
      </c>
      <c r="L393" s="13">
        <f t="shared" si="25"/>
        <v>217759.32</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200000</v>
      </c>
      <c r="H394" s="97">
        <f>SUM(H388:H393)</f>
        <v>17759.32</v>
      </c>
      <c r="I394" s="54">
        <f>SUM(I388:I393)</f>
        <v>0</v>
      </c>
      <c r="J394" s="42" t="s">
        <v>288</v>
      </c>
      <c r="K394" s="42" t="s">
        <v>288</v>
      </c>
      <c r="L394" s="38">
        <f>SUM(L388:L393)</f>
        <v>217759.32</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t="s">
        <v>1812</v>
      </c>
      <c r="B404" s="2" t="s">
        <v>381</v>
      </c>
      <c r="C404" s="6">
        <v>15</v>
      </c>
      <c r="D404" s="2" t="s">
        <v>432</v>
      </c>
      <c r="E404" s="6"/>
      <c r="F404" s="18"/>
      <c r="G404" s="18"/>
      <c r="H404" s="18">
        <v>902.09</v>
      </c>
      <c r="I404" s="18">
        <v>3560.31</v>
      </c>
      <c r="J404" s="23" t="s">
        <v>288</v>
      </c>
      <c r="K404" s="23" t="s">
        <v>288</v>
      </c>
      <c r="L404" s="13">
        <f>SUM(F404:K404)</f>
        <v>4462.3999999999996</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902.09</v>
      </c>
      <c r="I408" s="38">
        <f>SUM(I404:I407)</f>
        <v>3560.31</v>
      </c>
      <c r="J408" s="45" t="s">
        <v>288</v>
      </c>
      <c r="K408" s="45" t="s">
        <v>288</v>
      </c>
      <c r="L408" s="38">
        <f>SUM(L404:L407)</f>
        <v>4462.3999999999996</v>
      </c>
      <c r="M408" s="8"/>
      <c r="N408" s="165"/>
    </row>
    <row r="409" spans="1:21" s="3" customFormat="1" ht="12.2" customHeight="1" thickTop="1" x14ac:dyDescent="0.15">
      <c r="A409" s="61" t="s">
        <v>421</v>
      </c>
      <c r="B409" s="2" t="s">
        <v>381</v>
      </c>
      <c r="C409" s="6">
        <v>20</v>
      </c>
      <c r="D409" s="6"/>
      <c r="E409" s="37"/>
      <c r="F409" s="38">
        <f>F394+F402+F408</f>
        <v>0</v>
      </c>
      <c r="G409" s="38">
        <f>G394+G402+G408</f>
        <v>200000</v>
      </c>
      <c r="H409" s="38">
        <f>H394+H402+H408</f>
        <v>18661.41</v>
      </c>
      <c r="I409" s="38">
        <f>I394+I402+I408</f>
        <v>3560.31</v>
      </c>
      <c r="J409" s="23" t="s">
        <v>288</v>
      </c>
      <c r="K409" s="23" t="s">
        <v>288</v>
      </c>
      <c r="L409" s="38">
        <f>L394+L402+L408</f>
        <v>222221.72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v>190329.82</v>
      </c>
      <c r="L419" s="13">
        <f t="shared" si="27"/>
        <v>190329.82</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190329.82</v>
      </c>
      <c r="L420" s="38">
        <f t="shared" si="28"/>
        <v>190329.82</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t="s">
        <v>1812</v>
      </c>
      <c r="B430" s="6">
        <v>17</v>
      </c>
      <c r="C430" s="6">
        <v>15</v>
      </c>
      <c r="D430" s="2" t="s">
        <v>432</v>
      </c>
      <c r="E430" s="6"/>
      <c r="F430" s="18"/>
      <c r="G430" s="18"/>
      <c r="H430" s="18"/>
      <c r="I430" s="18"/>
      <c r="J430" s="18"/>
      <c r="K430" s="18">
        <v>389.87</v>
      </c>
      <c r="L430" s="13">
        <f>SUM(F430:K430)</f>
        <v>389.87</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389.87</v>
      </c>
      <c r="L434" s="38">
        <f t="shared" si="31"/>
        <v>389.87</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190719.69</v>
      </c>
      <c r="L435" s="38">
        <f t="shared" si="32"/>
        <v>190719.69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467528.44</v>
      </c>
      <c r="G443" s="18"/>
      <c r="H443" s="18">
        <v>44279.28</v>
      </c>
      <c r="I443" s="13">
        <f t="shared" si="33"/>
        <v>511807.72</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467528.44</v>
      </c>
      <c r="G447" s="13">
        <f>SUM(G440:G446)</f>
        <v>0</v>
      </c>
      <c r="H447" s="13">
        <f>SUM(H440:H446)</f>
        <v>44279.28</v>
      </c>
      <c r="I447" s="13">
        <f>SUM(I440:I446)</f>
        <v>511807.72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156063.5</v>
      </c>
      <c r="G449" s="18"/>
      <c r="H449" s="18"/>
      <c r="I449" s="13">
        <f>SUM(F449:H449)</f>
        <v>156063.5</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156063.5</v>
      </c>
      <c r="G453" s="57">
        <f>SUM(G449:G452)</f>
        <v>0</v>
      </c>
      <c r="H453" s="57">
        <f>SUM(H449:H452)</f>
        <v>0</v>
      </c>
      <c r="I453" s="57">
        <f>SUM(I449:I452)</f>
        <v>156063.5</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v>38322.199999999997</v>
      </c>
      <c r="I458" s="13">
        <f t="shared" si="34"/>
        <v>38322.199999999997</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v>5957.08</v>
      </c>
      <c r="I459" s="13">
        <f t="shared" si="34"/>
        <v>5957.08</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311464.94</v>
      </c>
      <c r="G460" s="18"/>
      <c r="H460" s="18"/>
      <c r="I460" s="13">
        <f t="shared" si="34"/>
        <v>311464.94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311464.94</v>
      </c>
      <c r="G461" s="65">
        <f>SUM(G455:G460)</f>
        <v>0</v>
      </c>
      <c r="H461" s="65">
        <f>SUM(H455:H460)</f>
        <v>44279.28</v>
      </c>
      <c r="I461" s="65">
        <f>SUM(I455:I460)</f>
        <v>355744.22</v>
      </c>
      <c r="J461" s="23" t="s">
        <v>288</v>
      </c>
      <c r="K461" s="23" t="s">
        <v>288</v>
      </c>
      <c r="L461" s="23" t="s">
        <v>288</v>
      </c>
      <c r="N461" s="131"/>
    </row>
    <row r="462" spans="1:86" ht="12.2" customHeight="1" thickTop="1" x14ac:dyDescent="0.2">
      <c r="A462" s="40" t="s">
        <v>424</v>
      </c>
      <c r="B462" s="41">
        <v>18</v>
      </c>
      <c r="C462" s="64">
        <v>21</v>
      </c>
      <c r="D462" s="114" t="s">
        <v>432</v>
      </c>
      <c r="E462" s="64"/>
      <c r="F462" s="39">
        <f>F453+F461</f>
        <v>467528.44</v>
      </c>
      <c r="G462" s="39">
        <f>G453+G461</f>
        <v>0</v>
      </c>
      <c r="H462" s="39">
        <f>H453+H461</f>
        <v>44279.28</v>
      </c>
      <c r="I462" s="39">
        <f>I453+I461</f>
        <v>511807.72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4330455.58</v>
      </c>
      <c r="G466" s="18">
        <v>449637.82</v>
      </c>
      <c r="H466" s="18">
        <v>0</v>
      </c>
      <c r="I466" s="18">
        <v>-609</v>
      </c>
      <c r="J466" s="18">
        <v>324242.19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45314790.530000009</v>
      </c>
      <c r="G469" s="18">
        <v>1235461.2000000002</v>
      </c>
      <c r="H469" s="18">
        <v>2523952.21</v>
      </c>
      <c r="I469" s="18">
        <v>2025950.4</v>
      </c>
      <c r="J469" s="18">
        <f>217759.32+902.09+3560.31</f>
        <v>222221.72</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45314790.530000009</v>
      </c>
      <c r="G471" s="19">
        <f>SUM(G469:G470)</f>
        <v>1235461.2000000002</v>
      </c>
      <c r="H471" s="19">
        <f>SUM(H469:H470)</f>
        <v>2523952.21</v>
      </c>
      <c r="I471" s="19">
        <f>SUM(I469:I470)</f>
        <v>2025950.4</v>
      </c>
      <c r="J471" s="19">
        <f>SUM(J469:J470)</f>
        <v>222221.72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45106775.670000002</v>
      </c>
      <c r="G473" s="18">
        <v>1328164.25</v>
      </c>
      <c r="H473" s="18">
        <v>2523952.21</v>
      </c>
      <c r="I473" s="18">
        <v>2025341.4</v>
      </c>
      <c r="J473" s="18">
        <f>190329.82+389.87</f>
        <v>190719.69</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45106775.670000002</v>
      </c>
      <c r="G475" s="19">
        <f>SUM(G473:G474)</f>
        <v>1328164.25</v>
      </c>
      <c r="H475" s="19">
        <f>SUM(H473:H474)</f>
        <v>2523952.21</v>
      </c>
      <c r="I475" s="19">
        <f>SUM(I473:I474)</f>
        <v>2025341.4</v>
      </c>
      <c r="J475" s="19">
        <f>SUM(J473:J474)</f>
        <v>190719.69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4538470.4400000051</v>
      </c>
      <c r="G477" s="19">
        <f>(G466+G471)- G475</f>
        <v>356934.77000000025</v>
      </c>
      <c r="H477" s="19">
        <f>(H466+H471)- H475</f>
        <v>0</v>
      </c>
      <c r="I477" s="19">
        <f>(I466+I471)- I475</f>
        <v>0</v>
      </c>
      <c r="J477" s="19">
        <f>(J466+J471)- J475</f>
        <v>355744.22000000003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2364364.4448000006</v>
      </c>
      <c r="G522" s="18">
        <v>1202469.8832999999</v>
      </c>
      <c r="H522" s="18">
        <v>502360.41129999998</v>
      </c>
      <c r="I522" s="18">
        <v>37437.694199999998</v>
      </c>
      <c r="J522" s="18">
        <v>9010.8119999999999</v>
      </c>
      <c r="K522" s="18">
        <v>0</v>
      </c>
      <c r="L522" s="69">
        <f>SUM(F522:K522)</f>
        <v>4115643.2456</v>
      </c>
      <c r="N522" s="131"/>
    </row>
    <row r="523" spans="1:14" ht="12.2" customHeight="1" x14ac:dyDescent="0.2">
      <c r="A523" s="21" t="s">
        <v>634</v>
      </c>
      <c r="B523" s="22">
        <v>21</v>
      </c>
      <c r="C523" s="22">
        <v>2</v>
      </c>
      <c r="D523" s="2" t="s">
        <v>432</v>
      </c>
      <c r="E523" s="22"/>
      <c r="F523" s="18">
        <v>1743869.4084000001</v>
      </c>
      <c r="G523" s="18">
        <v>889647.11639999982</v>
      </c>
      <c r="H523" s="18">
        <v>554490.31039999996</v>
      </c>
      <c r="I523" s="18">
        <v>24866.143599999999</v>
      </c>
      <c r="J523" s="18">
        <v>3239.3559999999998</v>
      </c>
      <c r="K523" s="18">
        <v>0</v>
      </c>
      <c r="L523" s="69">
        <f>SUM(F523:K523)</f>
        <v>3216112.3347999998</v>
      </c>
      <c r="N523" s="131"/>
    </row>
    <row r="524" spans="1:14" ht="12.2" customHeight="1" thickBot="1" x14ac:dyDescent="0.25">
      <c r="A524" s="21" t="s">
        <v>635</v>
      </c>
      <c r="B524" s="22">
        <v>21</v>
      </c>
      <c r="C524" s="22">
        <v>3</v>
      </c>
      <c r="D524" s="2" t="s">
        <v>432</v>
      </c>
      <c r="E524" s="22"/>
      <c r="F524" s="18">
        <v>1590394.8368000002</v>
      </c>
      <c r="G524" s="18">
        <v>758560.08030000026</v>
      </c>
      <c r="H524" s="18">
        <v>676961.42830000003</v>
      </c>
      <c r="I524" s="18">
        <v>32221.812199999993</v>
      </c>
      <c r="J524" s="18">
        <v>1499.6020000000001</v>
      </c>
      <c r="K524" s="18">
        <v>0</v>
      </c>
      <c r="L524" s="69">
        <f>SUM(F524:K524)</f>
        <v>3059637.7596</v>
      </c>
      <c r="N524" s="131"/>
    </row>
    <row r="525" spans="1:14" ht="12.2" customHeight="1" thickTop="1" x14ac:dyDescent="0.2">
      <c r="A525" s="97" t="s">
        <v>63</v>
      </c>
      <c r="B525" s="41">
        <v>21</v>
      </c>
      <c r="C525" s="41">
        <v>4</v>
      </c>
      <c r="D525" s="115" t="s">
        <v>432</v>
      </c>
      <c r="E525" s="41"/>
      <c r="F525" s="81">
        <f>SUM(F522:F524)</f>
        <v>5698628.6900000013</v>
      </c>
      <c r="G525" s="81">
        <f t="shared" ref="G525:L525" si="36">SUM(G522:G524)</f>
        <v>2850677.08</v>
      </c>
      <c r="H525" s="81">
        <f t="shared" si="36"/>
        <v>1733812.15</v>
      </c>
      <c r="I525" s="81">
        <f t="shared" si="36"/>
        <v>94525.65</v>
      </c>
      <c r="J525" s="81">
        <f t="shared" si="36"/>
        <v>13749.77</v>
      </c>
      <c r="K525" s="81">
        <f t="shared" si="36"/>
        <v>0</v>
      </c>
      <c r="L525" s="70">
        <f t="shared" si="36"/>
        <v>10391393.34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630390.23499999987</v>
      </c>
      <c r="G527" s="18">
        <v>280338.53329999995</v>
      </c>
      <c r="H527" s="18">
        <v>5152.1322999999993</v>
      </c>
      <c r="I527" s="18">
        <v>30833.789100000005</v>
      </c>
      <c r="J527" s="18">
        <v>1636.5250999999998</v>
      </c>
      <c r="K527" s="18">
        <v>0</v>
      </c>
      <c r="L527" s="69">
        <f>SUM(F527:K527)</f>
        <v>948351.21479999996</v>
      </c>
      <c r="M527" s="8"/>
      <c r="N527" s="165"/>
    </row>
    <row r="528" spans="1:14" s="3" customFormat="1" ht="12.2" customHeight="1" x14ac:dyDescent="0.15">
      <c r="A528" s="21" t="s">
        <v>634</v>
      </c>
      <c r="B528" s="22">
        <v>21</v>
      </c>
      <c r="C528" s="22">
        <v>6</v>
      </c>
      <c r="D528" s="2" t="s">
        <v>432</v>
      </c>
      <c r="E528" s="22"/>
      <c r="F528" s="18">
        <v>454475.82999999996</v>
      </c>
      <c r="G528" s="18">
        <v>197037.80639999997</v>
      </c>
      <c r="H528" s="18">
        <v>5676.4384</v>
      </c>
      <c r="I528" s="18">
        <v>27640.782800000001</v>
      </c>
      <c r="J528" s="18">
        <v>1805.8208</v>
      </c>
      <c r="K528" s="18">
        <v>0</v>
      </c>
      <c r="L528" s="69">
        <f>SUM(F528:K528)</f>
        <v>686636.67839999998</v>
      </c>
      <c r="M528" s="8"/>
      <c r="N528" s="165"/>
    </row>
    <row r="529" spans="1:14" s="3" customFormat="1" ht="12.2" customHeight="1" thickBot="1" x14ac:dyDescent="0.2">
      <c r="A529" s="21" t="s">
        <v>635</v>
      </c>
      <c r="B529" s="22">
        <v>21</v>
      </c>
      <c r="C529" s="22">
        <v>7</v>
      </c>
      <c r="D529" s="2" t="s">
        <v>432</v>
      </c>
      <c r="E529" s="22"/>
      <c r="F529" s="18">
        <v>797809.33499999985</v>
      </c>
      <c r="G529" s="18">
        <v>429739.13030000002</v>
      </c>
      <c r="H529" s="18">
        <v>6918.1592999999993</v>
      </c>
      <c r="I529" s="18">
        <v>60961.968099999998</v>
      </c>
      <c r="J529" s="18">
        <v>2200.8440999999998</v>
      </c>
      <c r="K529" s="18">
        <v>1423.9099999999999</v>
      </c>
      <c r="L529" s="69">
        <f>SUM(F529:K529)</f>
        <v>1299053.3467999997</v>
      </c>
      <c r="M529" s="8"/>
      <c r="N529" s="165"/>
    </row>
    <row r="530" spans="1:14" s="3" customFormat="1" ht="12.2" customHeight="1" thickTop="1" x14ac:dyDescent="0.15">
      <c r="A530" s="97" t="s">
        <v>65</v>
      </c>
      <c r="B530" s="41">
        <v>21</v>
      </c>
      <c r="C530" s="41">
        <v>8</v>
      </c>
      <c r="D530" s="115" t="s">
        <v>432</v>
      </c>
      <c r="E530" s="41"/>
      <c r="F530" s="70">
        <f>SUM(F527:F529)</f>
        <v>1882675.4</v>
      </c>
      <c r="G530" s="70">
        <f t="shared" ref="G530:L530" si="37">SUM(G527:G529)</f>
        <v>907115.47</v>
      </c>
      <c r="H530" s="70">
        <f t="shared" si="37"/>
        <v>17746.73</v>
      </c>
      <c r="I530" s="70">
        <f t="shared" si="37"/>
        <v>119436.54000000001</v>
      </c>
      <c r="J530" s="70">
        <f t="shared" si="37"/>
        <v>5643.19</v>
      </c>
      <c r="K530" s="70">
        <f t="shared" si="37"/>
        <v>1423.9099999999999</v>
      </c>
      <c r="L530" s="70">
        <f t="shared" si="37"/>
        <v>2934041.2399999993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158336</v>
      </c>
      <c r="G532" s="18">
        <v>124648.64</v>
      </c>
      <c r="H532" s="18"/>
      <c r="I532" s="18"/>
      <c r="J532" s="18"/>
      <c r="K532" s="18"/>
      <c r="L532" s="69">
        <f>SUM(F532:K532)</f>
        <v>282984.64</v>
      </c>
      <c r="M532" s="8"/>
      <c r="N532" s="165"/>
    </row>
    <row r="533" spans="1:14" s="3" customFormat="1" ht="12.2" customHeight="1" x14ac:dyDescent="0.15">
      <c r="A533" s="21" t="s">
        <v>634</v>
      </c>
      <c r="B533" s="22">
        <v>21</v>
      </c>
      <c r="C533" s="22">
        <v>10</v>
      </c>
      <c r="D533" s="2" t="s">
        <v>432</v>
      </c>
      <c r="E533" s="22"/>
      <c r="F533" s="18">
        <v>82500</v>
      </c>
      <c r="G533" s="18">
        <v>61089.43</v>
      </c>
      <c r="H533" s="18"/>
      <c r="I533" s="18"/>
      <c r="J533" s="18"/>
      <c r="K533" s="18"/>
      <c r="L533" s="69">
        <f>SUM(F533:K533)</f>
        <v>143589.43</v>
      </c>
      <c r="M533" s="8"/>
      <c r="N533" s="165"/>
    </row>
    <row r="534" spans="1:14" s="3" customFormat="1" ht="12.2" customHeight="1" thickBot="1" x14ac:dyDescent="0.2">
      <c r="A534" s="21" t="s">
        <v>635</v>
      </c>
      <c r="B534" s="22">
        <v>21</v>
      </c>
      <c r="C534" s="22">
        <v>11</v>
      </c>
      <c r="D534" s="2" t="s">
        <v>432</v>
      </c>
      <c r="E534" s="22"/>
      <c r="F534" s="18">
        <v>90614</v>
      </c>
      <c r="G534" s="18">
        <v>40437.89</v>
      </c>
      <c r="H534" s="18"/>
      <c r="I534" s="18"/>
      <c r="J534" s="18"/>
      <c r="K534" s="18"/>
      <c r="L534" s="69">
        <f>SUM(F534:K534)</f>
        <v>131051.89</v>
      </c>
      <c r="M534" s="8"/>
      <c r="N534" s="165"/>
    </row>
    <row r="535" spans="1:14" s="3" customFormat="1" ht="12.2" customHeight="1" thickTop="1" x14ac:dyDescent="0.15">
      <c r="A535" s="97" t="s">
        <v>67</v>
      </c>
      <c r="B535" s="41">
        <v>21</v>
      </c>
      <c r="C535" s="41">
        <v>12</v>
      </c>
      <c r="D535" s="115" t="s">
        <v>432</v>
      </c>
      <c r="E535" s="41"/>
      <c r="F535" s="70">
        <f>SUM(F532:F534)</f>
        <v>331450</v>
      </c>
      <c r="G535" s="70">
        <f t="shared" ref="G535:L535" si="38">SUM(G532:G534)</f>
        <v>226175.96000000002</v>
      </c>
      <c r="H535" s="70">
        <f t="shared" si="38"/>
        <v>0</v>
      </c>
      <c r="I535" s="70">
        <f t="shared" si="38"/>
        <v>0</v>
      </c>
      <c r="J535" s="70">
        <f t="shared" si="38"/>
        <v>0</v>
      </c>
      <c r="K535" s="70">
        <f t="shared" si="38"/>
        <v>0</v>
      </c>
      <c r="L535" s="70">
        <f t="shared" si="38"/>
        <v>557625.96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2585.64</v>
      </c>
      <c r="I537" s="18">
        <v>0</v>
      </c>
      <c r="J537" s="18">
        <v>0</v>
      </c>
      <c r="K537" s="18">
        <v>0</v>
      </c>
      <c r="L537" s="69">
        <f>SUM(F537:K537)</f>
        <v>2585.64</v>
      </c>
      <c r="M537" s="8"/>
      <c r="N537" s="165"/>
    </row>
    <row r="538" spans="1:14" s="3" customFormat="1" ht="12.2" customHeight="1" x14ac:dyDescent="0.15">
      <c r="A538" s="21" t="s">
        <v>634</v>
      </c>
      <c r="B538" s="22">
        <v>21</v>
      </c>
      <c r="C538" s="22">
        <v>14</v>
      </c>
      <c r="D538" s="2" t="s">
        <v>432</v>
      </c>
      <c r="E538" s="22"/>
      <c r="F538" s="18">
        <v>0</v>
      </c>
      <c r="G538" s="18">
        <v>0</v>
      </c>
      <c r="H538" s="18">
        <v>2853.12</v>
      </c>
      <c r="I538" s="18">
        <v>0</v>
      </c>
      <c r="J538" s="18">
        <v>0</v>
      </c>
      <c r="K538" s="18">
        <v>0</v>
      </c>
      <c r="L538" s="69">
        <f>SUM(F538:K538)</f>
        <v>2853.12</v>
      </c>
      <c r="M538" s="8"/>
      <c r="N538" s="165"/>
    </row>
    <row r="539" spans="1:14" s="3" customFormat="1" ht="12.2" customHeight="1" thickBot="1" x14ac:dyDescent="0.2">
      <c r="A539" s="21" t="s">
        <v>635</v>
      </c>
      <c r="B539" s="22">
        <v>21</v>
      </c>
      <c r="C539" s="22">
        <v>15</v>
      </c>
      <c r="D539" s="2" t="s">
        <v>432</v>
      </c>
      <c r="E539" s="22"/>
      <c r="F539" s="18">
        <v>0</v>
      </c>
      <c r="G539" s="18">
        <v>0</v>
      </c>
      <c r="H539" s="18">
        <v>3477.2400000000002</v>
      </c>
      <c r="I539" s="18">
        <v>0</v>
      </c>
      <c r="J539" s="18">
        <v>0</v>
      </c>
      <c r="K539" s="18">
        <v>0</v>
      </c>
      <c r="L539" s="69">
        <f>SUM(F539:K539)</f>
        <v>3477.2400000000002</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8916</v>
      </c>
      <c r="I540" s="70">
        <f t="shared" si="39"/>
        <v>0</v>
      </c>
      <c r="J540" s="70">
        <f t="shared" si="39"/>
        <v>0</v>
      </c>
      <c r="K540" s="70">
        <f t="shared" si="39"/>
        <v>0</v>
      </c>
      <c r="L540" s="70">
        <f t="shared" si="39"/>
        <v>8916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242560.45439999999</v>
      </c>
      <c r="I542" s="18">
        <v>0</v>
      </c>
      <c r="J542" s="18">
        <v>0</v>
      </c>
      <c r="K542" s="18">
        <v>0</v>
      </c>
      <c r="L542" s="69">
        <f>SUM(F542:K542)</f>
        <v>242560.45439999999</v>
      </c>
      <c r="M542" s="8"/>
      <c r="N542" s="165"/>
    </row>
    <row r="543" spans="1:14" s="3" customFormat="1" ht="12.2" customHeight="1" x14ac:dyDescent="0.15">
      <c r="A543" s="21" t="s">
        <v>634</v>
      </c>
      <c r="B543" s="22">
        <v>21</v>
      </c>
      <c r="C543" s="22">
        <v>18</v>
      </c>
      <c r="D543" s="2" t="s">
        <v>432</v>
      </c>
      <c r="E543" s="22"/>
      <c r="F543" s="18">
        <v>0</v>
      </c>
      <c r="G543" s="18">
        <v>0</v>
      </c>
      <c r="H543" s="18">
        <v>267652.91519999999</v>
      </c>
      <c r="I543" s="18">
        <v>0</v>
      </c>
      <c r="J543" s="18">
        <v>0</v>
      </c>
      <c r="K543" s="18">
        <v>0</v>
      </c>
      <c r="L543" s="69">
        <f>SUM(F543:K543)</f>
        <v>267652.91519999999</v>
      </c>
      <c r="M543" s="8"/>
      <c r="N543" s="165"/>
    </row>
    <row r="544" spans="1:14" s="3" customFormat="1" ht="12.2" customHeight="1" thickBot="1" x14ac:dyDescent="0.2">
      <c r="A544" s="21" t="s">
        <v>635</v>
      </c>
      <c r="B544" s="22">
        <v>21</v>
      </c>
      <c r="C544" s="22">
        <v>19</v>
      </c>
      <c r="D544" s="2" t="s">
        <v>432</v>
      </c>
      <c r="E544" s="22"/>
      <c r="F544" s="18">
        <v>0</v>
      </c>
      <c r="G544" s="18">
        <v>0</v>
      </c>
      <c r="H544" s="18">
        <v>327245.51040000003</v>
      </c>
      <c r="I544" s="18">
        <v>0</v>
      </c>
      <c r="J544" s="18">
        <v>0</v>
      </c>
      <c r="K544" s="18">
        <v>0</v>
      </c>
      <c r="L544" s="69">
        <f>SUM(F544:K544)</f>
        <v>327245.51040000003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837458.88</v>
      </c>
      <c r="I545" s="141">
        <f t="shared" si="40"/>
        <v>0</v>
      </c>
      <c r="J545" s="141">
        <f t="shared" si="40"/>
        <v>0</v>
      </c>
      <c r="K545" s="141">
        <f t="shared" si="40"/>
        <v>0</v>
      </c>
      <c r="L545" s="141">
        <f t="shared" si="40"/>
        <v>837458.88</v>
      </c>
      <c r="M545" s="8"/>
      <c r="N545" s="165"/>
    </row>
    <row r="546" spans="1:14" s="3" customFormat="1" ht="12.2" customHeight="1" thickTop="1" x14ac:dyDescent="0.15">
      <c r="A546" s="75" t="s">
        <v>72</v>
      </c>
      <c r="B546" s="41">
        <v>21</v>
      </c>
      <c r="C546" s="41">
        <v>21</v>
      </c>
      <c r="D546" s="115" t="s">
        <v>432</v>
      </c>
      <c r="E546" s="41"/>
      <c r="F546" s="70">
        <f>F525+F530+F535+F540+F545</f>
        <v>7912754.0900000017</v>
      </c>
      <c r="G546" s="70">
        <f t="shared" ref="G546:L546" si="41">G525+G530+G535+G540+G545</f>
        <v>3983968.51</v>
      </c>
      <c r="H546" s="70">
        <f t="shared" si="41"/>
        <v>2597933.7599999998</v>
      </c>
      <c r="I546" s="70">
        <f t="shared" si="41"/>
        <v>213962.19</v>
      </c>
      <c r="J546" s="70">
        <f t="shared" si="41"/>
        <v>19392.96</v>
      </c>
      <c r="K546" s="70">
        <f t="shared" si="41"/>
        <v>1423.9099999999999</v>
      </c>
      <c r="L546" s="70">
        <f t="shared" si="41"/>
        <v>14729435.42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4115643.2456</v>
      </c>
      <c r="G550" s="69">
        <f>L527</f>
        <v>948351.21479999996</v>
      </c>
      <c r="H550" s="69">
        <f>L532</f>
        <v>282984.64</v>
      </c>
      <c r="I550" s="69">
        <f>L537</f>
        <v>2585.64</v>
      </c>
      <c r="J550" s="69">
        <f>L542</f>
        <v>242560.45439999999</v>
      </c>
      <c r="K550" s="69">
        <f>SUM(F550:J550)</f>
        <v>5592125.1947999997</v>
      </c>
      <c r="L550" s="23" t="s">
        <v>288</v>
      </c>
      <c r="M550" s="8"/>
      <c r="N550" s="165"/>
    </row>
    <row r="551" spans="1:14" s="3" customFormat="1" ht="12.2" customHeight="1" x14ac:dyDescent="0.15">
      <c r="A551" s="21" t="s">
        <v>634</v>
      </c>
      <c r="B551" s="22">
        <v>21</v>
      </c>
      <c r="C551" s="22">
        <v>23</v>
      </c>
      <c r="D551" s="2" t="s">
        <v>432</v>
      </c>
      <c r="E551" s="22"/>
      <c r="F551" s="69">
        <f>L523</f>
        <v>3216112.3347999998</v>
      </c>
      <c r="G551" s="69">
        <f>L528</f>
        <v>686636.67839999998</v>
      </c>
      <c r="H551" s="69">
        <f>L533</f>
        <v>143589.43</v>
      </c>
      <c r="I551" s="69">
        <f>L538</f>
        <v>2853.12</v>
      </c>
      <c r="J551" s="69">
        <f>L543</f>
        <v>267652.91519999999</v>
      </c>
      <c r="K551" s="69">
        <f>SUM(F551:J551)</f>
        <v>4316844.4784000004</v>
      </c>
      <c r="L551" s="23" t="s">
        <v>288</v>
      </c>
      <c r="M551" s="8"/>
      <c r="N551" s="165"/>
    </row>
    <row r="552" spans="1:14" s="3" customFormat="1" ht="12.2" customHeight="1" thickBot="1" x14ac:dyDescent="0.2">
      <c r="A552" s="21" t="s">
        <v>635</v>
      </c>
      <c r="B552" s="22">
        <v>21</v>
      </c>
      <c r="C552" s="22">
        <v>24</v>
      </c>
      <c r="D552" s="2" t="s">
        <v>432</v>
      </c>
      <c r="E552" s="22"/>
      <c r="F552" s="69">
        <f>L524</f>
        <v>3059637.7596</v>
      </c>
      <c r="G552" s="69">
        <f>L529</f>
        <v>1299053.3467999997</v>
      </c>
      <c r="H552" s="69">
        <f>L534</f>
        <v>131051.89</v>
      </c>
      <c r="I552" s="69">
        <f>L539</f>
        <v>3477.2400000000002</v>
      </c>
      <c r="J552" s="69">
        <f>L544</f>
        <v>327245.51040000003</v>
      </c>
      <c r="K552" s="69">
        <f>SUM(F552:J552)</f>
        <v>4820465.7467999998</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10391393.34</v>
      </c>
      <c r="G553" s="70">
        <f t="shared" si="42"/>
        <v>2934041.2399999993</v>
      </c>
      <c r="H553" s="70">
        <f t="shared" si="42"/>
        <v>557625.96</v>
      </c>
      <c r="I553" s="70">
        <f t="shared" si="42"/>
        <v>8916</v>
      </c>
      <c r="J553" s="70">
        <f t="shared" si="42"/>
        <v>837458.88</v>
      </c>
      <c r="K553" s="70">
        <f t="shared" si="42"/>
        <v>14729435.42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32946.273599999993</v>
      </c>
      <c r="G563" s="18">
        <v>16094.602699999999</v>
      </c>
      <c r="H563" s="18">
        <v>194.16079999999999</v>
      </c>
      <c r="I563" s="18">
        <v>0</v>
      </c>
      <c r="J563" s="18">
        <v>0</v>
      </c>
      <c r="K563" s="18">
        <v>0</v>
      </c>
      <c r="L563" s="69">
        <f>SUM(F563:K563)</f>
        <v>49235.037099999987</v>
      </c>
      <c r="M563" s="8"/>
      <c r="N563" s="165"/>
    </row>
    <row r="564" spans="1:14" s="3" customFormat="1" ht="12.2" customHeight="1" x14ac:dyDescent="0.15">
      <c r="A564" s="21" t="s">
        <v>634</v>
      </c>
      <c r="B564" s="22">
        <v>22</v>
      </c>
      <c r="C564" s="22">
        <v>6</v>
      </c>
      <c r="D564" s="2" t="s">
        <v>432</v>
      </c>
      <c r="E564" s="22"/>
      <c r="F564" s="18">
        <v>36354.508800000003</v>
      </c>
      <c r="G564" s="18">
        <v>17759.561600000001</v>
      </c>
      <c r="H564" s="18">
        <v>214.24639999999999</v>
      </c>
      <c r="I564" s="18">
        <v>0</v>
      </c>
      <c r="J564" s="18">
        <v>0</v>
      </c>
      <c r="K564" s="18">
        <v>0</v>
      </c>
      <c r="L564" s="69">
        <f>SUM(F564:K564)</f>
        <v>54328.316800000001</v>
      </c>
      <c r="M564" s="8"/>
      <c r="N564" s="165"/>
    </row>
    <row r="565" spans="1:14" s="3" customFormat="1" ht="12.2" customHeight="1" thickBot="1" x14ac:dyDescent="0.2">
      <c r="A565" s="21" t="s">
        <v>635</v>
      </c>
      <c r="B565" s="22">
        <v>22</v>
      </c>
      <c r="C565" s="22">
        <v>7</v>
      </c>
      <c r="D565" s="2" t="s">
        <v>432</v>
      </c>
      <c r="E565" s="22"/>
      <c r="F565" s="18">
        <v>44307.0576</v>
      </c>
      <c r="G565" s="18">
        <v>21644.465700000001</v>
      </c>
      <c r="H565" s="18">
        <v>261.11279999999999</v>
      </c>
      <c r="I565" s="18">
        <v>0</v>
      </c>
      <c r="J565" s="18">
        <v>0</v>
      </c>
      <c r="K565" s="18">
        <v>0</v>
      </c>
      <c r="L565" s="69">
        <f>SUM(F565:K565)</f>
        <v>66212.636100000003</v>
      </c>
      <c r="M565" s="8"/>
      <c r="N565" s="165"/>
    </row>
    <row r="566" spans="1:14" s="3" customFormat="1" ht="12.2" customHeight="1" thickTop="1" x14ac:dyDescent="0.15">
      <c r="A566" s="97" t="s">
        <v>65</v>
      </c>
      <c r="B566" s="41">
        <v>22</v>
      </c>
      <c r="C566" s="41">
        <v>8</v>
      </c>
      <c r="D566" s="115" t="s">
        <v>432</v>
      </c>
      <c r="E566" s="41"/>
      <c r="F566" s="70">
        <f t="shared" ref="F566:L566" si="44">SUM(F563:F565)</f>
        <v>113607.84</v>
      </c>
      <c r="G566" s="70">
        <f t="shared" si="44"/>
        <v>55498.630000000005</v>
      </c>
      <c r="H566" s="70">
        <f t="shared" si="44"/>
        <v>669.52</v>
      </c>
      <c r="I566" s="70">
        <f t="shared" si="44"/>
        <v>0</v>
      </c>
      <c r="J566" s="70">
        <f t="shared" si="44"/>
        <v>0</v>
      </c>
      <c r="K566" s="70">
        <f t="shared" si="44"/>
        <v>0</v>
      </c>
      <c r="L566" s="70">
        <f t="shared" si="44"/>
        <v>169775.99</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113607.84</v>
      </c>
      <c r="G572" s="70">
        <f t="shared" ref="G572:L572" si="46">G561+G566+G571</f>
        <v>55498.630000000005</v>
      </c>
      <c r="H572" s="70">
        <f t="shared" si="46"/>
        <v>669.52</v>
      </c>
      <c r="I572" s="70">
        <f t="shared" si="46"/>
        <v>0</v>
      </c>
      <c r="J572" s="70">
        <f t="shared" si="46"/>
        <v>0</v>
      </c>
      <c r="K572" s="70">
        <f t="shared" si="46"/>
        <v>0</v>
      </c>
      <c r="L572" s="70">
        <f t="shared" si="46"/>
        <v>169775.99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5196.0894999999991</v>
      </c>
      <c r="G580" s="18">
        <v>5733.616</v>
      </c>
      <c r="H580" s="18">
        <v>6987.8444999999992</v>
      </c>
      <c r="I580" s="69">
        <f t="shared" si="47"/>
        <v>17917.55</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318668.82289999997</v>
      </c>
      <c r="G583" s="18">
        <v>351634.56320000003</v>
      </c>
      <c r="H583" s="18">
        <v>428554.62390000001</v>
      </c>
      <c r="I583" s="69">
        <f t="shared" si="47"/>
        <v>1098858.01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183976.73</v>
      </c>
      <c r="I585" s="69">
        <f t="shared" si="47"/>
        <v>183976.73</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314601.30320000002</v>
      </c>
      <c r="I592" s="18">
        <v>347146.26560000004</v>
      </c>
      <c r="J592" s="18">
        <v>424627.27120000008</v>
      </c>
      <c r="K592" s="80">
        <f t="shared" ref="K592:K598" si="48">SUM(H592:J592)</f>
        <v>1086374.8400000001</v>
      </c>
      <c r="L592" s="23" t="s">
        <v>288</v>
      </c>
      <c r="M592" s="8"/>
      <c r="N592" s="165"/>
    </row>
    <row r="593" spans="1:14" s="3" customFormat="1" ht="12.2" customHeight="1" x14ac:dyDescent="0.15">
      <c r="A593" s="3" t="s">
        <v>638</v>
      </c>
      <c r="B593" s="22">
        <v>23</v>
      </c>
      <c r="C593" s="22">
        <v>2</v>
      </c>
      <c r="D593" s="2" t="s">
        <v>432</v>
      </c>
      <c r="E593" s="22"/>
      <c r="F593" s="78">
        <v>2722</v>
      </c>
      <c r="G593" s="79" t="s">
        <v>97</v>
      </c>
      <c r="H593" s="18">
        <v>242560.45439999999</v>
      </c>
      <c r="I593" s="18">
        <v>267652.91519999999</v>
      </c>
      <c r="J593" s="18">
        <v>327245.51040000003</v>
      </c>
      <c r="K593" s="80">
        <f t="shared" si="48"/>
        <v>837458.88</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41327.53</v>
      </c>
      <c r="K594" s="80">
        <f t="shared" si="48"/>
        <v>41327.53</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2119.17</v>
      </c>
      <c r="J595" s="18">
        <v>122848.06</v>
      </c>
      <c r="K595" s="80">
        <f t="shared" si="48"/>
        <v>124967.23</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3356.8500000000004</v>
      </c>
      <c r="I596" s="18">
        <v>3254.6099999999997</v>
      </c>
      <c r="J596" s="18">
        <v>9892.02</v>
      </c>
      <c r="K596" s="80">
        <f t="shared" si="48"/>
        <v>16503.48</v>
      </c>
      <c r="L596" s="23" t="s">
        <v>288</v>
      </c>
      <c r="M596" s="8"/>
      <c r="N596" s="165"/>
    </row>
    <row r="597" spans="1:14" s="3" customFormat="1" ht="12.2" customHeight="1" x14ac:dyDescent="0.15">
      <c r="A597" s="21" t="s">
        <v>641</v>
      </c>
      <c r="B597" s="22">
        <v>23</v>
      </c>
      <c r="C597" s="22">
        <v>6</v>
      </c>
      <c r="D597" s="2" t="s">
        <v>432</v>
      </c>
      <c r="E597" s="22"/>
      <c r="F597" s="78">
        <v>2726</v>
      </c>
      <c r="G597" s="79" t="s">
        <v>97</v>
      </c>
      <c r="H597" s="18" t="s">
        <v>286</v>
      </c>
      <c r="I597" s="18" t="s">
        <v>286</v>
      </c>
      <c r="J597" s="18" t="s">
        <v>286</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7351.099799999999</v>
      </c>
      <c r="I598" s="18">
        <v>8111.5583999999999</v>
      </c>
      <c r="J598" s="18">
        <v>9885.9617999999991</v>
      </c>
      <c r="K598" s="80">
        <f t="shared" si="48"/>
        <v>25348.619999999995</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567869.70739999996</v>
      </c>
      <c r="I599" s="81">
        <f>SUM(I592:I598)</f>
        <v>628284.51919999998</v>
      </c>
      <c r="J599" s="81">
        <f>SUM(J592:J598)</f>
        <v>935826.35340000025</v>
      </c>
      <c r="K599" s="81">
        <f>SUM(K592:K598)</f>
        <v>2131980.5800000005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188443.14430000001</v>
      </c>
      <c r="I605" s="18">
        <v>171172.83439999999</v>
      </c>
      <c r="J605" s="18">
        <v>338055.59130000003</v>
      </c>
      <c r="K605" s="80">
        <f>SUM(H605:J605)</f>
        <v>697671.57000000007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188443.14430000001</v>
      </c>
      <c r="I606" s="81">
        <f>SUM(I603:I605)</f>
        <v>171172.83439999999</v>
      </c>
      <c r="J606" s="81">
        <f>SUM(J603:J605)</f>
        <v>338055.59130000003</v>
      </c>
      <c r="K606" s="81">
        <f>SUM(K603:K605)</f>
        <v>697671.57000000007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6361126.040000001</v>
      </c>
      <c r="H618" s="80">
        <f>SUM(F52)</f>
        <v>6361126.0399999991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439674.62000000034</v>
      </c>
      <c r="H619" s="80">
        <f>SUM(G52)</f>
        <v>439674.62</v>
      </c>
      <c r="I619" s="87" t="s">
        <v>875</v>
      </c>
      <c r="J619" s="80">
        <f>G619-H619</f>
        <v>0</v>
      </c>
      <c r="K619" s="80"/>
      <c r="L619" s="80"/>
      <c r="M619" s="8"/>
    </row>
    <row r="620" spans="1:14" s="3" customFormat="1" ht="12.2" customHeight="1" x14ac:dyDescent="0.15">
      <c r="A620" s="74"/>
      <c r="B620" s="22"/>
      <c r="C620" s="22"/>
      <c r="D620" s="22"/>
      <c r="E620" s="22"/>
      <c r="F620" s="87" t="s">
        <v>685</v>
      </c>
      <c r="G620" s="80">
        <f>SUM(H19)</f>
        <v>336256.29000000004</v>
      </c>
      <c r="H620" s="80">
        <f>SUM(H52)</f>
        <v>336256.29</v>
      </c>
      <c r="I620" s="87" t="s">
        <v>876</v>
      </c>
      <c r="J620" s="80">
        <f>G620-H620</f>
        <v>0</v>
      </c>
      <c r="K620" s="80"/>
      <c r="L620" s="80"/>
      <c r="M620" s="8"/>
    </row>
    <row r="621" spans="1:14" s="3" customFormat="1" ht="12.2" customHeight="1" x14ac:dyDescent="0.15">
      <c r="A621" s="74"/>
      <c r="B621" s="22"/>
      <c r="C621" s="22"/>
      <c r="D621" s="22"/>
      <c r="E621" s="22"/>
      <c r="F621" s="87" t="s">
        <v>686</v>
      </c>
      <c r="G621" s="80">
        <f>SUM(I19)</f>
        <v>997274.97</v>
      </c>
      <c r="H621" s="80">
        <f>SUM(I52)</f>
        <v>997274.97</v>
      </c>
      <c r="I621" s="87" t="s">
        <v>877</v>
      </c>
      <c r="J621" s="80">
        <f>G621-H621</f>
        <v>0</v>
      </c>
      <c r="K621" s="80"/>
      <c r="L621" s="80"/>
      <c r="M621" s="8"/>
    </row>
    <row r="622" spans="1:14" s="3" customFormat="1" ht="12.2" customHeight="1" x14ac:dyDescent="0.15">
      <c r="A622" s="74"/>
      <c r="B622" s="22"/>
      <c r="C622" s="22"/>
      <c r="D622" s="22"/>
      <c r="E622" s="22"/>
      <c r="F622" s="87" t="s">
        <v>687</v>
      </c>
      <c r="G622" s="80">
        <f>SUM(J19)</f>
        <v>511807.72</v>
      </c>
      <c r="H622" s="80">
        <f>SUM(J52)</f>
        <v>511807.72</v>
      </c>
      <c r="I622" s="87" t="s">
        <v>878</v>
      </c>
      <c r="J622" s="80">
        <f>G622-H622</f>
        <v>0</v>
      </c>
      <c r="K622" s="80"/>
      <c r="L622" s="80"/>
      <c r="M622" s="8"/>
    </row>
    <row r="623" spans="1:14" s="3" customFormat="1" ht="12.2" customHeight="1" x14ac:dyDescent="0.15">
      <c r="A623" s="74"/>
      <c r="B623" s="22"/>
      <c r="C623" s="22"/>
      <c r="D623" s="22"/>
      <c r="E623" s="22"/>
      <c r="F623" s="87" t="s">
        <v>864</v>
      </c>
      <c r="G623" s="80">
        <f>F51</f>
        <v>4538470.4399999995</v>
      </c>
      <c r="H623" s="80">
        <f>F477</f>
        <v>4538470.4400000051</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356934.77</v>
      </c>
      <c r="H624" s="80">
        <f>G477</f>
        <v>356934.77000000025</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355744.22</v>
      </c>
      <c r="H627" s="80">
        <f>J477</f>
        <v>355744.22000000003</v>
      </c>
      <c r="I627" s="87" t="s">
        <v>105</v>
      </c>
      <c r="J627" s="80">
        <f t="shared" si="50"/>
        <v>0</v>
      </c>
      <c r="K627" s="67"/>
      <c r="L627" s="69"/>
      <c r="M627" s="8"/>
    </row>
    <row r="628" spans="1:13" s="3" customFormat="1" ht="12.2" customHeight="1" x14ac:dyDescent="0.15">
      <c r="A628" s="21"/>
      <c r="B628" s="22"/>
      <c r="C628" s="22"/>
      <c r="D628" s="22"/>
      <c r="E628" s="22"/>
      <c r="F628" s="86" t="s">
        <v>658</v>
      </c>
      <c r="G628" s="80">
        <f>F194</f>
        <v>45314790.529999994</v>
      </c>
      <c r="H628" s="80">
        <f>SUM(F469)</f>
        <v>45314790.530000009</v>
      </c>
      <c r="I628" s="87" t="s">
        <v>106</v>
      </c>
      <c r="J628" s="80">
        <f>G628-H628</f>
        <v>0</v>
      </c>
      <c r="K628" s="67"/>
      <c r="L628" s="69"/>
      <c r="M628" s="8"/>
    </row>
    <row r="629" spans="1:13" s="3" customFormat="1" ht="12.2" customHeight="1" x14ac:dyDescent="0.15">
      <c r="A629" s="21"/>
      <c r="B629" s="22"/>
      <c r="C629" s="22"/>
      <c r="D629" s="22"/>
      <c r="E629" s="22"/>
      <c r="F629" s="86" t="s">
        <v>659</v>
      </c>
      <c r="G629" s="80">
        <f>G194</f>
        <v>1235461.2</v>
      </c>
      <c r="H629" s="80">
        <f>SUM(G469)</f>
        <v>1235461.2000000002</v>
      </c>
      <c r="I629" s="87" t="s">
        <v>107</v>
      </c>
      <c r="J629" s="80">
        <f>G629-H629</f>
        <v>0</v>
      </c>
      <c r="K629" s="67"/>
      <c r="L629" s="69"/>
      <c r="M629" s="8"/>
    </row>
    <row r="630" spans="1:13" s="3" customFormat="1" ht="12.2" customHeight="1" x14ac:dyDescent="0.15">
      <c r="A630" s="21"/>
      <c r="B630" s="22"/>
      <c r="C630" s="22"/>
      <c r="D630" s="22"/>
      <c r="E630" s="22"/>
      <c r="F630" s="86" t="s">
        <v>660</v>
      </c>
      <c r="G630" s="80">
        <f>H194</f>
        <v>2523952.21</v>
      </c>
      <c r="H630" s="80">
        <f>SUM(H469)</f>
        <v>2523952.21</v>
      </c>
      <c r="I630" s="87" t="s">
        <v>108</v>
      </c>
      <c r="J630" s="80">
        <f>G630-H630</f>
        <v>0</v>
      </c>
      <c r="K630" s="67"/>
      <c r="L630" s="69"/>
      <c r="M630" s="8"/>
    </row>
    <row r="631" spans="1:13" s="3" customFormat="1" ht="12.2" customHeight="1" x14ac:dyDescent="0.15">
      <c r="A631" s="21"/>
      <c r="B631" s="22"/>
      <c r="C631" s="22"/>
      <c r="D631" s="22"/>
      <c r="E631" s="22"/>
      <c r="F631" s="86" t="s">
        <v>661</v>
      </c>
      <c r="G631" s="80">
        <f>I194</f>
        <v>2025950.4000000001</v>
      </c>
      <c r="H631" s="80">
        <f>SUM(I469)</f>
        <v>2025950.4</v>
      </c>
      <c r="I631" s="87" t="s">
        <v>109</v>
      </c>
      <c r="J631" s="80">
        <f>G631-H631</f>
        <v>0</v>
      </c>
      <c r="K631" s="67"/>
      <c r="L631" s="69"/>
      <c r="M631" s="8"/>
    </row>
    <row r="632" spans="1:13" s="3" customFormat="1" ht="12.2" customHeight="1" x14ac:dyDescent="0.15">
      <c r="A632" s="21"/>
      <c r="B632" s="22"/>
      <c r="C632" s="22"/>
      <c r="D632" s="22"/>
      <c r="E632" s="22"/>
      <c r="F632" s="86" t="s">
        <v>662</v>
      </c>
      <c r="G632" s="80">
        <f>J194</f>
        <v>222221.72</v>
      </c>
      <c r="H632" s="80">
        <f>SUM(J469)</f>
        <v>222221.72</v>
      </c>
      <c r="I632" s="87" t="s">
        <v>110</v>
      </c>
      <c r="J632" s="80">
        <f>G632-H632</f>
        <v>0</v>
      </c>
      <c r="K632" s="67"/>
      <c r="L632" s="69"/>
      <c r="M632" s="8"/>
    </row>
    <row r="633" spans="1:13" s="3" customFormat="1" ht="12.2" customHeight="1" x14ac:dyDescent="0.15">
      <c r="A633" s="21"/>
      <c r="B633" s="22"/>
      <c r="C633" s="22"/>
      <c r="D633" s="22"/>
      <c r="E633" s="22"/>
      <c r="F633" s="86" t="s">
        <v>394</v>
      </c>
      <c r="G633" s="80">
        <f>SUM(L272)</f>
        <v>45106775.670000002</v>
      </c>
      <c r="H633" s="80">
        <f>SUM(F473)</f>
        <v>45106775.670000002</v>
      </c>
      <c r="I633" s="87" t="s">
        <v>111</v>
      </c>
      <c r="J633" s="80">
        <f t="shared" si="50"/>
        <v>0</v>
      </c>
      <c r="K633" s="67"/>
      <c r="L633" s="69"/>
      <c r="M633" s="8"/>
    </row>
    <row r="634" spans="1:13" s="3" customFormat="1" ht="12.2" customHeight="1" x14ac:dyDescent="0.15">
      <c r="A634" s="21"/>
      <c r="B634" s="22"/>
      <c r="C634" s="22"/>
      <c r="D634" s="22"/>
      <c r="E634" s="22"/>
      <c r="F634" s="86" t="s">
        <v>395</v>
      </c>
      <c r="G634" s="80">
        <f>SUM(L353)</f>
        <v>2523952.21</v>
      </c>
      <c r="H634" s="80">
        <f>SUM(H473)</f>
        <v>2523952.21</v>
      </c>
      <c r="I634" s="87" t="s">
        <v>112</v>
      </c>
      <c r="J634" s="80">
        <f>G634-H634</f>
        <v>0</v>
      </c>
      <c r="K634" s="67"/>
      <c r="L634" s="69"/>
      <c r="M634" s="8"/>
    </row>
    <row r="635" spans="1:13" s="124" customFormat="1" ht="12.2" customHeight="1" x14ac:dyDescent="0.15">
      <c r="A635" s="21"/>
      <c r="B635" s="22"/>
      <c r="C635" s="22"/>
      <c r="D635" s="22"/>
      <c r="E635" s="22"/>
      <c r="F635" s="99" t="s">
        <v>247</v>
      </c>
      <c r="G635" s="80">
        <f>I363</f>
        <v>586141.31000000006</v>
      </c>
      <c r="H635" s="80">
        <f>I370</f>
        <v>586141.31000000006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1328164.25</v>
      </c>
      <c r="H636" s="80">
        <f>SUM(G473)</f>
        <v>1328164.25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2025341.4000000001</v>
      </c>
      <c r="H637" s="80">
        <f>SUM(I473)</f>
        <v>2025341.4</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222221.72</v>
      </c>
      <c r="H638" s="108">
        <f>SUM(J469)</f>
        <v>222221.72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190719.69</v>
      </c>
      <c r="H639" s="108">
        <f>SUM(J473)</f>
        <v>190719.69</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467528.44</v>
      </c>
      <c r="H640" s="80">
        <f>SUM(F462)</f>
        <v>467528.44</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44279.28</v>
      </c>
      <c r="H642" s="80">
        <f>SUM(H462)</f>
        <v>44279.28</v>
      </c>
      <c r="I642" s="87" t="s">
        <v>842</v>
      </c>
      <c r="J642" s="80">
        <f t="shared" si="50"/>
        <v>0</v>
      </c>
      <c r="K642" s="67"/>
      <c r="L642" s="69"/>
      <c r="M642" s="8"/>
    </row>
    <row r="643" spans="1:13" s="3" customFormat="1" ht="12.2" customHeight="1" x14ac:dyDescent="0.15">
      <c r="A643" s="21"/>
      <c r="B643" s="22"/>
      <c r="C643" s="22"/>
      <c r="D643" s="22"/>
      <c r="E643" s="22"/>
      <c r="F643" s="86" t="s">
        <v>121</v>
      </c>
      <c r="G643" s="80">
        <f>SUM(I447)</f>
        <v>511807.72</v>
      </c>
      <c r="H643" s="80">
        <f>SUM(I462)</f>
        <v>511807.72</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18661.41</v>
      </c>
      <c r="H645" s="80">
        <f>H409</f>
        <v>18661.41</v>
      </c>
      <c r="I645" s="87" t="s">
        <v>480</v>
      </c>
      <c r="J645" s="80">
        <f t="shared" si="50"/>
        <v>0</v>
      </c>
      <c r="K645" s="67"/>
      <c r="L645" s="69"/>
      <c r="M645" s="8"/>
    </row>
    <row r="646" spans="1:13" s="3" customFormat="1" ht="12.2" customHeight="1" x14ac:dyDescent="0.15">
      <c r="A646" s="21"/>
      <c r="B646" s="22"/>
      <c r="C646" s="22"/>
      <c r="D646" s="22"/>
      <c r="E646" s="22"/>
      <c r="F646" s="86" t="s">
        <v>664</v>
      </c>
      <c r="G646" s="80">
        <f>J184</f>
        <v>200000</v>
      </c>
      <c r="H646" s="80">
        <f>G409</f>
        <v>200000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222221.72</v>
      </c>
      <c r="H647" s="80">
        <f>L409</f>
        <v>222221.72</v>
      </c>
      <c r="I647" s="87" t="s">
        <v>477</v>
      </c>
      <c r="J647" s="80">
        <f t="shared" si="50"/>
        <v>0</v>
      </c>
      <c r="K647" s="67"/>
      <c r="L647" s="69"/>
      <c r="M647" s="8"/>
    </row>
    <row r="648" spans="1:13" s="3" customFormat="1" ht="12.2" customHeight="1" x14ac:dyDescent="0.15">
      <c r="A648" s="21"/>
      <c r="B648" s="22"/>
      <c r="C648" s="22"/>
      <c r="D648" s="22"/>
      <c r="E648" s="22"/>
      <c r="F648" s="86" t="s">
        <v>51</v>
      </c>
      <c r="G648" s="80">
        <f>K599</f>
        <v>2131980.5800000005</v>
      </c>
      <c r="H648" s="80">
        <f>L209+L227+L245</f>
        <v>2131980.58</v>
      </c>
      <c r="I648" s="87" t="s">
        <v>396</v>
      </c>
      <c r="J648" s="80">
        <f t="shared" si="50"/>
        <v>0</v>
      </c>
      <c r="K648" s="67"/>
      <c r="L648" s="69"/>
      <c r="M648" s="8"/>
    </row>
    <row r="649" spans="1:13" s="3" customFormat="1" ht="12.2" customHeight="1" x14ac:dyDescent="0.15">
      <c r="A649" s="21"/>
      <c r="B649" s="22"/>
      <c r="C649" s="22"/>
      <c r="D649" s="22"/>
      <c r="E649" s="22"/>
      <c r="F649" s="86" t="s">
        <v>52</v>
      </c>
      <c r="G649" s="80">
        <f>K606</f>
        <v>697671.57000000007</v>
      </c>
      <c r="H649" s="80">
        <f>(J258+J339)-(J256+J337)</f>
        <v>697671.57</v>
      </c>
      <c r="I649" s="87" t="s">
        <v>699</v>
      </c>
      <c r="J649" s="80">
        <f t="shared" si="50"/>
        <v>0</v>
      </c>
      <c r="K649" s="67"/>
      <c r="L649" s="69"/>
      <c r="M649" s="8"/>
    </row>
    <row r="650" spans="1:13" s="3" customFormat="1" ht="12.2" customHeight="1" x14ac:dyDescent="0.15">
      <c r="A650" s="21"/>
      <c r="B650" s="22"/>
      <c r="C650" s="22"/>
      <c r="D650" s="22"/>
      <c r="E650" s="22"/>
      <c r="F650" s="86" t="s">
        <v>387</v>
      </c>
      <c r="G650" s="80">
        <f>L209</f>
        <v>567869.70739999996</v>
      </c>
      <c r="H650" s="80">
        <f>H599</f>
        <v>567869.70739999996</v>
      </c>
      <c r="I650" s="87" t="s">
        <v>388</v>
      </c>
      <c r="J650" s="80">
        <f t="shared" si="50"/>
        <v>0</v>
      </c>
      <c r="K650" s="67"/>
      <c r="L650" s="69"/>
      <c r="M650" s="8"/>
    </row>
    <row r="651" spans="1:13" s="3" customFormat="1" ht="12.2" customHeight="1" x14ac:dyDescent="0.15">
      <c r="A651" s="21"/>
      <c r="B651" s="22"/>
      <c r="C651" s="22"/>
      <c r="D651" s="22"/>
      <c r="E651" s="22"/>
      <c r="F651" s="86" t="s">
        <v>392</v>
      </c>
      <c r="G651" s="80">
        <f>L227</f>
        <v>628284.51919999998</v>
      </c>
      <c r="H651" s="80">
        <f>I599</f>
        <v>628284.51919999998</v>
      </c>
      <c r="I651" s="87" t="s">
        <v>389</v>
      </c>
      <c r="J651" s="80">
        <f t="shared" si="50"/>
        <v>0</v>
      </c>
      <c r="K651" s="67"/>
      <c r="L651" s="69"/>
      <c r="M651" s="8"/>
    </row>
    <row r="652" spans="1:13" s="3" customFormat="1" ht="12.2" customHeight="1" x14ac:dyDescent="0.15">
      <c r="A652" s="21"/>
      <c r="B652" s="22"/>
      <c r="C652" s="22"/>
      <c r="D652" s="22"/>
      <c r="E652" s="22"/>
      <c r="F652" s="86" t="s">
        <v>393</v>
      </c>
      <c r="G652" s="80">
        <f>L245</f>
        <v>935826.35340000025</v>
      </c>
      <c r="H652" s="80">
        <f>J599</f>
        <v>935826.35340000025</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200000</v>
      </c>
      <c r="H656" s="80">
        <f>K267+K348</f>
        <v>200000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14866454.138300002</v>
      </c>
      <c r="G661" s="13">
        <f>(L230+L310+L360)</f>
        <v>14477460.5404</v>
      </c>
      <c r="H661" s="13">
        <f>(L248+L329+L361)</f>
        <v>18498294.381299999</v>
      </c>
      <c r="I661" s="13">
        <f>SUM(F661:H661)</f>
        <v>47842209.060000002</v>
      </c>
      <c r="J661" s="13"/>
      <c r="K661" s="13"/>
      <c r="L661" s="13"/>
      <c r="M661" s="9"/>
    </row>
    <row r="662" spans="1:13" s="3" customFormat="1" ht="12.2" customHeight="1" x14ac:dyDescent="0.2">
      <c r="A662" s="1" t="s">
        <v>127</v>
      </c>
      <c r="F662" s="13">
        <f>(L359/IF(SUM(L359:L361)=0,1,SUM(L359:L361))*(SUM(G97:G110)))</f>
        <v>196935.77276771612</v>
      </c>
      <c r="G662" s="13">
        <f>(L360/IF(SUM(L359:L361)=0,1,SUM(L359:L361))*(SUM(G97:G110)))</f>
        <v>260659.39623496452</v>
      </c>
      <c r="H662" s="13">
        <f>(L361/IF(SUM(L359:L361)=0,1,SUM(L359:L361))*(SUM(G97:G110)))</f>
        <v>262204.97099731938</v>
      </c>
      <c r="I662" s="13">
        <f>SUM(F662:H662)</f>
        <v>719800.14</v>
      </c>
      <c r="J662"/>
      <c r="K662" s="13"/>
      <c r="L662" s="13"/>
      <c r="M662" s="8"/>
    </row>
    <row r="663" spans="1:13" s="3" customFormat="1" ht="12.2" customHeight="1" x14ac:dyDescent="0.2">
      <c r="A663" s="1" t="s">
        <v>128</v>
      </c>
      <c r="F663" s="13">
        <f>(L209+L288)-(J209+J288)</f>
        <v>567895.11139999994</v>
      </c>
      <c r="G663" s="13">
        <f>(L227+L307)-(J227+J307)</f>
        <v>628312.55119999999</v>
      </c>
      <c r="H663" s="13">
        <f>(L245+L326)-(J245+J326)</f>
        <v>935860.51740000024</v>
      </c>
      <c r="I663" s="13">
        <f>SUM(F663:H663)</f>
        <v>2132068.1800000002</v>
      </c>
      <c r="J663"/>
      <c r="K663" s="13"/>
      <c r="L663" s="13"/>
      <c r="M663" s="9"/>
    </row>
    <row r="664" spans="1:13" s="3" customFormat="1" ht="12.2" customHeight="1" x14ac:dyDescent="0.15">
      <c r="A664" s="142" t="s">
        <v>129</v>
      </c>
      <c r="B664" s="124"/>
      <c r="C664" s="124"/>
      <c r="D664" s="124"/>
      <c r="E664" s="124"/>
      <c r="F664" s="143">
        <f>SUM(F576:F588)+SUM(H603:H605)+SUM(L612)</f>
        <v>512308.05669999996</v>
      </c>
      <c r="G664" s="143">
        <f>SUM(G576:G588)+SUM(I603:I605)+L613</f>
        <v>528541.01359999995</v>
      </c>
      <c r="H664" s="143">
        <f>SUM(H576:H588)+SUM(J603:J605)+L614</f>
        <v>957574.78970000008</v>
      </c>
      <c r="I664" s="13">
        <f>SUM(F664:H664)</f>
        <v>1998423.8599999999</v>
      </c>
      <c r="J664" s="13"/>
      <c r="K664" s="13"/>
      <c r="L664" s="13"/>
      <c r="M664" s="9"/>
    </row>
    <row r="665" spans="1:13" s="3" customFormat="1" ht="12.2" customHeight="1" x14ac:dyDescent="0.15">
      <c r="A665" s="1" t="s">
        <v>130</v>
      </c>
      <c r="F665" s="13">
        <f>F661-SUM(F662:F664)</f>
        <v>13589315.197432285</v>
      </c>
      <c r="G665" s="13">
        <f>G661-SUM(G662:G664)</f>
        <v>13059947.579365036</v>
      </c>
      <c r="H665" s="13">
        <f>H661-SUM(H662:H664)</f>
        <v>16342654.103202678</v>
      </c>
      <c r="I665" s="13">
        <f>I661-SUM(I662:I664)</f>
        <v>42991916.880000003</v>
      </c>
      <c r="J665" s="13"/>
      <c r="K665" s="13"/>
      <c r="L665" s="13"/>
      <c r="M665" s="8"/>
    </row>
    <row r="666" spans="1:13" s="3" customFormat="1" ht="12.2" customHeight="1" x14ac:dyDescent="0.2">
      <c r="A666" s="1" t="s">
        <v>131</v>
      </c>
      <c r="F666" s="183">
        <v>808.49</v>
      </c>
      <c r="G666" s="184">
        <v>822.47</v>
      </c>
      <c r="H666" s="184">
        <v>1021.05</v>
      </c>
      <c r="I666" s="13">
        <f>SUM(F666:H666)</f>
        <v>2652.01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16808.27</v>
      </c>
      <c r="G668" s="13">
        <f>ROUND(G665/G666,2)</f>
        <v>15878.93</v>
      </c>
      <c r="H668" s="13">
        <f>ROUND(H665/H666,2)</f>
        <v>16005.73</v>
      </c>
      <c r="I668" s="13">
        <f>ROUND(I665/I666,2)</f>
        <v>16211.07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-30.67</v>
      </c>
      <c r="I671" s="13">
        <f>SUM(F671:H671)</f>
        <v>-30.67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16808.27</v>
      </c>
      <c r="G673" s="13">
        <f>ROUND((G665+G670)/(G666+G671),2)</f>
        <v>15878.93</v>
      </c>
      <c r="H673" s="13">
        <f>ROUND((H665+H670)/(H666+H671),2)</f>
        <v>16501.400000000001</v>
      </c>
      <c r="I673" s="13">
        <f>ROUND((I665+I670)/(I666+I671),2)</f>
        <v>16400.740000000002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4" sqref="C14"/>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126298.86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78842.509999999995</v>
      </c>
      <c r="F9" s="272" t="s">
        <v>1627</v>
      </c>
    </row>
    <row r="10" spans="2:8" x14ac:dyDescent="0.25">
      <c r="B10" s="271"/>
      <c r="C10" s="271"/>
      <c r="D10" s="271"/>
      <c r="E10" s="271"/>
      <c r="F10" s="271"/>
    </row>
    <row r="11" spans="2:8" x14ac:dyDescent="0.25">
      <c r="B11" s="271"/>
      <c r="C11" s="275" t="s">
        <v>1631</v>
      </c>
      <c r="D11" s="272" t="s">
        <v>1634</v>
      </c>
      <c r="E11" s="260">
        <v>16999.599999999999</v>
      </c>
      <c r="F11" s="272" t="s">
        <v>1628</v>
      </c>
    </row>
    <row r="12" spans="2:8" x14ac:dyDescent="0.25">
      <c r="B12" s="271"/>
      <c r="C12" s="271"/>
      <c r="D12" s="272"/>
      <c r="E12" s="271"/>
      <c r="F12" s="271"/>
    </row>
    <row r="13" spans="2:8" x14ac:dyDescent="0.25">
      <c r="B13" s="271"/>
      <c r="C13" s="272" t="s">
        <v>1621</v>
      </c>
      <c r="D13" s="272" t="s">
        <v>1635</v>
      </c>
      <c r="E13" s="260">
        <v>30456.75</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Goffstown</v>
      </c>
      <c r="C5" s="317"/>
      <c r="D5" s="317"/>
      <c r="E5" s="317"/>
      <c r="F5" s="317"/>
    </row>
    <row r="8" spans="1:9" ht="18" x14ac:dyDescent="0.25">
      <c r="A8" s="240" t="s">
        <v>1560</v>
      </c>
      <c r="F8" s="247" t="s">
        <v>1578</v>
      </c>
    </row>
    <row r="9" spans="1:9" ht="15" x14ac:dyDescent="0.2">
      <c r="A9" s="238" t="s">
        <v>1561</v>
      </c>
      <c r="B9" s="241">
        <f>'DOE25'!G97</f>
        <v>719800.14</v>
      </c>
      <c r="F9" s="238" t="s">
        <v>1574</v>
      </c>
    </row>
    <row r="10" spans="1:9" ht="15" x14ac:dyDescent="0.2">
      <c r="A10" s="238" t="s">
        <v>1562</v>
      </c>
      <c r="B10" s="241">
        <f>'DOE25'!G112-'DOE25'!G97</f>
        <v>0</v>
      </c>
      <c r="F10" s="238" t="s">
        <v>1575</v>
      </c>
    </row>
    <row r="11" spans="1:9" ht="15" x14ac:dyDescent="0.2">
      <c r="A11" s="238" t="s">
        <v>1563</v>
      </c>
      <c r="B11" s="241">
        <f>'DOE25'!G140</f>
        <v>15053.26</v>
      </c>
      <c r="F11" s="238" t="s">
        <v>1576</v>
      </c>
    </row>
    <row r="12" spans="1:9" ht="15" x14ac:dyDescent="0.2">
      <c r="A12" s="238" t="s">
        <v>1564</v>
      </c>
      <c r="B12" s="241">
        <f>'DOE25'!G170</f>
        <v>500607.8</v>
      </c>
      <c r="F12" s="238" t="s">
        <v>1577</v>
      </c>
    </row>
    <row r="13" spans="1:9" ht="15" x14ac:dyDescent="0.2">
      <c r="A13" s="238" t="s">
        <v>1565</v>
      </c>
      <c r="B13" s="241">
        <f>'DOE25'!G193-'DOE25'!G180</f>
        <v>0</v>
      </c>
      <c r="F13" s="238" t="s">
        <v>1587</v>
      </c>
    </row>
    <row r="14" spans="1:9" ht="18" x14ac:dyDescent="0.25">
      <c r="A14" s="240" t="s">
        <v>732</v>
      </c>
      <c r="B14" s="242">
        <f>SUM(B9:B13)</f>
        <v>1235461.2</v>
      </c>
    </row>
    <row r="16" spans="1:9" ht="18" x14ac:dyDescent="0.25">
      <c r="A16" s="240" t="s">
        <v>786</v>
      </c>
      <c r="F16" s="247" t="s">
        <v>1579</v>
      </c>
    </row>
    <row r="17" spans="1:6" ht="15" x14ac:dyDescent="0.2">
      <c r="A17" s="238" t="s">
        <v>1566</v>
      </c>
      <c r="B17" s="241">
        <f>'DOE25'!L363-'DOE25'!L362</f>
        <v>1328164.25</v>
      </c>
      <c r="F17" s="238" t="s">
        <v>1580</v>
      </c>
    </row>
    <row r="18" spans="1:6" ht="15" x14ac:dyDescent="0.2">
      <c r="A18" s="238" t="s">
        <v>1567</v>
      </c>
      <c r="B18" s="251"/>
      <c r="F18" s="247" t="s">
        <v>1604</v>
      </c>
    </row>
    <row r="19" spans="1:6" ht="18" x14ac:dyDescent="0.25">
      <c r="A19" s="240" t="s">
        <v>725</v>
      </c>
      <c r="B19" s="242">
        <f>SUM(B17:B18)</f>
        <v>1328164.25</v>
      </c>
    </row>
    <row r="21" spans="1:6" ht="18.75" thickBot="1" x14ac:dyDescent="0.3">
      <c r="A21" s="240" t="s">
        <v>1568</v>
      </c>
    </row>
    <row r="22" spans="1:6" ht="18.75" thickTop="1" x14ac:dyDescent="0.25">
      <c r="A22" s="240" t="s">
        <v>1569</v>
      </c>
      <c r="B22" s="246">
        <f>B14-B19</f>
        <v>-92703.050000000047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449637.82</v>
      </c>
      <c r="F31" s="238" t="s">
        <v>1584</v>
      </c>
    </row>
    <row r="33" spans="1:6" ht="15" x14ac:dyDescent="0.2">
      <c r="A33" s="238" t="s">
        <v>1798</v>
      </c>
      <c r="B33" s="241">
        <f>'DOE25'!G477</f>
        <v>356934.77000000025</v>
      </c>
      <c r="F33" s="238" t="s">
        <v>1585</v>
      </c>
    </row>
    <row r="36" spans="1:6" ht="15" x14ac:dyDescent="0.2">
      <c r="A36" s="238" t="s">
        <v>1571</v>
      </c>
      <c r="B36" s="252">
        <v>82094.259999999995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36" sqref="E3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Goffstown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12410991.610000001</v>
      </c>
      <c r="C9" s="167">
        <f>'DOE25'!G198+'DOE25'!G216+'DOE25'!G234+'DOE25'!G277+'DOE25'!G296+'DOE25'!G315</f>
        <v>5996894.7000000002</v>
      </c>
    </row>
    <row r="10" spans="1:3" x14ac:dyDescent="0.2">
      <c r="A10" t="s">
        <v>775</v>
      </c>
      <c r="B10" s="177">
        <v>11717717.34</v>
      </c>
      <c r="C10" s="177">
        <v>5661909.9601779599</v>
      </c>
    </row>
    <row r="11" spans="1:3" x14ac:dyDescent="0.2">
      <c r="A11" t="s">
        <v>776</v>
      </c>
      <c r="B11" s="177">
        <v>0</v>
      </c>
      <c r="C11" s="177">
        <v>0</v>
      </c>
    </row>
    <row r="12" spans="1:3" x14ac:dyDescent="0.2">
      <c r="A12" t="s">
        <v>777</v>
      </c>
      <c r="B12" s="177">
        <v>693274.27000000142</v>
      </c>
      <c r="C12" s="177">
        <v>334984.73982204049</v>
      </c>
    </row>
    <row r="13" spans="1:3" x14ac:dyDescent="0.2">
      <c r="A13" t="str">
        <f>IF(B9=B13,IF(C9=C13,"Check Total OK","Check Total Error"),"Check Total Error")</f>
        <v>Check Total OK</v>
      </c>
      <c r="B13" s="169">
        <f>SUM(B10:B12)</f>
        <v>12410991.610000001</v>
      </c>
      <c r="C13" s="169">
        <f>SUM(C10:C12)</f>
        <v>5996894.7000000002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5698628.6900000004</v>
      </c>
      <c r="C18" s="167">
        <f>'DOE25'!G199+'DOE25'!G217+'DOE25'!G235+'DOE25'!G278+'DOE25'!G297+'DOE25'!G316</f>
        <v>2850677.0799999996</v>
      </c>
    </row>
    <row r="19" spans="1:3" x14ac:dyDescent="0.2">
      <c r="A19" t="s">
        <v>775</v>
      </c>
      <c r="B19" s="177">
        <v>3138902.17</v>
      </c>
      <c r="C19" s="177">
        <v>1570201.702750572</v>
      </c>
    </row>
    <row r="20" spans="1:3" x14ac:dyDescent="0.2">
      <c r="A20" t="s">
        <v>776</v>
      </c>
      <c r="B20" s="177">
        <v>2145574.98</v>
      </c>
      <c r="C20" s="177">
        <v>1073300.5695985181</v>
      </c>
    </row>
    <row r="21" spans="1:3" x14ac:dyDescent="0.2">
      <c r="A21" t="s">
        <v>777</v>
      </c>
      <c r="B21" s="177">
        <v>414151.54000000004</v>
      </c>
      <c r="C21" s="177">
        <v>207174.80765090926</v>
      </c>
    </row>
    <row r="22" spans="1:3" x14ac:dyDescent="0.2">
      <c r="A22" t="str">
        <f>IF(B18=B22,IF(C18=C22,"Check Total OK","Check Total Error"),"Check Total Error")</f>
        <v>Check Total OK</v>
      </c>
      <c r="B22" s="169">
        <f>SUM(B19:B21)</f>
        <v>5698628.6900000004</v>
      </c>
      <c r="C22" s="169">
        <f>SUM(C19:C21)</f>
        <v>2850677.0799999996</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485426.25</v>
      </c>
      <c r="C36" s="173">
        <f>'DOE25'!G201+'DOE25'!G219+'DOE25'!G237+'DOE25'!G280+'DOE25'!G299+'DOE25'!G318</f>
        <v>147672.46999999997</v>
      </c>
    </row>
    <row r="37" spans="1:3" x14ac:dyDescent="0.2">
      <c r="A37" t="s">
        <v>775</v>
      </c>
      <c r="B37" s="177">
        <v>3106.9100000000003</v>
      </c>
      <c r="C37" s="177">
        <v>945.15917457636453</v>
      </c>
    </row>
    <row r="38" spans="1:3" x14ac:dyDescent="0.2">
      <c r="A38" t="s">
        <v>776</v>
      </c>
      <c r="B38" s="177">
        <v>0</v>
      </c>
      <c r="C38" s="177">
        <v>0</v>
      </c>
    </row>
    <row r="39" spans="1:3" x14ac:dyDescent="0.2">
      <c r="A39" t="s">
        <v>777</v>
      </c>
      <c r="B39" s="177">
        <v>482319.34</v>
      </c>
      <c r="C39" s="177">
        <v>146727.31082542363</v>
      </c>
    </row>
    <row r="40" spans="1:3" x14ac:dyDescent="0.2">
      <c r="A40" t="str">
        <f>IF(B36=B40,IF(C36=C40,"Check Total OK","Check Total Error"),"Check Total Error")</f>
        <v>Check Total OK</v>
      </c>
      <c r="B40" s="169">
        <f>SUM(B37:B39)</f>
        <v>485426.25</v>
      </c>
      <c r="C40" s="169">
        <f>SUM(C37:C39)</f>
        <v>147672.47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F7" sqref="F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Goffstown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30141481.009999998</v>
      </c>
      <c r="D5" s="19">
        <f>SUM('DOE25'!L198:L201)+SUM('DOE25'!L216:L219)+SUM('DOE25'!L234:L237)-F5-G5-H5</f>
        <v>29612110.739999995</v>
      </c>
      <c r="E5" s="180"/>
      <c r="F5" s="181"/>
      <c r="G5" s="19">
        <f>SUM('DOE25'!J198:J201)+SUM('DOE25'!J216:J219)+SUM('DOE25'!J234:J237)</f>
        <v>483674.85</v>
      </c>
      <c r="H5" s="19">
        <f>SUM('DOE25'!K198:K201)+SUM('DOE25'!K216:K219)+SUM('DOE25'!K234:K237)</f>
        <v>45695.42</v>
      </c>
      <c r="I5" s="192"/>
    </row>
    <row r="6" spans="1:9" x14ac:dyDescent="0.2">
      <c r="A6" s="31">
        <v>2100</v>
      </c>
      <c r="B6" t="s">
        <v>796</v>
      </c>
      <c r="C6" s="206">
        <f t="shared" si="0"/>
        <v>2895820.83</v>
      </c>
      <c r="D6" s="19">
        <f>'DOE25'!L203+'DOE25'!L221+'DOE25'!L239-F6-G6-H6</f>
        <v>2614654.92</v>
      </c>
      <c r="E6" s="180"/>
      <c r="F6" s="181">
        <v>279742</v>
      </c>
      <c r="G6" s="19">
        <f>'DOE25'!J203+'DOE25'!J221+'DOE25'!J239</f>
        <v>0</v>
      </c>
      <c r="H6" s="19">
        <f>'DOE25'!K203+'DOE25'!K221+'DOE25'!K239</f>
        <v>1423.9099999999999</v>
      </c>
      <c r="I6" s="192"/>
    </row>
    <row r="7" spans="1:9" x14ac:dyDescent="0.2">
      <c r="A7" s="31">
        <v>2200</v>
      </c>
      <c r="B7" t="s">
        <v>820</v>
      </c>
      <c r="C7" s="206">
        <f t="shared" si="0"/>
        <v>1253588.1400000001</v>
      </c>
      <c r="D7" s="19">
        <f>'DOE25'!L204+'DOE25'!L222+'DOE25'!L240-F7-G7-H7</f>
        <v>1247090.3800000001</v>
      </c>
      <c r="E7" s="180"/>
      <c r="F7" s="181"/>
      <c r="G7" s="19">
        <f>'DOE25'!J204+'DOE25'!J222+'DOE25'!J240</f>
        <v>6497.76</v>
      </c>
      <c r="H7" s="19">
        <f>'DOE25'!K204+'DOE25'!K222+'DOE25'!K240</f>
        <v>0</v>
      </c>
      <c r="I7" s="192"/>
    </row>
    <row r="8" spans="1:9" x14ac:dyDescent="0.2">
      <c r="A8" s="31">
        <v>2300</v>
      </c>
      <c r="B8" t="s">
        <v>797</v>
      </c>
      <c r="C8" s="206">
        <f t="shared" si="0"/>
        <v>1296565.9468817597</v>
      </c>
      <c r="D8" s="180"/>
      <c r="E8" s="19">
        <f>'DOE25'!L205+'DOE25'!L223+'DOE25'!L241-F8-G8-H8-D9-D11</f>
        <v>1290337.2668817597</v>
      </c>
      <c r="F8" s="181"/>
      <c r="G8" s="19">
        <f>'DOE25'!J205+'DOE25'!J223+'DOE25'!J241</f>
        <v>0</v>
      </c>
      <c r="H8" s="19">
        <f>'DOE25'!K205+'DOE25'!K223+'DOE25'!K241</f>
        <v>6228.68</v>
      </c>
      <c r="I8" s="192"/>
    </row>
    <row r="9" spans="1:9" ht="14.25" x14ac:dyDescent="0.2">
      <c r="A9" s="31">
        <v>2310</v>
      </c>
      <c r="B9" s="71" t="s">
        <v>887</v>
      </c>
      <c r="C9" s="206">
        <f t="shared" si="0"/>
        <v>40319.61</v>
      </c>
      <c r="D9" s="181">
        <v>40319.61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597874.43311823998</v>
      </c>
      <c r="D11" s="181">
        <v>597874.43311823998</v>
      </c>
      <c r="E11" s="180"/>
      <c r="F11" s="180"/>
      <c r="G11" s="180"/>
      <c r="H11" s="180"/>
      <c r="I11" s="192"/>
    </row>
    <row r="12" spans="1:9" x14ac:dyDescent="0.2">
      <c r="A12" s="31">
        <v>2400</v>
      </c>
      <c r="B12" t="s">
        <v>711</v>
      </c>
      <c r="C12" s="206">
        <f t="shared" si="0"/>
        <v>2906605.65</v>
      </c>
      <c r="D12" s="19">
        <f>'DOE25'!L206+'DOE25'!L224+'DOE25'!L242-F12-G12-H12</f>
        <v>2858590.5</v>
      </c>
      <c r="E12" s="180"/>
      <c r="F12" s="181"/>
      <c r="G12" s="19">
        <f>'DOE25'!J206+'DOE25'!J224+'DOE25'!J242</f>
        <v>0</v>
      </c>
      <c r="H12" s="19">
        <f>'DOE25'!K206+'DOE25'!K224+'DOE25'!K242</f>
        <v>48015.149999999994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3571431.3899999997</v>
      </c>
      <c r="D14" s="19">
        <f>'DOE25'!L208+'DOE25'!L226+'DOE25'!L244-F14-G14-H14</f>
        <v>3425674.5399999996</v>
      </c>
      <c r="E14" s="180"/>
      <c r="F14" s="181">
        <v>53310</v>
      </c>
      <c r="G14" s="19">
        <f>'DOE25'!J208+'DOE25'!J226+'DOE25'!J244</f>
        <v>92446.85</v>
      </c>
      <c r="H14" s="19">
        <f>'DOE25'!K208+'DOE25'!K226+'DOE25'!K244</f>
        <v>0</v>
      </c>
      <c r="I14" s="192"/>
    </row>
    <row r="15" spans="1:9" x14ac:dyDescent="0.2">
      <c r="A15" s="31">
        <v>2700</v>
      </c>
      <c r="B15" t="s">
        <v>799</v>
      </c>
      <c r="C15" s="206">
        <f t="shared" si="0"/>
        <v>2131980.58</v>
      </c>
      <c r="D15" s="19">
        <f>'DOE25'!L209+'DOE25'!L227+'DOE25'!L245-F15-G15-H15</f>
        <v>38593.580000000075</v>
      </c>
      <c r="E15" s="180"/>
      <c r="F15" s="181">
        <v>2093387</v>
      </c>
      <c r="G15" s="19">
        <f>'DOE25'!J209+'DOE25'!J227+'DOE25'!J245</f>
        <v>0</v>
      </c>
      <c r="H15" s="19">
        <f>'DOE25'!K209+'DOE25'!K227+'DOE25'!K245</f>
        <v>0</v>
      </c>
      <c r="I15" s="192"/>
    </row>
    <row r="16" spans="1:9" x14ac:dyDescent="0.2">
      <c r="A16" s="31">
        <v>2800</v>
      </c>
      <c r="B16" t="s">
        <v>800</v>
      </c>
      <c r="C16" s="206">
        <f t="shared" si="0"/>
        <v>6832.9900000000007</v>
      </c>
      <c r="D16" s="180"/>
      <c r="E16" s="19">
        <f>'DOE25'!L210+'DOE25'!L228+'DOE25'!L246-F16-G16-H16</f>
        <v>6832.9900000000007</v>
      </c>
      <c r="F16" s="181"/>
      <c r="G16" s="19">
        <f>'DOE25'!J210+'DOE25'!J228+'DOE25'!J246</f>
        <v>0</v>
      </c>
      <c r="H16" s="19">
        <f>'DOE25'!K210+'DOE25'!K228+'DOE25'!K246</f>
        <v>0</v>
      </c>
      <c r="I16" s="192"/>
    </row>
    <row r="17" spans="1:9" x14ac:dyDescent="0.2">
      <c r="A17" s="31">
        <v>1600</v>
      </c>
      <c r="B17" t="s">
        <v>801</v>
      </c>
      <c r="C17" s="206">
        <f t="shared" si="0"/>
        <v>59275.09</v>
      </c>
      <c r="D17" s="19">
        <f>'DOE25'!L252-F17-G17-H17</f>
        <v>59225.09</v>
      </c>
      <c r="E17" s="180"/>
      <c r="F17" s="181"/>
      <c r="G17" s="19">
        <f>'DOE25'!J252</f>
        <v>0</v>
      </c>
      <c r="H17" s="19">
        <f>'DOE25'!K252</f>
        <v>50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5000</v>
      </c>
      <c r="D19" s="19">
        <f>'DOE25'!L254-F19-G19-H19</f>
        <v>5000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786154.34</v>
      </c>
      <c r="D22" s="180"/>
      <c r="E22" s="180"/>
      <c r="F22" s="180"/>
      <c r="G22" s="19">
        <f>'DOE25'!L256+'DOE25'!L337</f>
        <v>786154.34</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807008.02999999991</v>
      </c>
      <c r="D29" s="212">
        <f>'DOE25'!L359+'DOE25'!L360+'DOE25'!L361-'DOE25'!I368-F29-G29-H29-F39</f>
        <v>683490.73999999987</v>
      </c>
      <c r="E29" s="180"/>
      <c r="F29" s="180"/>
      <c r="G29" s="19">
        <f>'DOE25'!J359+'DOE25'!J360+'DOE25'!J361</f>
        <v>122289.19</v>
      </c>
      <c r="H29" s="19">
        <f>'DOE25'!K359+'DOE25'!K360+'DOE25'!K361</f>
        <v>1228.0999999999999</v>
      </c>
      <c r="I29" s="192"/>
    </row>
    <row r="30" spans="1:9" x14ac:dyDescent="0.2">
      <c r="A30" s="31"/>
      <c r="C30" s="207"/>
      <c r="D30" s="19"/>
      <c r="F30" s="201"/>
      <c r="G30" s="19"/>
      <c r="H30" s="19"/>
      <c r="I30" s="192"/>
    </row>
    <row r="31" spans="1:9" x14ac:dyDescent="0.2">
      <c r="A31" s="31" t="s">
        <v>817</v>
      </c>
      <c r="B31" t="s">
        <v>816</v>
      </c>
      <c r="C31" s="206">
        <f>SUM(D31:I31)</f>
        <v>1737797.87</v>
      </c>
      <c r="D31" s="19">
        <f>'DOE25'!L291+'DOE25'!L310+'DOE25'!L329+'DOE25'!L334+'DOE25'!L335+'DOE25'!L336-F31-G31-H31</f>
        <v>1588514.4</v>
      </c>
      <c r="E31" s="180"/>
      <c r="F31" s="181">
        <v>0</v>
      </c>
      <c r="G31" s="19">
        <f>'DOE25'!J291+'DOE25'!J310+'DOE25'!J329+'DOE25'!J334+'DOE25'!J335+'DOE25'!J336</f>
        <v>115052.11000000002</v>
      </c>
      <c r="H31" s="19">
        <f>'DOE25'!K291+'DOE25'!K310+'DOE25'!K329+'DOE25'!K334+'DOE25'!K335+'DOE25'!K336</f>
        <v>34231.360000000001</v>
      </c>
      <c r="I31" s="192"/>
    </row>
    <row r="32" spans="1:9" ht="12" thickBot="1" x14ac:dyDescent="0.25">
      <c r="C32" s="207"/>
      <c r="G32" s="188"/>
      <c r="H32" s="188"/>
      <c r="I32" s="194"/>
    </row>
    <row r="33" spans="1:9" ht="12" thickTop="1" x14ac:dyDescent="0.2">
      <c r="B33" t="s">
        <v>809</v>
      </c>
      <c r="D33" s="182">
        <f t="shared" ref="D33:I33" si="1">SUM(D5:D31)</f>
        <v>42771138.933118239</v>
      </c>
      <c r="E33" s="182">
        <f t="shared" si="1"/>
        <v>1297170.2568817597</v>
      </c>
      <c r="F33" s="182">
        <f t="shared" si="1"/>
        <v>2426439</v>
      </c>
      <c r="G33" s="182">
        <f t="shared" si="1"/>
        <v>1606115.0999999999</v>
      </c>
      <c r="H33" s="182">
        <f t="shared" si="1"/>
        <v>136872.62</v>
      </c>
      <c r="I33" s="182">
        <f t="shared" si="1"/>
        <v>0</v>
      </c>
    </row>
    <row r="34" spans="1:9" ht="12" thickBot="1" x14ac:dyDescent="0.25"/>
    <row r="35" spans="1:9" ht="12" thickBot="1" x14ac:dyDescent="0.25">
      <c r="B35" s="188" t="s">
        <v>830</v>
      </c>
      <c r="D35" s="189">
        <f>E33</f>
        <v>1297170.2568817597</v>
      </c>
      <c r="E35" s="185"/>
      <c r="F35" s="295" t="s">
        <v>1608</v>
      </c>
      <c r="G35" s="296"/>
      <c r="H35" s="296"/>
      <c r="I35" s="297"/>
    </row>
    <row r="36" spans="1:9" ht="12" thickTop="1" x14ac:dyDescent="0.2">
      <c r="B36" t="s">
        <v>810</v>
      </c>
      <c r="D36" s="19">
        <f>D33</f>
        <v>42771138.933118239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1" zoomScale="90" zoomScaleNormal="90" workbookViewId="0">
      <selection activeCell="E41" sqref="E4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Goffstown</v>
      </c>
      <c r="B2">
        <f>'DOE25'!B2</f>
        <v>199</v>
      </c>
      <c r="J2" s="224" t="s">
        <v>1808</v>
      </c>
      <c r="K2" s="309">
        <f>SUM('DOE25'!L198:L201)+SUM('DOE25'!L216:L219)+SUM('DOE25'!L234:L237)+SUM('DOE25'!L277:L280)+SUM('DOE25'!L296:L299)+SUM('DOE25'!L315:L318)</f>
        <v>31539401.639999997</v>
      </c>
      <c r="L2" s="309">
        <f>'DOE25'!L203+'DOE25'!L221+'DOE25'!L239+'DOE25'!L282+'DOE25'!L301+'DOE25'!L320</f>
        <v>2936677.49</v>
      </c>
      <c r="M2" s="309">
        <f>'DOE25'!L204+'DOE25'!L222+'DOE25'!L240+'DOE25'!L283+'DOE25'!L302+'DOE25'!L321</f>
        <v>1339723.0800000003</v>
      </c>
      <c r="N2" s="309">
        <f>'DOE25'!L206+'DOE25'!L224+'DOE25'!L242+'DOE25'!L285+'DOE25'!L304+'DOE25'!L323</f>
        <v>2908113.6999999997</v>
      </c>
      <c r="O2" s="309">
        <f>'Salaries-Benefits'!B10+'Salaries-Benefits'!B12+'Salaries-Benefits'!B19+'Salaries-Benefits'!B21+'Salaries-Benefits'!B28+'Salaries-Benefits'!B30+'Salaries-Benefits'!B37+'Salaries-Benefits'!B39</f>
        <v>16449471.57</v>
      </c>
      <c r="P2" s="309">
        <f>'Salaries-Benefits'!B11+'Salaries-Benefits'!B20+'Salaries-Benefits'!B29+'Salaries-Benefits'!B38</f>
        <v>2145574.98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-31539401.639999997</v>
      </c>
      <c r="L3" s="311">
        <f t="shared" ref="L3:P3" si="0">L21+L33+L43-L2</f>
        <v>-2936677.49</v>
      </c>
      <c r="M3" s="311">
        <f t="shared" si="0"/>
        <v>-1339723.0800000003</v>
      </c>
      <c r="N3" s="311">
        <f t="shared" si="0"/>
        <v>-2908113.6999999997</v>
      </c>
      <c r="O3" s="311">
        <f t="shared" si="0"/>
        <v>-16449471.57</v>
      </c>
      <c r="P3" s="311">
        <f t="shared" si="0"/>
        <v>-2145574.98</v>
      </c>
      <c r="Q3" s="310"/>
      <c r="R3" s="306"/>
      <c r="S3" s="215"/>
      <c r="T3" s="215"/>
      <c r="U3" s="216"/>
    </row>
    <row r="4" spans="1:21" ht="55.5" customHeight="1" thickBot="1" x14ac:dyDescent="0.25">
      <c r="A4" s="224" t="s">
        <v>1522</v>
      </c>
      <c r="B4" s="224" t="s">
        <v>1523</v>
      </c>
      <c r="C4" s="224" t="s">
        <v>896</v>
      </c>
      <c r="D4" s="224" t="s">
        <v>786</v>
      </c>
      <c r="E4" s="224" t="s">
        <v>786</v>
      </c>
      <c r="F4" s="228">
        <f>SUM(F5:F20)</f>
        <v>14503071.2513</v>
      </c>
      <c r="G4" s="229">
        <f>'DOE25'!L212+'DOE25'!L291</f>
        <v>14503071.251300002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2589952.8886999995</v>
      </c>
      <c r="E5" s="220">
        <v>192045.18259999997</v>
      </c>
      <c r="F5" s="232">
        <f>D5+E5</f>
        <v>2781998.0712999995</v>
      </c>
      <c r="G5" s="223"/>
      <c r="H5" s="223"/>
      <c r="J5" s="223"/>
      <c r="K5" s="223"/>
      <c r="L5" s="223"/>
      <c r="M5" s="223"/>
      <c r="N5" s="223"/>
      <c r="O5" s="223"/>
      <c r="P5" s="223"/>
      <c r="Q5" s="223"/>
    </row>
    <row r="6" spans="1:21" x14ac:dyDescent="0.2">
      <c r="A6" t="str" cm="1">
        <f t="array" ref="A6">IFERROR(INDEX('School Tables'!$A$4:$G$325,'School Tables'!$J4,3),"")</f>
        <v>Bartlett Elementary School</v>
      </c>
      <c r="B6" s="230">
        <f>IFERROR(VLOOKUP(A6,'School Tables'!$C$3:$D$365,2,FALSE),"")</f>
        <v>20695</v>
      </c>
      <c r="C6" s="223" t="str">
        <f>IFERROR(INDEX('School Tables'!$B$3:$B$365,MATCH('School Level Expenditures'!B6,'School Tables'!$D$3:$D$365,0)),"")</f>
        <v>Goffstown</v>
      </c>
      <c r="D6" s="220">
        <v>2880767.7</v>
      </c>
      <c r="E6" s="220">
        <v>368761.72</v>
      </c>
      <c r="F6" s="232">
        <f t="shared" ref="F6:F20" si="1">D6+E6</f>
        <v>3249529.42</v>
      </c>
      <c r="G6" s="223"/>
      <c r="H6" s="223"/>
      <c r="J6" t="str">
        <f>A6</f>
        <v>Bartlett Elementary School</v>
      </c>
      <c r="K6" s="20"/>
      <c r="L6" s="20"/>
      <c r="M6" s="308"/>
      <c r="N6" s="20"/>
      <c r="O6" s="20"/>
      <c r="P6" s="20"/>
      <c r="Q6" s="20"/>
    </row>
    <row r="7" spans="1:21" x14ac:dyDescent="0.2">
      <c r="A7" t="str" cm="1">
        <f t="array" ref="A7">IFERROR(INDEX('School Tables'!$A$4:$G$325,'School Tables'!$J5,3),"")</f>
        <v>Glen Lake School</v>
      </c>
      <c r="B7" s="230">
        <f>IFERROR(VLOOKUP(A7,'School Tables'!$C$3:$D$365,2,FALSE),"")</f>
        <v>28525</v>
      </c>
      <c r="C7" s="223" t="str">
        <f>IFERROR(INDEX('School Tables'!$B$3:$B$365,MATCH('School Level Expenditures'!B7,'School Tables'!$D$3:$D$365,0)),"")</f>
        <v>Goffstown</v>
      </c>
      <c r="D7" s="220">
        <v>2369737.66</v>
      </c>
      <c r="E7" s="220">
        <v>62385.68</v>
      </c>
      <c r="F7" s="232">
        <f t="shared" si="1"/>
        <v>2432123.3400000003</v>
      </c>
      <c r="G7" s="223"/>
      <c r="H7" s="223"/>
      <c r="J7" t="str">
        <f t="shared" ref="J7:J20" si="2">A7</f>
        <v>Glen Lake School</v>
      </c>
      <c r="K7" s="20"/>
      <c r="L7" s="20"/>
      <c r="M7" s="308"/>
      <c r="N7" s="20"/>
      <c r="O7" s="20"/>
      <c r="P7" s="20"/>
      <c r="Q7" s="20"/>
    </row>
    <row r="8" spans="1:21" x14ac:dyDescent="0.2">
      <c r="A8" t="str" cm="1">
        <f t="array" ref="A8">IFERROR(INDEX('School Tables'!$A$4:$G$325,'School Tables'!$J6,3),"")</f>
        <v>Maple Avenue School (Goffstown)</v>
      </c>
      <c r="B8" s="230">
        <f>IFERROR(VLOOKUP(A8,'School Tables'!$C$3:$D$365,2,FALSE),"")</f>
        <v>20690</v>
      </c>
      <c r="C8" s="223" t="str">
        <f>IFERROR(INDEX('School Tables'!$B$3:$B$365,MATCH('School Level Expenditures'!B8,'School Tables'!$D$3:$D$365,0)),"")</f>
        <v>Goffstown</v>
      </c>
      <c r="D8" s="220">
        <v>5960301.5599999987</v>
      </c>
      <c r="E8" s="220">
        <v>79118.86</v>
      </c>
      <c r="F8" s="232">
        <f t="shared" si="1"/>
        <v>6039420.419999999</v>
      </c>
      <c r="G8" s="223"/>
      <c r="H8" s="223"/>
      <c r="J8" t="str">
        <f t="shared" si="2"/>
        <v>Maple Avenue School (Goffstown)</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v>0</v>
      </c>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13800759.808699999</v>
      </c>
      <c r="E21" s="262">
        <f>SUM(E5:E20)</f>
        <v>702311.44259999995</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13996495.794400003</v>
      </c>
      <c r="G24" s="229">
        <f>'DOE25'!L230+'DOE25'!L310</f>
        <v>13996495.794400001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2983985.0436</v>
      </c>
      <c r="E25" s="220">
        <v>192599.34079999998</v>
      </c>
      <c r="F25" s="232">
        <f>D25+E25</f>
        <v>3176584.3843999999</v>
      </c>
      <c r="G25" s="223"/>
      <c r="H25" s="223"/>
      <c r="J25" s="223"/>
      <c r="K25" s="223"/>
      <c r="L25" s="224"/>
      <c r="M25" s="223"/>
      <c r="N25" s="223"/>
      <c r="O25" s="223"/>
      <c r="P25" s="223"/>
      <c r="Q25" s="223"/>
    </row>
    <row r="26" spans="1:17" x14ac:dyDescent="0.2">
      <c r="A26" t="str" cm="1">
        <f t="array" ref="A26">IFERROR(INDEX('School Tables'!$L$4:$R$75,'School Tables'!$U4,3),"")</f>
        <v>Mountain View Middle School</v>
      </c>
      <c r="B26" s="230">
        <f>IFERROR(VLOOKUP(A26,'School Tables'!$N$4:$O$75,2,FALSE),"")</f>
        <v>26820</v>
      </c>
      <c r="C26" s="223" t="str">
        <f>IFERROR(INDEX('School Tables'!$M$4:$M$75,MATCH('School Level Expenditures'!A26,'School Tables'!$N$4:$N$75,0)),"")</f>
        <v>Goffstown</v>
      </c>
      <c r="D26" s="220">
        <v>10530805.590000002</v>
      </c>
      <c r="E26" s="220">
        <v>289105.82</v>
      </c>
      <c r="F26" s="232">
        <f t="shared" ref="F26:F32" si="4">D26+E26</f>
        <v>10819911.410000002</v>
      </c>
      <c r="G26" s="223"/>
      <c r="H26" s="223"/>
      <c r="J26" t="str">
        <f t="shared" ref="J26:J32" si="5">A26</f>
        <v>Mountain View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13514790.633600002</v>
      </c>
      <c r="E33" s="262">
        <f>SUM(E25:E32)</f>
        <v>481705.16079999995</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18014477.767700002</v>
      </c>
      <c r="G36" s="229">
        <f>'DOE25'!L248+'DOE25'!L329</f>
        <v>18014477.7643</v>
      </c>
      <c r="H36" s="264">
        <f>F36-G36</f>
        <v>3.4000016748905182E-3</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v>3987464.0677000005</v>
      </c>
      <c r="E37" s="220">
        <v>237366.7</v>
      </c>
      <c r="F37" s="232">
        <f t="shared" ref="F37:F42" si="7">D37+E37</f>
        <v>4224830.7677000007</v>
      </c>
      <c r="G37" s="223"/>
      <c r="H37" s="223"/>
      <c r="J37" s="223"/>
      <c r="K37" s="223"/>
      <c r="L37" s="224"/>
      <c r="M37" s="223"/>
      <c r="N37" s="223"/>
      <c r="O37" s="223"/>
      <c r="P37" s="223"/>
      <c r="Q37" s="223"/>
    </row>
    <row r="38" spans="1:18" x14ac:dyDescent="0.2">
      <c r="A38" t="str" cm="1">
        <f t="array" ref="A38">IFERROR(INDEX('School Tables'!$W$4:$AC$100,'School Tables'!$AF4,3),"")</f>
        <v>Goffstown High School</v>
      </c>
      <c r="B38" s="230">
        <f>IFERROR(VLOOKUP(A38,'School Tables'!$Y$4:$Z$100,2,FALSE),"")</f>
        <v>20700</v>
      </c>
      <c r="C38" s="223" t="str">
        <f>IFERROR(INDEX('School Tables'!$X$4:$X$100,MATCH('School Level Expenditures'!A38,'School Tables'!$Y$4:$Y$100,0)),"")</f>
        <v>Goffstown</v>
      </c>
      <c r="D38" s="220">
        <v>13539486.07</v>
      </c>
      <c r="E38" s="220">
        <v>250160.93</v>
      </c>
      <c r="F38" s="232">
        <f t="shared" si="7"/>
        <v>13789647</v>
      </c>
      <c r="G38" s="223"/>
      <c r="H38" s="223"/>
      <c r="J38" t="str">
        <f t="shared" ref="J38:J42" si="8">A38</f>
        <v>Goffstown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17526950.137699999</v>
      </c>
      <c r="E43" s="263">
        <f>SUM(E37:E42)</f>
        <v>487527.63</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topLeftCell="B1" zoomScaleNormal="80" workbookViewId="0">
      <selection activeCell="V14" sqref="V1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Goffstown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5156163.9800000004</v>
      </c>
      <c r="D8" s="73">
        <f>'DOE25'!G9</f>
        <v>366429.40000000037</v>
      </c>
      <c r="E8" s="73">
        <f>'DOE25'!H9</f>
        <v>10529.64</v>
      </c>
      <c r="F8" s="73">
        <f>'DOE25'!I9</f>
        <v>0</v>
      </c>
      <c r="G8" s="73">
        <f>'DOE25'!J9</f>
        <v>0</v>
      </c>
      <c r="H8" s="13">
        <f>SUM(C8:G8)</f>
        <v>5533123.0200000005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902495.4</v>
      </c>
      <c r="D11" s="73">
        <f>'DOE25'!G12</f>
        <v>0</v>
      </c>
      <c r="E11" s="73">
        <f>'DOE25'!H12</f>
        <v>0</v>
      </c>
      <c r="F11" s="73">
        <f>'DOE25'!I12</f>
        <v>156063.5</v>
      </c>
      <c r="G11" s="73">
        <f>'DOE25'!J12</f>
        <v>0</v>
      </c>
      <c r="H11" s="13">
        <f t="shared" si="0"/>
        <v>1058558.8999999999</v>
      </c>
      <c r="I11" s="90"/>
    </row>
    <row r="12" spans="1:9" x14ac:dyDescent="0.2">
      <c r="A12" s="1" t="s">
        <v>143</v>
      </c>
      <c r="B12" s="6">
        <v>140</v>
      </c>
      <c r="C12" s="73">
        <f>'DOE25'!F13</f>
        <v>129173.99</v>
      </c>
      <c r="D12" s="73">
        <f>'DOE25'!G13</f>
        <v>73245.22</v>
      </c>
      <c r="E12" s="73">
        <f>'DOE25'!H13</f>
        <v>325726.65000000002</v>
      </c>
      <c r="F12" s="73">
        <f>'DOE25'!I13</f>
        <v>841211.47</v>
      </c>
      <c r="G12" s="73">
        <f>'DOE25'!J13</f>
        <v>511807.72</v>
      </c>
      <c r="H12" s="13">
        <f t="shared" si="0"/>
        <v>1881165.05</v>
      </c>
      <c r="I12" s="90"/>
    </row>
    <row r="13" spans="1:9" x14ac:dyDescent="0.2">
      <c r="A13" s="1" t="s">
        <v>144</v>
      </c>
      <c r="B13" s="6">
        <v>150</v>
      </c>
      <c r="C13" s="73">
        <f>'DOE25'!F14</f>
        <v>6705</v>
      </c>
      <c r="D13" s="73">
        <f>'DOE25'!G14</f>
        <v>0</v>
      </c>
      <c r="E13" s="73">
        <f>'DOE25'!H14</f>
        <v>0</v>
      </c>
      <c r="F13" s="73" t="str">
        <f>'DOE25'!I14</f>
        <v xml:space="preserve"> </v>
      </c>
      <c r="G13" s="73">
        <f>'DOE25'!J14</f>
        <v>0</v>
      </c>
      <c r="H13" s="13">
        <f t="shared" si="0"/>
        <v>6705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40337.89</v>
      </c>
      <c r="D15" s="73">
        <f>'DOE25'!G16</f>
        <v>0</v>
      </c>
      <c r="E15" s="73">
        <f>'DOE25'!H16</f>
        <v>0</v>
      </c>
      <c r="F15" s="73">
        <f>'DOE25'!I16</f>
        <v>0</v>
      </c>
      <c r="G15" s="23" t="s">
        <v>288</v>
      </c>
      <c r="H15" s="13">
        <f t="shared" si="0"/>
        <v>40337.89</v>
      </c>
      <c r="I15" s="90"/>
    </row>
    <row r="16" spans="1:9" x14ac:dyDescent="0.2">
      <c r="A16" s="1" t="s">
        <v>147</v>
      </c>
      <c r="B16" s="6">
        <v>180</v>
      </c>
      <c r="C16" s="73">
        <f>'DOE25'!F17</f>
        <v>126249.78</v>
      </c>
      <c r="D16" s="73">
        <f>'DOE25'!G17</f>
        <v>0</v>
      </c>
      <c r="E16" s="73">
        <f>'DOE25'!H17</f>
        <v>0</v>
      </c>
      <c r="F16" s="73">
        <f>'DOE25'!I17</f>
        <v>0</v>
      </c>
      <c r="G16" s="73">
        <f>'DOE25'!J17</f>
        <v>0</v>
      </c>
      <c r="H16" s="13">
        <f t="shared" si="0"/>
        <v>126249.78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6361126.040000001</v>
      </c>
      <c r="D18" s="38">
        <f>SUM(D8:D17)</f>
        <v>439674.62000000034</v>
      </c>
      <c r="E18" s="38">
        <f>SUM(E8:E17)</f>
        <v>336256.29000000004</v>
      </c>
      <c r="F18" s="38">
        <f>SUM(F8:F17)</f>
        <v>997274.97</v>
      </c>
      <c r="G18" s="38">
        <f>SUM(G8:G17)</f>
        <v>511807.72</v>
      </c>
      <c r="H18" s="38">
        <f t="shared" si="0"/>
        <v>8646139.6400000006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301706.02</v>
      </c>
      <c r="F21" s="73">
        <f>'DOE25'!I22</f>
        <v>600789.38</v>
      </c>
      <c r="G21" s="73">
        <f>'DOE25'!J22</f>
        <v>156063.5</v>
      </c>
      <c r="H21" s="13">
        <f t="shared" ref="H21:H31" si="1">SUM(C21:G21)</f>
        <v>1058558.8999999999</v>
      </c>
      <c r="I21" s="90"/>
    </row>
    <row r="22" spans="1:9" x14ac:dyDescent="0.2">
      <c r="A22" s="1" t="s">
        <v>151</v>
      </c>
      <c r="B22" s="6">
        <v>410</v>
      </c>
      <c r="C22" s="73">
        <f>'DOE25'!F23</f>
        <v>1394176.01</v>
      </c>
      <c r="D22" s="73">
        <f>'DOE25'!G23</f>
        <v>29</v>
      </c>
      <c r="E22" s="73">
        <f>'DOE25'!H23</f>
        <v>150</v>
      </c>
      <c r="F22" s="73">
        <f>'DOE25'!I23</f>
        <v>0</v>
      </c>
      <c r="G22" s="73">
        <f>'DOE25'!J23</f>
        <v>0</v>
      </c>
      <c r="H22" s="13">
        <f t="shared" si="1"/>
        <v>1394355.01</v>
      </c>
      <c r="I22" s="90"/>
    </row>
    <row r="23" spans="1:9" x14ac:dyDescent="0.2">
      <c r="A23" s="1" t="s">
        <v>152</v>
      </c>
      <c r="B23" s="6">
        <v>420</v>
      </c>
      <c r="C23" s="73">
        <f>'DOE25'!F24</f>
        <v>319055.24</v>
      </c>
      <c r="D23" s="73">
        <f>'DOE25'!G24</f>
        <v>44967.09</v>
      </c>
      <c r="E23" s="73">
        <f>'DOE25'!H24</f>
        <v>8067</v>
      </c>
      <c r="F23" s="73">
        <f>'DOE25'!I24</f>
        <v>118955.25</v>
      </c>
      <c r="G23" s="73">
        <f>'DOE25'!J24</f>
        <v>0</v>
      </c>
      <c r="H23" s="13">
        <f t="shared" si="1"/>
        <v>491044.57999999996</v>
      </c>
      <c r="I23" s="90"/>
    </row>
    <row r="24" spans="1:9" x14ac:dyDescent="0.2">
      <c r="A24" s="1" t="s">
        <v>153</v>
      </c>
      <c r="B24" s="6">
        <v>430</v>
      </c>
      <c r="C24" s="73">
        <f>'DOE25'!F25</f>
        <v>0</v>
      </c>
      <c r="D24" s="73">
        <f>'DOE25'!G25</f>
        <v>0</v>
      </c>
      <c r="E24" s="73">
        <f>'DOE25'!H25</f>
        <v>0</v>
      </c>
      <c r="F24" s="73">
        <f>'DOE25'!I25</f>
        <v>168152.25</v>
      </c>
      <c r="G24" s="23" t="s">
        <v>288</v>
      </c>
      <c r="H24" s="13">
        <f t="shared" si="1"/>
        <v>168152.25</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91636.57</v>
      </c>
      <c r="D27" s="73">
        <f>'DOE25'!G28</f>
        <v>0</v>
      </c>
      <c r="E27" s="73">
        <f>'DOE25'!H28</f>
        <v>14025.85</v>
      </c>
      <c r="F27" s="73">
        <f>'DOE25'!I28</f>
        <v>0</v>
      </c>
      <c r="G27" s="23" t="s">
        <v>288</v>
      </c>
      <c r="H27" s="13">
        <f t="shared" si="1"/>
        <v>105662.42000000001</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14300</v>
      </c>
      <c r="D29" s="73">
        <f>'DOE25'!G30</f>
        <v>37686.31</v>
      </c>
      <c r="E29" s="73">
        <f>'DOE25'!H30</f>
        <v>12307.42</v>
      </c>
      <c r="F29" s="73">
        <f>'DOE25'!I30</f>
        <v>109378.09</v>
      </c>
      <c r="G29" s="23" t="s">
        <v>288</v>
      </c>
      <c r="H29" s="13">
        <f t="shared" si="1"/>
        <v>173671.82</v>
      </c>
      <c r="I29" s="90"/>
    </row>
    <row r="30" spans="1:9" ht="12" thickBot="1" x14ac:dyDescent="0.25">
      <c r="A30" s="1" t="s">
        <v>159</v>
      </c>
      <c r="B30" s="56">
        <v>490</v>
      </c>
      <c r="C30" s="73">
        <f>'DOE25'!F31</f>
        <v>3487.78</v>
      </c>
      <c r="D30" s="73">
        <f>'DOE25'!G31</f>
        <v>57.45</v>
      </c>
      <c r="E30" s="73">
        <f>'DOE25'!H31</f>
        <v>0</v>
      </c>
      <c r="F30" s="73">
        <f>'DOE25'!I31</f>
        <v>0</v>
      </c>
      <c r="G30" s="73">
        <f>'DOE25'!J31</f>
        <v>0</v>
      </c>
      <c r="H30" s="13">
        <f t="shared" si="1"/>
        <v>3545.23</v>
      </c>
      <c r="I30" s="90"/>
    </row>
    <row r="31" spans="1:9" ht="12" thickTop="1" x14ac:dyDescent="0.2">
      <c r="A31" s="35" t="s">
        <v>160</v>
      </c>
      <c r="B31" s="2"/>
      <c r="C31" s="38">
        <f>SUM(C21:C30)</f>
        <v>1822655.6</v>
      </c>
      <c r="D31" s="38">
        <f>SUM(D21:D30)</f>
        <v>82739.849999999991</v>
      </c>
      <c r="E31" s="38">
        <f>SUM(E21:E30)</f>
        <v>336256.29</v>
      </c>
      <c r="F31" s="38">
        <f>SUM(F21:F30)</f>
        <v>997274.97</v>
      </c>
      <c r="G31" s="38">
        <f>SUM(G21:G30)</f>
        <v>156063.5</v>
      </c>
      <c r="H31" s="38">
        <f t="shared" si="1"/>
        <v>3394990.21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40337.89</v>
      </c>
      <c r="D34" s="73">
        <f>'DOE25'!G35</f>
        <v>0</v>
      </c>
      <c r="E34" s="73">
        <f>'DOE25'!H35</f>
        <v>0</v>
      </c>
      <c r="F34" s="73">
        <f>'DOE25'!I35</f>
        <v>0</v>
      </c>
      <c r="G34" s="23" t="s">
        <v>288</v>
      </c>
      <c r="H34" s="13">
        <f t="shared" ref="H34:H51" si="2">SUM(C34:G34)</f>
        <v>40337.89</v>
      </c>
      <c r="I34" s="90"/>
    </row>
    <row r="35" spans="1:9" x14ac:dyDescent="0.2">
      <c r="A35" s="1" t="s">
        <v>849</v>
      </c>
      <c r="B35" s="6">
        <v>752</v>
      </c>
      <c r="C35" s="73">
        <f>'DOE25'!F36</f>
        <v>126249.78</v>
      </c>
      <c r="D35" s="73">
        <f>'DOE25'!G36</f>
        <v>0</v>
      </c>
      <c r="E35" s="73">
        <f>'DOE25'!H36</f>
        <v>0</v>
      </c>
      <c r="F35" s="73">
        <f>'DOE25'!I36</f>
        <v>0</v>
      </c>
      <c r="G35" s="23" t="s">
        <v>288</v>
      </c>
      <c r="H35" s="13">
        <f t="shared" si="2"/>
        <v>126249.78</v>
      </c>
      <c r="I35" s="90"/>
    </row>
    <row r="36" spans="1:9" x14ac:dyDescent="0.2">
      <c r="A36" s="1" t="s">
        <v>855</v>
      </c>
      <c r="B36" s="6">
        <v>756</v>
      </c>
      <c r="C36" s="73">
        <f>'DOE25'!F37</f>
        <v>0</v>
      </c>
      <c r="D36" s="73">
        <f>'DOE25'!G37</f>
        <v>0</v>
      </c>
      <c r="E36" s="73">
        <f>'DOE25'!H37</f>
        <v>0</v>
      </c>
      <c r="F36" s="73">
        <f>'DOE25'!I37</f>
        <v>0</v>
      </c>
      <c r="G36" s="73">
        <f>'DOE25'!J37</f>
        <v>38322.199999999997</v>
      </c>
      <c r="H36" s="13">
        <f t="shared" si="2"/>
        <v>38322.199999999997</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5957.08</v>
      </c>
      <c r="H38" s="13">
        <f t="shared" si="2"/>
        <v>5957.08</v>
      </c>
      <c r="I38" s="90"/>
    </row>
    <row r="39" spans="1:9" x14ac:dyDescent="0.2">
      <c r="A39" s="1" t="s">
        <v>860</v>
      </c>
      <c r="B39" s="6"/>
      <c r="C39" s="23" t="s">
        <v>288</v>
      </c>
      <c r="D39" s="73">
        <f>'DOE25'!G40</f>
        <v>356934.77</v>
      </c>
      <c r="E39" s="23" t="s">
        <v>288</v>
      </c>
      <c r="F39" s="23" t="s">
        <v>288</v>
      </c>
      <c r="G39" s="23" t="s">
        <v>288</v>
      </c>
      <c r="H39" s="13">
        <f t="shared" si="2"/>
        <v>356934.77</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250000</v>
      </c>
      <c r="D43" s="73">
        <f>'DOE25'!G44</f>
        <v>0</v>
      </c>
      <c r="E43" s="73">
        <f>'DOE25'!H44</f>
        <v>0</v>
      </c>
      <c r="F43" s="73">
        <f>'DOE25'!I44</f>
        <v>0</v>
      </c>
      <c r="G43" s="23" t="s">
        <v>288</v>
      </c>
      <c r="H43" s="13">
        <f t="shared" si="2"/>
        <v>250000</v>
      </c>
      <c r="I43" s="90"/>
    </row>
    <row r="44" spans="1:9" x14ac:dyDescent="0.2">
      <c r="A44" s="1" t="s">
        <v>863</v>
      </c>
      <c r="B44" s="6">
        <v>753</v>
      </c>
      <c r="C44" s="73">
        <f>'DOE25'!F45</f>
        <v>415528.02</v>
      </c>
      <c r="D44" s="73">
        <f>'DOE25'!G45</f>
        <v>0</v>
      </c>
      <c r="E44" s="73">
        <f>'DOE25'!H45</f>
        <v>0</v>
      </c>
      <c r="F44" s="73">
        <f>'DOE25'!I45</f>
        <v>0</v>
      </c>
      <c r="G44" s="73">
        <f>'DOE25'!J45</f>
        <v>0</v>
      </c>
      <c r="H44" s="13">
        <f t="shared" si="2"/>
        <v>415528.02</v>
      </c>
      <c r="I44" s="90"/>
    </row>
    <row r="45" spans="1:9" x14ac:dyDescent="0.2">
      <c r="A45" s="1" t="s">
        <v>879</v>
      </c>
      <c r="B45" s="6"/>
      <c r="C45" s="73">
        <f>'DOE25'!F46</f>
        <v>1100000</v>
      </c>
      <c r="D45" s="23" t="s">
        <v>288</v>
      </c>
      <c r="E45" s="23" t="s">
        <v>288</v>
      </c>
      <c r="F45" s="23" t="s">
        <v>288</v>
      </c>
      <c r="G45" s="23" t="s">
        <v>288</v>
      </c>
      <c r="H45" s="13">
        <f t="shared" si="2"/>
        <v>1100000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311464.94</v>
      </c>
      <c r="H47" s="13">
        <f t="shared" si="2"/>
        <v>311464.94</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2606354.75</v>
      </c>
      <c r="D49" s="23" t="s">
        <v>288</v>
      </c>
      <c r="E49" s="23" t="s">
        <v>288</v>
      </c>
      <c r="F49" s="23" t="s">
        <v>288</v>
      </c>
      <c r="G49" s="23" t="s">
        <v>288</v>
      </c>
      <c r="H49" s="13">
        <f t="shared" si="2"/>
        <v>2606354.75</v>
      </c>
      <c r="I49" s="90"/>
    </row>
    <row r="50" spans="1:9" ht="12.75" thickTop="1" thickBot="1" x14ac:dyDescent="0.25">
      <c r="A50" s="35" t="s">
        <v>883</v>
      </c>
      <c r="B50" s="44"/>
      <c r="C50" s="38">
        <f>SUM(C34:C49)</f>
        <v>4538470.4399999995</v>
      </c>
      <c r="D50" s="38">
        <f>SUM(D34:D49)</f>
        <v>356934.77</v>
      </c>
      <c r="E50" s="38">
        <f>SUM(E34:E49)</f>
        <v>0</v>
      </c>
      <c r="F50" s="38">
        <f>SUM(F34:F49)</f>
        <v>0</v>
      </c>
      <c r="G50" s="38">
        <f>SUM(G34:G49)</f>
        <v>355744.22</v>
      </c>
      <c r="H50" s="38">
        <f t="shared" si="2"/>
        <v>5251149.4299999988</v>
      </c>
      <c r="I50" s="90"/>
    </row>
    <row r="51" spans="1:9" ht="12" thickTop="1" x14ac:dyDescent="0.2">
      <c r="A51" s="35" t="s">
        <v>884</v>
      </c>
      <c r="B51" s="2"/>
      <c r="C51" s="38">
        <f>C50+C31</f>
        <v>6361126.0399999991</v>
      </c>
      <c r="D51" s="38">
        <f>D50+D31</f>
        <v>439674.62</v>
      </c>
      <c r="E51" s="38">
        <f>E50+E31</f>
        <v>336256.29</v>
      </c>
      <c r="F51" s="38">
        <f>F50+F31</f>
        <v>997274.97</v>
      </c>
      <c r="G51" s="38">
        <f>G50+G31</f>
        <v>511807.72</v>
      </c>
      <c r="H51" s="38">
        <f t="shared" si="2"/>
        <v>8646139.6399999987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25393716</v>
      </c>
      <c r="D56" s="73">
        <f>'DOE25'!G60</f>
        <v>0</v>
      </c>
      <c r="E56" s="73">
        <f>'DOE25'!H60</f>
        <v>0</v>
      </c>
      <c r="F56" s="73">
        <f>'DOE25'!I60</f>
        <v>0</v>
      </c>
      <c r="G56" s="73">
        <f>'DOE25'!J60</f>
        <v>0</v>
      </c>
      <c r="H56" s="13">
        <f t="shared" ref="H56:H63" si="3">SUM(C56:G56)</f>
        <v>25393716</v>
      </c>
      <c r="I56"/>
    </row>
    <row r="57" spans="1:9" x14ac:dyDescent="0.2">
      <c r="A57" s="1" t="s">
        <v>164</v>
      </c>
      <c r="B57" s="6" t="s">
        <v>165</v>
      </c>
      <c r="C57" s="73">
        <f>'DOE25'!F79</f>
        <v>8038620.5899999999</v>
      </c>
      <c r="D57" s="23" t="s">
        <v>288</v>
      </c>
      <c r="E57" s="73">
        <f>'DOE25'!H79</f>
        <v>0</v>
      </c>
      <c r="F57" s="23" t="s">
        <v>288</v>
      </c>
      <c r="G57" s="23" t="s">
        <v>288</v>
      </c>
      <c r="H57" s="13">
        <f t="shared" si="3"/>
        <v>8038620.5899999999</v>
      </c>
      <c r="I57"/>
    </row>
    <row r="58" spans="1:9" x14ac:dyDescent="0.2">
      <c r="A58" s="1" t="s">
        <v>166</v>
      </c>
      <c r="B58" s="6" t="s">
        <v>167</v>
      </c>
      <c r="C58" s="73">
        <f>'DOE25'!F94</f>
        <v>8313.52</v>
      </c>
      <c r="D58" s="23" t="s">
        <v>288</v>
      </c>
      <c r="E58" s="73">
        <f>'DOE25'!H94</f>
        <v>0</v>
      </c>
      <c r="F58" s="23" t="s">
        <v>288</v>
      </c>
      <c r="G58" s="23" t="s">
        <v>288</v>
      </c>
      <c r="H58" s="13">
        <f t="shared" si="3"/>
        <v>8313.52</v>
      </c>
      <c r="I58"/>
    </row>
    <row r="59" spans="1:9" x14ac:dyDescent="0.2">
      <c r="A59" s="1" t="s">
        <v>168</v>
      </c>
      <c r="B59" s="6" t="s">
        <v>169</v>
      </c>
      <c r="C59" s="73">
        <f>'DOE25'!F96</f>
        <v>179272.52000000002</v>
      </c>
      <c r="D59" s="73">
        <f>'DOE25'!G96</f>
        <v>0</v>
      </c>
      <c r="E59" s="73">
        <f>'DOE25'!H96</f>
        <v>0</v>
      </c>
      <c r="F59" s="73">
        <f>'DOE25'!I96</f>
        <v>0</v>
      </c>
      <c r="G59" s="73">
        <f>'DOE25'!J96</f>
        <v>18661.41</v>
      </c>
      <c r="H59" s="13">
        <f t="shared" si="3"/>
        <v>197933.93000000002</v>
      </c>
      <c r="I59"/>
    </row>
    <row r="60" spans="1:9" x14ac:dyDescent="0.2">
      <c r="A60" s="1" t="s">
        <v>170</v>
      </c>
      <c r="B60" s="22" t="s">
        <v>171</v>
      </c>
      <c r="C60" s="23" t="s">
        <v>288</v>
      </c>
      <c r="D60" s="73">
        <f>'DOE25'!G97</f>
        <v>719800.14</v>
      </c>
      <c r="E60" s="23" t="s">
        <v>288</v>
      </c>
      <c r="F60" s="23" t="s">
        <v>288</v>
      </c>
      <c r="G60" s="23" t="s">
        <v>288</v>
      </c>
      <c r="H60" s="13">
        <f t="shared" si="3"/>
        <v>719800.14</v>
      </c>
      <c r="I60"/>
    </row>
    <row r="61" spans="1:9" ht="12" thickBot="1" x14ac:dyDescent="0.25">
      <c r="A61" s="1" t="s">
        <v>172</v>
      </c>
      <c r="B61" s="22" t="s">
        <v>173</v>
      </c>
      <c r="C61" s="73">
        <f>SUM('DOE25'!F98:F110)</f>
        <v>74221.27</v>
      </c>
      <c r="D61" s="73">
        <f>SUM('DOE25'!G98:G110)</f>
        <v>0</v>
      </c>
      <c r="E61" s="73">
        <f>SUM('DOE25'!H98:H110)</f>
        <v>22635.98</v>
      </c>
      <c r="F61" s="73">
        <f>SUM('DOE25'!I98:I110)</f>
        <v>841621.90999999992</v>
      </c>
      <c r="G61" s="73">
        <f>SUM('DOE25'!J98:J110)</f>
        <v>3560.31</v>
      </c>
      <c r="H61" s="13">
        <f t="shared" si="3"/>
        <v>942039.47</v>
      </c>
      <c r="I61"/>
    </row>
    <row r="62" spans="1:9" ht="12.75" thickTop="1" thickBot="1" x14ac:dyDescent="0.25">
      <c r="A62" s="28" t="s">
        <v>174</v>
      </c>
      <c r="B62" s="6"/>
      <c r="C62" s="93">
        <f>SUM(C57:C61)</f>
        <v>8300427.8999999985</v>
      </c>
      <c r="D62" s="93">
        <f>SUM(D57:D61)</f>
        <v>719800.14</v>
      </c>
      <c r="E62" s="93">
        <f>SUM(E57:E61)</f>
        <v>22635.98</v>
      </c>
      <c r="F62" s="93">
        <f>SUM(F57:F61)</f>
        <v>841621.90999999992</v>
      </c>
      <c r="G62" s="93">
        <f>SUM(G57:G61)</f>
        <v>22221.72</v>
      </c>
      <c r="H62" s="13">
        <f t="shared" si="3"/>
        <v>9906707.6500000004</v>
      </c>
      <c r="I62"/>
    </row>
    <row r="63" spans="1:9" ht="12" thickTop="1" x14ac:dyDescent="0.2">
      <c r="A63" s="28" t="s">
        <v>175</v>
      </c>
      <c r="B63" s="6"/>
      <c r="C63" s="21">
        <f>C56+C62</f>
        <v>33694143.899999999</v>
      </c>
      <c r="D63" s="21">
        <f>D56+D62</f>
        <v>719800.14</v>
      </c>
      <c r="E63" s="21">
        <f>E56+E62</f>
        <v>22635.98</v>
      </c>
      <c r="F63" s="21">
        <f>F56+F62</f>
        <v>841621.90999999992</v>
      </c>
      <c r="G63" s="21">
        <f>G56+G62</f>
        <v>22221.72</v>
      </c>
      <c r="H63" s="13">
        <f t="shared" si="3"/>
        <v>35300423.649999991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8493170.8399999999</v>
      </c>
      <c r="D66" s="23" t="s">
        <v>288</v>
      </c>
      <c r="E66" s="23" t="s">
        <v>288</v>
      </c>
      <c r="F66" s="23" t="s">
        <v>288</v>
      </c>
      <c r="G66" s="23" t="s">
        <v>288</v>
      </c>
      <c r="H66" s="13">
        <f t="shared" ref="H66:H81" si="4">SUM(C66:G66)</f>
        <v>8493170.8399999999</v>
      </c>
      <c r="I66"/>
    </row>
    <row r="67" spans="1:9" x14ac:dyDescent="0.2">
      <c r="A67" s="1" t="s">
        <v>770</v>
      </c>
      <c r="B67" s="6">
        <v>3112</v>
      </c>
      <c r="C67" s="73">
        <f>'DOE25'!F118</f>
        <v>2443973</v>
      </c>
      <c r="D67" s="23"/>
      <c r="E67" s="23"/>
      <c r="F67" s="23"/>
      <c r="G67" s="23"/>
      <c r="H67" s="13">
        <f t="shared" si="4"/>
        <v>2443973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280242.39</v>
      </c>
      <c r="D69" s="73">
        <f>'DOE25'!G120</f>
        <v>0</v>
      </c>
      <c r="E69" s="73">
        <f>'DOE25'!H120</f>
        <v>0</v>
      </c>
      <c r="F69" s="73">
        <f>'DOE25'!I120</f>
        <v>0</v>
      </c>
      <c r="G69" s="73">
        <f>'DOE25'!J120</f>
        <v>0</v>
      </c>
      <c r="H69" s="13">
        <f t="shared" si="4"/>
        <v>280242.39</v>
      </c>
      <c r="I69"/>
    </row>
    <row r="70" spans="1:9" ht="12" thickTop="1" x14ac:dyDescent="0.2">
      <c r="A70" s="28" t="s">
        <v>252</v>
      </c>
      <c r="B70" s="2"/>
      <c r="C70" s="97">
        <f>SUM(C66:C69)</f>
        <v>11217386.23</v>
      </c>
      <c r="D70" s="97">
        <f>D69</f>
        <v>0</v>
      </c>
      <c r="E70" s="97">
        <f>E69</f>
        <v>0</v>
      </c>
      <c r="F70" s="97">
        <f>F69</f>
        <v>0</v>
      </c>
      <c r="G70" s="97">
        <f>G69</f>
        <v>0</v>
      </c>
      <c r="H70" s="13">
        <f t="shared" si="4"/>
        <v>11217386.23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317473.28000000003</v>
      </c>
      <c r="D75" s="23" t="s">
        <v>288</v>
      </c>
      <c r="E75" s="23" t="s">
        <v>288</v>
      </c>
      <c r="F75" s="23" t="s">
        <v>288</v>
      </c>
      <c r="G75" s="23" t="s">
        <v>288</v>
      </c>
      <c r="H75" s="13">
        <f t="shared" si="4"/>
        <v>317473.28000000003</v>
      </c>
      <c r="I75"/>
    </row>
    <row r="76" spans="1:9" x14ac:dyDescent="0.2">
      <c r="A76" s="1" t="s">
        <v>257</v>
      </c>
      <c r="B76" s="6" t="s">
        <v>179</v>
      </c>
      <c r="C76" s="73">
        <f>SUM('DOE25'!F127:F130)</f>
        <v>25565</v>
      </c>
      <c r="D76" s="23" t="s">
        <v>288</v>
      </c>
      <c r="E76" s="73">
        <f>SUM('DOE25'!H127:H130)</f>
        <v>0</v>
      </c>
      <c r="F76" s="73">
        <f>SUM('DOE25'!I127:I130)</f>
        <v>0</v>
      </c>
      <c r="G76" s="23" t="s">
        <v>288</v>
      </c>
      <c r="H76" s="13">
        <f t="shared" si="4"/>
        <v>25565</v>
      </c>
      <c r="I76"/>
    </row>
    <row r="77" spans="1:9" ht="12" thickBot="1" x14ac:dyDescent="0.25">
      <c r="A77" s="1" t="s">
        <v>258</v>
      </c>
      <c r="B77" s="6" t="s">
        <v>180</v>
      </c>
      <c r="C77" s="73">
        <f>SUM('DOE25'!F131:F135)</f>
        <v>0</v>
      </c>
      <c r="D77" s="73">
        <f>SUM('DOE25'!G131:G135)</f>
        <v>15053.26</v>
      </c>
      <c r="E77" s="73">
        <f>SUM('DOE25'!H131:H135)</f>
        <v>87396.329999999987</v>
      </c>
      <c r="F77" s="73">
        <f>SUM('DOE25'!I131:I135)</f>
        <v>0</v>
      </c>
      <c r="G77" s="73">
        <f>SUM('DOE25'!J131:J135)</f>
        <v>0</v>
      </c>
      <c r="H77" s="13">
        <f t="shared" si="4"/>
        <v>102449.58999999998</v>
      </c>
      <c r="I77"/>
    </row>
    <row r="78" spans="1:9" ht="12.75" thickTop="1" thickBot="1" x14ac:dyDescent="0.25">
      <c r="A78" s="28" t="s">
        <v>259</v>
      </c>
      <c r="B78" s="6"/>
      <c r="C78" s="93">
        <f>SUM(C72:C77)</f>
        <v>343038.28</v>
      </c>
      <c r="D78" s="93">
        <f>SUM(D72:D77)</f>
        <v>15053.26</v>
      </c>
      <c r="E78" s="93">
        <f>SUM(E72:E77)</f>
        <v>87396.329999999987</v>
      </c>
      <c r="F78" s="93">
        <f>SUM(F72:F77)</f>
        <v>0</v>
      </c>
      <c r="G78" s="93">
        <f>SUM(G72:G77)</f>
        <v>0</v>
      </c>
      <c r="H78" s="13">
        <f t="shared" si="4"/>
        <v>445487.87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11560424.51</v>
      </c>
      <c r="D81" s="93">
        <f>SUM(D79:D80)+D78+D70</f>
        <v>15053.26</v>
      </c>
      <c r="E81" s="93">
        <f>SUM(E79:E80)+E78+E70</f>
        <v>87396.329999999987</v>
      </c>
      <c r="F81" s="93">
        <f>SUM(F79:F80)+F78+F70</f>
        <v>0</v>
      </c>
      <c r="G81" s="93">
        <f>SUM(G79:G80)+G78+G70</f>
        <v>0</v>
      </c>
      <c r="H81" s="93">
        <f t="shared" si="4"/>
        <v>11662874.1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60222.12</v>
      </c>
      <c r="D88" s="253">
        <f>SUM('DOE25'!G153:G162)</f>
        <v>418513.54</v>
      </c>
      <c r="E88" s="253">
        <f>SUM('DOE25'!H153:H162)</f>
        <v>2237919.9</v>
      </c>
      <c r="F88" s="253">
        <f>SUM('DOE25'!I153:I162)</f>
        <v>993998.67</v>
      </c>
      <c r="G88" s="23" t="s">
        <v>288</v>
      </c>
      <c r="H88" s="13">
        <f t="shared" si="5"/>
        <v>3710654.23</v>
      </c>
    </row>
    <row r="89" spans="1:9" x14ac:dyDescent="0.2">
      <c r="A89" t="s">
        <v>748</v>
      </c>
      <c r="B89" s="31" t="s">
        <v>185</v>
      </c>
      <c r="C89" s="73">
        <f>'DOE25'!F164+'DOE25'!F167+'DOE25'!F169</f>
        <v>0</v>
      </c>
      <c r="D89" s="73">
        <f>'DOE25'!G164+'DOE25'!G169</f>
        <v>82094.259999999995</v>
      </c>
      <c r="E89" s="73">
        <f>'DOE25'!H164+'DOE25'!H169</f>
        <v>176000</v>
      </c>
      <c r="F89" s="73">
        <f>'DOE25'!I164</f>
        <v>0</v>
      </c>
      <c r="G89" s="23" t="s">
        <v>288</v>
      </c>
      <c r="H89" s="13">
        <f t="shared" si="5"/>
        <v>258094.26</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60222.12</v>
      </c>
      <c r="D91" s="94">
        <f>SUM(D85:D90)</f>
        <v>500607.8</v>
      </c>
      <c r="E91" s="94">
        <f>SUM(E85:E90)</f>
        <v>2413919.9</v>
      </c>
      <c r="F91" s="94">
        <f>SUM(F85:F90)</f>
        <v>993998.67</v>
      </c>
      <c r="G91" s="23" t="s">
        <v>288</v>
      </c>
      <c r="H91" s="13">
        <f t="shared" si="5"/>
        <v>3968748.4899999998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200000</v>
      </c>
      <c r="H96" s="13">
        <f t="shared" si="5"/>
        <v>200000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190329.82</v>
      </c>
      <c r="G99" s="23" t="s">
        <v>288</v>
      </c>
      <c r="H99" s="13">
        <f t="shared" si="5"/>
        <v>190329.82</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190329.82</v>
      </c>
      <c r="G103" s="68">
        <f>SUM(G93:G102)</f>
        <v>200000</v>
      </c>
      <c r="H103" s="68">
        <f t="shared" si="5"/>
        <v>390329.82</v>
      </c>
    </row>
    <row r="104" spans="1:8" ht="12.75" thickTop="1" thickBot="1" x14ac:dyDescent="0.25">
      <c r="A104" s="32" t="s">
        <v>761</v>
      </c>
      <c r="C104" s="68">
        <f>C63+C81+C91+C103</f>
        <v>45314790.529999994</v>
      </c>
      <c r="D104" s="68">
        <f>D63+D81+D91+D103</f>
        <v>1235461.2</v>
      </c>
      <c r="E104" s="68">
        <f>E63+E81+E91+E103</f>
        <v>2523952.21</v>
      </c>
      <c r="F104" s="68">
        <f>F63+F81+F91+F103</f>
        <v>2025950.4000000001</v>
      </c>
      <c r="G104" s="68">
        <f>G63+G81+G103</f>
        <v>222221.72</v>
      </c>
      <c r="H104" s="68">
        <f t="shared" si="5"/>
        <v>51322376.059999995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19290549.810000002</v>
      </c>
      <c r="D109" s="23" t="s">
        <v>288</v>
      </c>
      <c r="E109" s="73">
        <f>('DOE25'!L277)+('DOE25'!L296)+('DOE25'!L315)</f>
        <v>716977.07</v>
      </c>
      <c r="F109" s="23" t="s">
        <v>288</v>
      </c>
      <c r="G109" s="23" t="s">
        <v>288</v>
      </c>
      <c r="H109" s="13">
        <f t="shared" ref="H109:H115" si="6">SUM(C109:G109)</f>
        <v>20007526.880000003</v>
      </c>
    </row>
    <row r="110" spans="1:8" x14ac:dyDescent="0.2">
      <c r="A110" t="s">
        <v>198</v>
      </c>
      <c r="B110" s="31" t="s">
        <v>199</v>
      </c>
      <c r="C110" s="73">
        <f>('DOE25'!L199)+('DOE25'!L217)+('DOE25'!L235)</f>
        <v>9717383.9600000009</v>
      </c>
      <c r="D110" s="23" t="s">
        <v>288</v>
      </c>
      <c r="E110" s="73">
        <f>('DOE25'!L278)+('DOE25'!L297)+('DOE25'!L316)</f>
        <v>674009.38000000012</v>
      </c>
      <c r="F110" s="23" t="s">
        <v>288</v>
      </c>
      <c r="G110" s="23" t="s">
        <v>288</v>
      </c>
      <c r="H110" s="13">
        <f t="shared" si="6"/>
        <v>10391393.340000002</v>
      </c>
    </row>
    <row r="111" spans="1:8" x14ac:dyDescent="0.2">
      <c r="A111" t="s">
        <v>200</v>
      </c>
      <c r="B111" s="31" t="s">
        <v>165</v>
      </c>
      <c r="C111" s="73">
        <f>('DOE25'!L200)+('DOE25'!L218)+('DOE25'!L236)</f>
        <v>183976.73</v>
      </c>
      <c r="D111" s="23" t="s">
        <v>288</v>
      </c>
      <c r="E111" s="73">
        <f>('DOE25'!L279)+('DOE25'!L298)+('DOE25'!L317)</f>
        <v>0</v>
      </c>
      <c r="F111" s="23" t="s">
        <v>288</v>
      </c>
      <c r="G111" s="23" t="s">
        <v>288</v>
      </c>
      <c r="H111" s="13">
        <f t="shared" si="6"/>
        <v>183976.73</v>
      </c>
    </row>
    <row r="112" spans="1:8" x14ac:dyDescent="0.2">
      <c r="A112" t="s">
        <v>201</v>
      </c>
      <c r="B112" s="31" t="s">
        <v>167</v>
      </c>
      <c r="C112" s="73">
        <f>('DOE25'!L201)+('DOE25'!L219)+('DOE25'!L237)</f>
        <v>949570.51</v>
      </c>
      <c r="D112" s="23" t="s">
        <v>288</v>
      </c>
      <c r="E112" s="73">
        <f>+('DOE25'!L280)+('DOE25'!L299)+('DOE25'!L318)</f>
        <v>6934.18</v>
      </c>
      <c r="F112" s="23" t="s">
        <v>288</v>
      </c>
      <c r="G112" s="23" t="s">
        <v>288</v>
      </c>
      <c r="H112" s="13">
        <f t="shared" si="6"/>
        <v>956504.69000000006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64275.09</v>
      </c>
      <c r="D114" s="23" t="s">
        <v>288</v>
      </c>
      <c r="E114" s="73">
        <f>+ SUM('DOE25'!L334:L336)</f>
        <v>66253.640000000014</v>
      </c>
      <c r="F114" s="23" t="s">
        <v>288</v>
      </c>
      <c r="G114" s="23" t="s">
        <v>288</v>
      </c>
      <c r="H114" s="13">
        <f t="shared" si="6"/>
        <v>130528.73000000001</v>
      </c>
    </row>
    <row r="115" spans="1:8" ht="12.75" thickTop="1" thickBot="1" x14ac:dyDescent="0.25">
      <c r="A115" s="32" t="s">
        <v>205</v>
      </c>
      <c r="C115" s="68">
        <f>SUM(C109:C114)</f>
        <v>30205756.100000005</v>
      </c>
      <c r="D115" s="68">
        <f>SUM(D109:D114)</f>
        <v>0</v>
      </c>
      <c r="E115" s="68">
        <f>SUM(E109:E114)</f>
        <v>1464174.27</v>
      </c>
      <c r="F115" s="68">
        <f>SUM(F109:F114)</f>
        <v>0</v>
      </c>
      <c r="G115" s="68">
        <f>SUM(G109:G114)</f>
        <v>0</v>
      </c>
      <c r="H115" s="68">
        <f t="shared" si="6"/>
        <v>31669930.370000005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2895820.83</v>
      </c>
      <c r="D118" s="23" t="s">
        <v>288</v>
      </c>
      <c r="E118" s="73">
        <f>+('DOE25'!L282)+('DOE25'!L301)+('DOE25'!L320)</f>
        <v>40856.660000000003</v>
      </c>
      <c r="F118" s="23" t="s">
        <v>288</v>
      </c>
      <c r="G118" s="23" t="s">
        <v>288</v>
      </c>
      <c r="H118" s="13">
        <f t="shared" ref="H118:H145" si="7">SUM(C118:G118)</f>
        <v>2936677.49</v>
      </c>
    </row>
    <row r="119" spans="1:8" x14ac:dyDescent="0.2">
      <c r="A119" t="s">
        <v>208</v>
      </c>
      <c r="B119" s="31" t="s">
        <v>209</v>
      </c>
      <c r="C119" s="73">
        <f>('DOE25'!L204)+('DOE25'!L222)+('DOE25'!L240)</f>
        <v>1253588.1400000001</v>
      </c>
      <c r="D119" s="23" t="s">
        <v>288</v>
      </c>
      <c r="E119" s="73">
        <f>+('DOE25'!L283)+('DOE25'!L302)+('DOE25'!L321)</f>
        <v>86134.94</v>
      </c>
      <c r="F119" s="23" t="s">
        <v>288</v>
      </c>
      <c r="G119" s="23" t="s">
        <v>288</v>
      </c>
      <c r="H119" s="13">
        <f t="shared" si="7"/>
        <v>1339723.08</v>
      </c>
    </row>
    <row r="120" spans="1:8" x14ac:dyDescent="0.2">
      <c r="A120" t="s">
        <v>210</v>
      </c>
      <c r="B120" s="31" t="s">
        <v>211</v>
      </c>
      <c r="C120" s="73">
        <f>('DOE25'!L205)+('DOE25'!L223)+('DOE25'!L241)</f>
        <v>1934759.9899999998</v>
      </c>
      <c r="D120" s="23" t="s">
        <v>288</v>
      </c>
      <c r="E120" s="73">
        <f>+('DOE25'!L284)+('DOE25'!L303)+('DOE25'!L322)</f>
        <v>36094.07</v>
      </c>
      <c r="F120" s="23" t="s">
        <v>288</v>
      </c>
      <c r="G120" s="23" t="s">
        <v>288</v>
      </c>
      <c r="H120" s="13">
        <f t="shared" si="7"/>
        <v>1970854.0599999998</v>
      </c>
    </row>
    <row r="121" spans="1:8" x14ac:dyDescent="0.2">
      <c r="A121" t="s">
        <v>212</v>
      </c>
      <c r="B121" s="31" t="s">
        <v>213</v>
      </c>
      <c r="C121" s="73">
        <f>('DOE25'!L206)+('DOE25'!L224)+('DOE25'!L242)</f>
        <v>2906605.65</v>
      </c>
      <c r="D121" s="23" t="s">
        <v>288</v>
      </c>
      <c r="E121" s="73">
        <f>+('DOE25'!L285)+('DOE25'!L304)+('DOE25'!L323)</f>
        <v>1508.05</v>
      </c>
      <c r="F121" s="23" t="s">
        <v>288</v>
      </c>
      <c r="G121" s="23" t="s">
        <v>288</v>
      </c>
      <c r="H121" s="13">
        <f t="shared" si="7"/>
        <v>2908113.6999999997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3571431.3899999997</v>
      </c>
      <c r="D123" s="23" t="s">
        <v>288</v>
      </c>
      <c r="E123" s="73">
        <f>+('DOE25'!L287)+('DOE25'!L306)+('DOE25'!L325)</f>
        <v>108942.28000000001</v>
      </c>
      <c r="F123" s="23" t="s">
        <v>288</v>
      </c>
      <c r="G123" s="23" t="s">
        <v>288</v>
      </c>
      <c r="H123" s="13">
        <f t="shared" si="7"/>
        <v>3680373.6699999995</v>
      </c>
    </row>
    <row r="124" spans="1:8" x14ac:dyDescent="0.2">
      <c r="A124" t="s">
        <v>218</v>
      </c>
      <c r="B124" s="31" t="s">
        <v>219</v>
      </c>
      <c r="C124" s="73">
        <f>('DOE25'!L209)+('DOE25'!L227)+('DOE25'!L245+'DOE25'!L255)</f>
        <v>2131980.58</v>
      </c>
      <c r="D124" s="23" t="s">
        <v>288</v>
      </c>
      <c r="E124" s="73">
        <f>+('DOE25'!L288)+('DOE25'!L307)+('DOE25'!L326)</f>
        <v>87.6</v>
      </c>
      <c r="F124" s="23" t="s">
        <v>288</v>
      </c>
      <c r="G124" s="23" t="s">
        <v>288</v>
      </c>
      <c r="H124" s="13">
        <f t="shared" si="7"/>
        <v>2132068.1800000002</v>
      </c>
    </row>
    <row r="125" spans="1:8" x14ac:dyDescent="0.2">
      <c r="A125" t="s">
        <v>220</v>
      </c>
      <c r="B125" s="31" t="s">
        <v>221</v>
      </c>
      <c r="C125" s="73">
        <f>('DOE25'!L210)+('DOE25'!L228)+('DOE25'!L246)</f>
        <v>6832.9900000000007</v>
      </c>
      <c r="D125" s="23" t="s">
        <v>288</v>
      </c>
      <c r="E125" s="73">
        <f>+('DOE25'!L289)+('DOE25'!L308)+('DOE25'!L327)</f>
        <v>0</v>
      </c>
      <c r="F125" s="23" t="s">
        <v>288</v>
      </c>
      <c r="G125" s="23" t="s">
        <v>288</v>
      </c>
      <c r="H125" s="13">
        <f t="shared" si="7"/>
        <v>6832.9900000000007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1328164.25</v>
      </c>
      <c r="E127" s="23" t="s">
        <v>288</v>
      </c>
      <c r="F127" s="23" t="s">
        <v>288</v>
      </c>
      <c r="G127" s="23" t="s">
        <v>288</v>
      </c>
      <c r="H127" s="13">
        <f t="shared" si="7"/>
        <v>1328164.25</v>
      </c>
    </row>
    <row r="128" spans="1:8" ht="12.75" thickTop="1" thickBot="1" x14ac:dyDescent="0.25">
      <c r="A128" s="32" t="s">
        <v>226</v>
      </c>
      <c r="C128" s="68">
        <f>SUM(C118:C127)</f>
        <v>14701019.57</v>
      </c>
      <c r="D128" s="68">
        <f>SUM(D118:D127)</f>
        <v>1328164.25</v>
      </c>
      <c r="E128" s="68">
        <f>SUM(E118:E127)</f>
        <v>273623.59999999998</v>
      </c>
      <c r="F128" s="68">
        <f>SUM(F118:F127)</f>
        <v>0</v>
      </c>
      <c r="G128" s="68">
        <f>SUM(G118:G127)</f>
        <v>0</v>
      </c>
      <c r="H128" s="68">
        <f t="shared" si="7"/>
        <v>16302807.42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786154.34</v>
      </c>
      <c r="F130" s="92">
        <f>SUM('DOE25'!L375:'DOE25'!L381)</f>
        <v>2025341.4000000001</v>
      </c>
      <c r="G130" s="23" t="s">
        <v>288</v>
      </c>
      <c r="H130" s="13">
        <f t="shared" si="7"/>
        <v>2811495.74</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190719.69</v>
      </c>
      <c r="H134" s="13">
        <f t="shared" si="7"/>
        <v>190719.69</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217759.32</v>
      </c>
      <c r="D138" s="23" t="s">
        <v>288</v>
      </c>
      <c r="E138" s="23" t="s">
        <v>288</v>
      </c>
      <c r="F138" s="23" t="s">
        <v>288</v>
      </c>
      <c r="G138" s="23" t="s">
        <v>288</v>
      </c>
      <c r="H138" s="13">
        <f t="shared" si="7"/>
        <v>217759.32</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4462.3999999999996</v>
      </c>
      <c r="D140" s="23" t="s">
        <v>288</v>
      </c>
      <c r="E140" s="23" t="s">
        <v>288</v>
      </c>
      <c r="F140" s="23" t="s">
        <v>288</v>
      </c>
      <c r="G140" s="23" t="s">
        <v>288</v>
      </c>
      <c r="H140" s="13">
        <f t="shared" si="7"/>
        <v>4462.3999999999996</v>
      </c>
    </row>
    <row r="141" spans="1:8" x14ac:dyDescent="0.2">
      <c r="A141" t="s">
        <v>762</v>
      </c>
      <c r="B141" s="31">
        <v>5254</v>
      </c>
      <c r="C141" s="73">
        <f>('DOE25'!L267+'DOE25'!K348) - (C138+C139+C140)</f>
        <v>-22221.72</v>
      </c>
      <c r="D141" s="23" t="s">
        <v>288</v>
      </c>
      <c r="E141" s="23" t="s">
        <v>288</v>
      </c>
      <c r="F141" s="23" t="s">
        <v>288</v>
      </c>
      <c r="G141" s="23" t="s">
        <v>288</v>
      </c>
      <c r="H141" s="13">
        <f t="shared" si="7"/>
        <v>-22221.72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200000</v>
      </c>
      <c r="D144" s="98">
        <f>SUM(D130:D143)</f>
        <v>0</v>
      </c>
      <c r="E144" s="98">
        <f>SUM(E130:E143)</f>
        <v>786154.34</v>
      </c>
      <c r="F144" s="98">
        <f>SUM(F130:F143)</f>
        <v>2025341.4000000001</v>
      </c>
      <c r="G144" s="98">
        <f>SUM(G130:G143)</f>
        <v>190719.69</v>
      </c>
      <c r="H144" s="98">
        <f t="shared" si="7"/>
        <v>3202215.43</v>
      </c>
    </row>
    <row r="145" spans="1:9" ht="12.75" thickTop="1" thickBot="1" x14ac:dyDescent="0.25">
      <c r="A145" s="32" t="s">
        <v>244</v>
      </c>
      <c r="C145" s="68">
        <f>(C115+C128+C144)</f>
        <v>45106775.670000002</v>
      </c>
      <c r="D145" s="68">
        <f>(D115+D128+D144)</f>
        <v>1328164.25</v>
      </c>
      <c r="E145" s="68">
        <f>(E115+E128+E144)</f>
        <v>2523952.21</v>
      </c>
      <c r="F145" s="68">
        <f>(F115+F128+F144)</f>
        <v>2025341.4000000001</v>
      </c>
      <c r="G145" s="68">
        <f>(G115+G128+G144)</f>
        <v>190719.69</v>
      </c>
      <c r="H145" s="68">
        <f t="shared" si="7"/>
        <v>51174953.219999999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Goffstown</v>
      </c>
    </row>
    <row r="3" spans="1:4" x14ac:dyDescent="0.2">
      <c r="B3" s="137" t="s">
        <v>1799</v>
      </c>
    </row>
    <row r="4" spans="1:4" x14ac:dyDescent="0.2">
      <c r="B4" t="s">
        <v>61</v>
      </c>
      <c r="C4" s="129">
        <f>IF('DOE25'!F666+'DOE25'!F671=0,0,ROUND('DOE25'!F673,0))</f>
        <v>16808</v>
      </c>
    </row>
    <row r="5" spans="1:4" x14ac:dyDescent="0.2">
      <c r="B5" t="s">
        <v>700</v>
      </c>
      <c r="C5" s="129">
        <f>IF('DOE25'!G666+'DOE25'!G671=0,0,ROUND('DOE25'!G673,0))</f>
        <v>15879</v>
      </c>
    </row>
    <row r="6" spans="1:4" x14ac:dyDescent="0.2">
      <c r="B6" t="s">
        <v>62</v>
      </c>
      <c r="C6" s="129">
        <f>IF('DOE25'!H666+'DOE25'!H671=0,0,ROUND('DOE25'!H673,0))</f>
        <v>16501</v>
      </c>
    </row>
    <row r="7" spans="1:4" x14ac:dyDescent="0.2">
      <c r="B7" t="s">
        <v>701</v>
      </c>
      <c r="C7" s="129">
        <f>IF('DOE25'!I666+'DOE25'!I671=0,0,ROUND('DOE25'!I673,0))</f>
        <v>16401</v>
      </c>
    </row>
    <row r="9" spans="1:4" x14ac:dyDescent="0.2">
      <c r="A9" s="136" t="s">
        <v>94</v>
      </c>
      <c r="B9" s="137" t="s">
        <v>1800</v>
      </c>
      <c r="C9" s="131" t="s">
        <v>720</v>
      </c>
      <c r="D9" s="131" t="s">
        <v>721</v>
      </c>
    </row>
    <row r="10" spans="1:4" x14ac:dyDescent="0.2">
      <c r="A10">
        <v>1100</v>
      </c>
      <c r="B10" t="s">
        <v>702</v>
      </c>
      <c r="C10" s="129">
        <f>ROUND('DOE25'!L198+'DOE25'!L216+'DOE25'!L234+'DOE25'!L277+'DOE25'!L296+'DOE25'!L315,0)</f>
        <v>20007527</v>
      </c>
      <c r="D10" s="132">
        <f>ROUND((C10/$C$28)*100,1)</f>
        <v>42.3</v>
      </c>
    </row>
    <row r="11" spans="1:4" x14ac:dyDescent="0.2">
      <c r="A11">
        <v>1200</v>
      </c>
      <c r="B11" t="s">
        <v>703</v>
      </c>
      <c r="C11" s="129">
        <f>ROUND('DOE25'!L199+'DOE25'!L217+'DOE25'!L235+'DOE25'!L278+'DOE25'!L297+'DOE25'!L316,0)</f>
        <v>10391393</v>
      </c>
      <c r="D11" s="132">
        <f>ROUND((C11/$C$28)*100,1)</f>
        <v>22</v>
      </c>
    </row>
    <row r="12" spans="1:4" x14ac:dyDescent="0.2">
      <c r="A12">
        <v>1300</v>
      </c>
      <c r="B12" t="s">
        <v>704</v>
      </c>
      <c r="C12" s="129">
        <f>ROUND('DOE25'!L200+'DOE25'!L218+'DOE25'!L236+'DOE25'!L279+'DOE25'!L298+'DOE25'!L317,0)</f>
        <v>183977</v>
      </c>
      <c r="D12" s="132">
        <f>ROUND((C12/$C$28)*100,1)</f>
        <v>0.4</v>
      </c>
    </row>
    <row r="13" spans="1:4" x14ac:dyDescent="0.2">
      <c r="A13">
        <v>1400</v>
      </c>
      <c r="B13" t="s">
        <v>705</v>
      </c>
      <c r="C13" s="129">
        <f>ROUND('DOE25'!L201+'DOE25'!L219+'DOE25'!L237+'DOE25'!L280+'DOE25'!L299+'DOE25'!L318,0)</f>
        <v>956505</v>
      </c>
      <c r="D13" s="132">
        <f>ROUND((C13/$C$28)*100,1)</f>
        <v>2</v>
      </c>
    </row>
    <row r="14" spans="1:4" x14ac:dyDescent="0.2">
      <c r="D14" s="132"/>
    </row>
    <row r="15" spans="1:4" x14ac:dyDescent="0.2">
      <c r="A15">
        <v>2100</v>
      </c>
      <c r="B15" t="s">
        <v>706</v>
      </c>
      <c r="C15" s="129">
        <f>ROUND('DOE25'!L203+'DOE25'!L221+'DOE25'!L239+'DOE25'!L282+'DOE25'!L301+'DOE25'!L320,0)</f>
        <v>2936677</v>
      </c>
      <c r="D15" s="132">
        <f t="shared" ref="D15:D27" si="0">ROUND((C15/$C$28)*100,1)</f>
        <v>6.2</v>
      </c>
    </row>
    <row r="16" spans="1:4" x14ac:dyDescent="0.2">
      <c r="A16">
        <v>2200</v>
      </c>
      <c r="B16" t="s">
        <v>707</v>
      </c>
      <c r="C16" s="129">
        <f>ROUND('DOE25'!L204+'DOE25'!L222+'DOE25'!L240+'DOE25'!L283+'DOE25'!L302+'DOE25'!L321,0)</f>
        <v>1339723</v>
      </c>
      <c r="D16" s="132">
        <f t="shared" si="0"/>
        <v>2.8</v>
      </c>
    </row>
    <row r="17" spans="1:4" x14ac:dyDescent="0.2">
      <c r="A17" s="133" t="s">
        <v>723</v>
      </c>
      <c r="B17" t="s">
        <v>738</v>
      </c>
      <c r="C17" s="129">
        <f>ROUND('DOE25'!L205+'DOE25'!L210+'DOE25'!L223+'DOE25'!L228+'DOE25'!L241+'DOE25'!L246+'DOE25'!L284+'DOE25'!L289+'DOE25'!L303+'DOE25'!L308+'DOE25'!L322+'DOE25'!L327,0)</f>
        <v>1977687</v>
      </c>
      <c r="D17" s="132">
        <f t="shared" si="0"/>
        <v>4.2</v>
      </c>
    </row>
    <row r="18" spans="1:4" x14ac:dyDescent="0.2">
      <c r="A18">
        <v>2400</v>
      </c>
      <c r="B18" t="s">
        <v>711</v>
      </c>
      <c r="C18" s="129">
        <f>ROUND('DOE25'!L206+'DOE25'!L224+'DOE25'!L242+'DOE25'!L285+'DOE25'!L304+'DOE25'!L323,0)</f>
        <v>2908114</v>
      </c>
      <c r="D18" s="132">
        <f t="shared" si="0"/>
        <v>6.2</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3680374</v>
      </c>
      <c r="D20" s="132">
        <f t="shared" si="0"/>
        <v>7.8</v>
      </c>
    </row>
    <row r="21" spans="1:4" x14ac:dyDescent="0.2">
      <c r="A21">
        <v>2700</v>
      </c>
      <c r="B21" t="s">
        <v>710</v>
      </c>
      <c r="C21" s="129">
        <f>ROUND('DOE25'!L209+'DOE25'!L227+'DOE25'!L245+'DOE25'!L288+'DOE25'!L307+'DOE25'!L326,0)</f>
        <v>2132068</v>
      </c>
      <c r="D21" s="132">
        <f t="shared" si="0"/>
        <v>4.5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130529</v>
      </c>
      <c r="D24" s="132">
        <f t="shared" si="0"/>
        <v>0.3</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608363.86</v>
      </c>
      <c r="D27" s="132">
        <f t="shared" si="0"/>
        <v>1.3</v>
      </c>
    </row>
    <row r="28" spans="1:4" x14ac:dyDescent="0.2">
      <c r="B28" s="136" t="s">
        <v>719</v>
      </c>
      <c r="C28" s="130">
        <f>SUM(C10:C27)</f>
        <v>47252937.859999999</v>
      </c>
      <c r="D28" s="134">
        <f>ROUND(SUM(D10:D27),0)</f>
        <v>100</v>
      </c>
    </row>
    <row r="29" spans="1:4" x14ac:dyDescent="0.2">
      <c r="A29">
        <v>4000</v>
      </c>
      <c r="B29" t="s">
        <v>724</v>
      </c>
      <c r="C29" s="129">
        <f>ROUND('DOE25'!L256+'DOE25'!L337+'DOE25'!L375+'DOE25'!L376+'DOE25'!L377+'DOE25'!L378+'DOE25'!L379+'DOE25'!L380+'DOE25'!L381,0)</f>
        <v>2811496</v>
      </c>
    </row>
    <row r="30" spans="1:4" x14ac:dyDescent="0.2">
      <c r="B30" s="136" t="s">
        <v>725</v>
      </c>
      <c r="C30" s="130">
        <f>SUM(C28:C29)</f>
        <v>50064433.859999999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25393716</v>
      </c>
      <c r="D35" s="132">
        <f t="shared" ref="D35:D40" si="1">ROUND((C35/$C$41)*100,1)</f>
        <v>50.6</v>
      </c>
    </row>
    <row r="36" spans="1:4" x14ac:dyDescent="0.2">
      <c r="B36" s="71" t="s">
        <v>739</v>
      </c>
      <c r="C36" s="129">
        <f>SUM('DOE25'!F112:J112)-SUM('DOE25'!G97:G110)+('DOE25'!F175+'DOE25'!F176+'DOE25'!I175+'DOE25'!I176)-C35</f>
        <v>9186907.5099999905</v>
      </c>
      <c r="D36" s="132">
        <f t="shared" si="1"/>
        <v>18.3</v>
      </c>
    </row>
    <row r="37" spans="1:4" x14ac:dyDescent="0.2">
      <c r="A37" s="133" t="s">
        <v>834</v>
      </c>
      <c r="B37" s="71" t="s">
        <v>728</v>
      </c>
      <c r="C37" s="129">
        <f>ROUND('DOE25'!F117+'DOE25'!F118,0)</f>
        <v>10937144</v>
      </c>
      <c r="D37" s="132">
        <f t="shared" si="1"/>
        <v>21.8</v>
      </c>
    </row>
    <row r="38" spans="1:4" x14ac:dyDescent="0.2">
      <c r="A38" s="133" t="s">
        <v>734</v>
      </c>
      <c r="B38" s="71" t="s">
        <v>729</v>
      </c>
      <c r="C38" s="129">
        <f>ROUND(SUM('DOE25'!F140:J140)-SUM('DOE25'!F117:F119),0)</f>
        <v>725730</v>
      </c>
      <c r="D38" s="132">
        <f t="shared" si="1"/>
        <v>1.4</v>
      </c>
    </row>
    <row r="39" spans="1:4" x14ac:dyDescent="0.2">
      <c r="A39">
        <v>4000</v>
      </c>
      <c r="B39" s="71" t="s">
        <v>730</v>
      </c>
      <c r="C39" s="129">
        <f>ROUND('DOE25'!F170+'DOE25'!G170+'DOE25'!H170+'DOE25'!I170,0)</f>
        <v>3968748</v>
      </c>
      <c r="D39" s="132">
        <f t="shared" si="1"/>
        <v>7.9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50212245.50999999</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2" sqref="C12:M12"/>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Goffstown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10</v>
      </c>
      <c r="B4" s="150">
        <v>9</v>
      </c>
      <c r="C4" s="327" t="s">
        <v>1813</v>
      </c>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48</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24</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99</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171</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f>IF('School Level Expenditures'!$B$2=A20,'School Tables'!H20,"")</f>
        <v>17</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f>IF('School Level Expenditures'!$B$2='School Tables'!W27,'School Tables'!AD27,"")</f>
        <v>24</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f>IF('School Level Expenditures'!$B$2='School Tables'!L51,'School Tables'!S51,"")</f>
        <v>48</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f>IF('School Level Expenditures'!$B$2=A102,'School Tables'!H102,"")</f>
        <v>99</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f>IF('School Level Expenditures'!$B$2=A174,'School Tables'!H174,"")</f>
        <v>171</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a6325ea-3a92-4a34-af33-a4c977c47292" xsi:nil="true"/>
    <lcf76f155ced4ddcb4097134ff3c332f xmlns="6c93a0ee-a579-43d6-81aa-de1d65cc30e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148C361417BF49BCA641C217DE6F06" ma:contentTypeVersion="13" ma:contentTypeDescription="Create a new document." ma:contentTypeScope="" ma:versionID="528d667f3bf82646b5c316adb4156572">
  <xsd:schema xmlns:xsd="http://www.w3.org/2001/XMLSchema" xmlns:xs="http://www.w3.org/2001/XMLSchema" xmlns:p="http://schemas.microsoft.com/office/2006/metadata/properties" xmlns:ns2="6c93a0ee-a579-43d6-81aa-de1d65cc30ef" xmlns:ns3="aa6325ea-3a92-4a34-af33-a4c977c47292" targetNamespace="http://schemas.microsoft.com/office/2006/metadata/properties" ma:root="true" ma:fieldsID="383be6610a0a245995f87195483b98d9" ns2:_="" ns3:_="">
    <xsd:import namespace="6c93a0ee-a579-43d6-81aa-de1d65cc30ef"/>
    <xsd:import namespace="aa6325ea-3a92-4a34-af33-a4c977c4729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93a0ee-a579-43d6-81aa-de1d65cc30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e4b353c-b07a-43ce-ba21-c84292fd08cd"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6325ea-3a92-4a34-af33-a4c977c4729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9c303f84-cfa8-47d6-924f-be5123757078}" ma:internalName="TaxCatchAll" ma:showField="CatchAllData" ma:web="aa6325ea-3a92-4a34-af33-a4c977c472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B0831D-E6BC-47B3-B5B6-8EBE407150BE}">
  <ds:schemaRefs>
    <ds:schemaRef ds:uri="http://schemas.microsoft.com/office/2006/metadata/properties"/>
    <ds:schemaRef ds:uri="http://schemas.microsoft.com/office/infopath/2007/PartnerControls"/>
    <ds:schemaRef ds:uri="aa6325ea-3a92-4a34-af33-a4c977c47292"/>
    <ds:schemaRef ds:uri="6c93a0ee-a579-43d6-81aa-de1d65cc30ef"/>
  </ds:schemaRefs>
</ds:datastoreItem>
</file>

<file path=customXml/itemProps2.xml><?xml version="1.0" encoding="utf-8"?>
<ds:datastoreItem xmlns:ds="http://schemas.openxmlformats.org/officeDocument/2006/customXml" ds:itemID="{00A46A02-5D49-41DD-B649-0B1567FFA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93a0ee-a579-43d6-81aa-de1d65cc30ef"/>
    <ds:schemaRef ds:uri="aa6325ea-3a92-4a34-af33-a4c977c472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23F70A-84C2-4273-83A2-334B2E107D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2023-09-11T21:16:39Z</cp:lastPrinted>
  <dcterms:created xsi:type="dcterms:W3CDTF">1997-12-04T19:04:30Z</dcterms:created>
  <dcterms:modified xsi:type="dcterms:W3CDTF">2023-12-28T16:54:46Z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0x010100A7148C361417BF49BCA641C217DE6F06</vt:lpwstr>
  </property>
</Properties>
</file>