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C291BCB2-379C-40C2-BD0B-D02A192557E7}"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 i="16" l="1"/>
  <c r="I527" i="1" l="1"/>
  <c r="G527" i="1"/>
  <c r="F527" i="1"/>
  <c r="F120" i="1" l="1"/>
  <c r="K524" i="1" l="1"/>
  <c r="G613" i="1"/>
  <c r="F613" i="1"/>
  <c r="G612" i="1"/>
  <c r="H612" i="1"/>
  <c r="F583" i="1"/>
  <c r="G583" i="1"/>
  <c r="G40" i="1" l="1"/>
  <c r="G158" i="1"/>
  <c r="G97" i="1"/>
  <c r="F24" i="1"/>
  <c r="K264" i="1"/>
  <c r="C19" i="12"/>
  <c r="C20" i="12"/>
  <c r="C37" i="12"/>
  <c r="C10" i="12"/>
  <c r="C11" i="12"/>
  <c r="B11" i="12"/>
  <c r="H208" i="1"/>
  <c r="I361" i="1" l="1"/>
  <c r="H368" i="1"/>
  <c r="I360" i="1"/>
  <c r="I359" i="1"/>
  <c r="F368" i="1"/>
  <c r="G198" i="1" l="1"/>
  <c r="F466" i="1"/>
  <c r="F460" i="1" l="1"/>
  <c r="F441" i="1"/>
  <c r="G460" i="1"/>
  <c r="J469" i="1" l="1"/>
  <c r="J592" i="1" l="1"/>
  <c r="F118" i="1" l="1"/>
  <c r="F117" i="1"/>
  <c r="H223" i="1" l="1"/>
  <c r="H205" i="1" l="1"/>
  <c r="K204" i="1"/>
  <c r="J204" i="1"/>
  <c r="I203" i="1"/>
  <c r="H203" i="1"/>
  <c r="G203" i="1"/>
  <c r="F203" i="1"/>
  <c r="H201" i="1"/>
  <c r="G201" i="1"/>
  <c r="F201" i="1"/>
  <c r="K199" i="1"/>
  <c r="J199" i="1"/>
  <c r="I199" i="1"/>
  <c r="H199" i="1"/>
  <c r="H198" i="1"/>
  <c r="F198" i="1"/>
  <c r="K205" i="1"/>
  <c r="I205" i="1"/>
  <c r="G205" i="1"/>
  <c r="F205"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E125" i="2" s="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J140" i="1" s="1"/>
  <c r="F147" i="1"/>
  <c r="F170" i="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H13" i="2" s="1"/>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H93" i="2" s="1"/>
  <c r="C94" i="2"/>
  <c r="F94" i="2"/>
  <c r="D96" i="2"/>
  <c r="E96" i="2"/>
  <c r="F96" i="2"/>
  <c r="G96" i="2"/>
  <c r="C97" i="2"/>
  <c r="D97" i="2"/>
  <c r="E97" i="2"/>
  <c r="F97" i="2"/>
  <c r="G97" i="2"/>
  <c r="C98" i="2"/>
  <c r="D98" i="2"/>
  <c r="E98" i="2"/>
  <c r="G98" i="2"/>
  <c r="C99" i="2"/>
  <c r="D99" i="2"/>
  <c r="E99" i="2"/>
  <c r="F99" i="2"/>
  <c r="C100" i="2"/>
  <c r="D100" i="2"/>
  <c r="E100" i="2"/>
  <c r="F100" i="2"/>
  <c r="C101" i="2"/>
  <c r="H101" i="2" s="1"/>
  <c r="D101" i="2"/>
  <c r="E101" i="2"/>
  <c r="F101" i="2"/>
  <c r="C102" i="2"/>
  <c r="D102" i="2"/>
  <c r="E102" i="2"/>
  <c r="F102" i="2"/>
  <c r="E111" i="2"/>
  <c r="D115" i="2"/>
  <c r="F115" i="2"/>
  <c r="G115" i="2"/>
  <c r="C12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H653" i="1"/>
  <c r="G654" i="1"/>
  <c r="H654" i="1"/>
  <c r="H655" i="1"/>
  <c r="H656" i="1"/>
  <c r="H58" i="2" l="1"/>
  <c r="H97" i="2"/>
  <c r="H87" i="2"/>
  <c r="H61" i="2"/>
  <c r="H26" i="2"/>
  <c r="H143" i="2"/>
  <c r="H140" i="1"/>
  <c r="G62" i="2"/>
  <c r="H43" i="2"/>
  <c r="H17" i="2"/>
  <c r="H69" i="2"/>
  <c r="H47" i="2"/>
  <c r="H28" i="2"/>
  <c r="H25" i="2"/>
  <c r="H38" i="2"/>
  <c r="H9" i="2"/>
  <c r="H102" i="2"/>
  <c r="H100" i="2"/>
  <c r="H98" i="2"/>
  <c r="H73" i="2"/>
  <c r="H36" i="2"/>
  <c r="H15" i="2"/>
  <c r="H11" i="2"/>
  <c r="H8" i="2"/>
  <c r="G663" i="1"/>
  <c r="H477" i="1"/>
  <c r="H625" i="1" s="1"/>
  <c r="H99" i="2"/>
  <c r="H80" i="2"/>
  <c r="H77" i="2"/>
  <c r="C12" i="10"/>
  <c r="H44" i="2"/>
  <c r="H48" i="2"/>
  <c r="H125" i="2"/>
  <c r="H30" i="2"/>
  <c r="I409" i="1"/>
  <c r="D144" i="2"/>
  <c r="H89" i="2"/>
  <c r="H34" i="2"/>
  <c r="H132" i="2"/>
  <c r="H35" i="2"/>
  <c r="H94" i="2"/>
  <c r="H27" i="2"/>
  <c r="H24" i="2"/>
  <c r="J112" i="1"/>
  <c r="E121" i="2"/>
  <c r="H137" i="2"/>
  <c r="G477" i="1"/>
  <c r="H624" i="1" s="1"/>
  <c r="J624" i="1" s="1"/>
  <c r="G662" i="1"/>
  <c r="D29" i="13"/>
  <c r="H22" i="2"/>
  <c r="H59" i="2"/>
  <c r="H23" i="2"/>
  <c r="H12" i="2"/>
  <c r="H96" i="2"/>
  <c r="G646" i="1"/>
  <c r="J646" i="1" s="1"/>
  <c r="J652" i="1"/>
  <c r="A40" i="12"/>
  <c r="E112" i="2"/>
  <c r="E13" i="13"/>
  <c r="C13" i="13" s="1"/>
  <c r="G651" i="1"/>
  <c r="D15" i="13"/>
  <c r="C15" i="13" s="1"/>
  <c r="N2" i="14"/>
  <c r="N3" i="14" s="1"/>
  <c r="C121" i="2"/>
  <c r="H121" i="2" s="1"/>
  <c r="M2" i="14"/>
  <c r="M3" i="14" s="1"/>
  <c r="C112" i="2"/>
  <c r="H112" i="2" s="1"/>
  <c r="C110" i="2"/>
  <c r="C13" i="10"/>
  <c r="D6" i="13"/>
  <c r="C6" i="13" s="1"/>
  <c r="L2" i="14"/>
  <c r="L3" i="14" s="1"/>
  <c r="K2" i="14"/>
  <c r="K3" i="14" s="1"/>
  <c r="E119" i="2"/>
  <c r="H119" i="2" s="1"/>
  <c r="H409" i="1"/>
  <c r="H645" i="1" s="1"/>
  <c r="J645" i="1" s="1"/>
  <c r="G339" i="1"/>
  <c r="G353" i="1" s="1"/>
  <c r="J258" i="1"/>
  <c r="J272" i="1" s="1"/>
  <c r="E123" i="2"/>
  <c r="E110" i="2"/>
  <c r="K339" i="1"/>
  <c r="K353" i="1" s="1"/>
  <c r="J656" i="1"/>
  <c r="J572" i="1"/>
  <c r="D50" i="2"/>
  <c r="E131" i="2"/>
  <c r="E144" i="2" s="1"/>
  <c r="G553" i="1"/>
  <c r="H663"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H131" i="2" l="1"/>
  <c r="H85" i="2"/>
  <c r="L572" i="1"/>
  <c r="H78" i="2"/>
  <c r="H57" i="2"/>
  <c r="H42" i="2"/>
  <c r="H16" i="2"/>
  <c r="I662" i="1"/>
  <c r="H21" i="2"/>
  <c r="H134" i="2"/>
  <c r="H62" i="2"/>
  <c r="D128" i="2"/>
  <c r="D145" i="2" s="1"/>
  <c r="H127" i="2"/>
  <c r="H91" i="2"/>
  <c r="D51" i="2"/>
  <c r="H50" i="2"/>
  <c r="H18" i="2"/>
  <c r="C81" i="2"/>
  <c r="H81" i="2" s="1"/>
  <c r="F194" i="1"/>
  <c r="G628" i="1" s="1"/>
  <c r="J628" i="1" s="1"/>
  <c r="H31" i="2"/>
  <c r="E51" i="2"/>
  <c r="H123" i="2"/>
  <c r="H122" i="2"/>
  <c r="E128" i="2"/>
  <c r="I663" i="1"/>
  <c r="H110"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J648" i="1"/>
  <c r="C115" i="2"/>
  <c r="C63" i="2"/>
  <c r="C39" i="10"/>
  <c r="G33" i="13"/>
  <c r="D31" i="13"/>
  <c r="C31" i="13" s="1"/>
  <c r="I462" i="1"/>
  <c r="H643" i="1" s="1"/>
  <c r="J643" i="1" s="1"/>
  <c r="C25" i="13"/>
  <c r="I33" i="13"/>
  <c r="K553" i="1"/>
  <c r="C51" i="2"/>
  <c r="G632" i="1"/>
  <c r="J632" i="1" s="1"/>
  <c r="G194" i="1"/>
  <c r="G629" i="1" s="1"/>
  <c r="J629" i="1" s="1"/>
  <c r="G627" i="1"/>
  <c r="J627" i="1" s="1"/>
  <c r="J52" i="1"/>
  <c r="H622" i="1" s="1"/>
  <c r="J622" i="1" s="1"/>
  <c r="C38" i="10"/>
  <c r="C104" i="2" l="1"/>
  <c r="H104" i="2" s="1"/>
  <c r="H63" i="2"/>
  <c r="H51" i="2"/>
  <c r="C144" i="2"/>
  <c r="H144" i="2" s="1"/>
  <c r="H141" i="2"/>
  <c r="M36" i="14"/>
  <c r="I36" i="14"/>
  <c r="H115" i="2"/>
  <c r="E145" i="2"/>
  <c r="H668" i="1"/>
  <c r="H670" i="1"/>
  <c r="H673" i="1" s="1"/>
  <c r="C6" i="10" s="1"/>
  <c r="F668" i="1"/>
  <c r="F145" i="2"/>
  <c r="G638" i="1"/>
  <c r="J638" i="1" s="1"/>
  <c r="H647" i="1"/>
  <c r="J647" i="1" s="1"/>
  <c r="D33" i="13"/>
  <c r="D36" i="13" s="1"/>
  <c r="C41" i="10"/>
  <c r="D38" i="10" s="1"/>
  <c r="F673" i="1" l="1"/>
  <c r="C4" i="10" s="1"/>
  <c r="D37" i="10"/>
  <c r="D36" i="10"/>
  <c r="D35" i="10"/>
  <c r="D40" i="10"/>
  <c r="D39" i="10"/>
  <c r="D41" i="10" l="1"/>
  <c r="F230" i="1" l="1"/>
  <c r="F258" i="1" s="1"/>
  <c r="F272" i="1" s="1"/>
  <c r="L223" i="1"/>
  <c r="E8" i="13" s="1"/>
  <c r="C120" i="2"/>
  <c r="H120" i="2" s="1"/>
  <c r="C128" i="2" l="1"/>
  <c r="C17" i="10"/>
  <c r="C28" i="10" s="1"/>
  <c r="D20" i="10" s="1"/>
  <c r="L230" i="1"/>
  <c r="L258" i="1" s="1"/>
  <c r="L272" i="1" s="1"/>
  <c r="G633" i="1" s="1"/>
  <c r="H657" i="1" s="1"/>
  <c r="C8" i="13"/>
  <c r="E33" i="13"/>
  <c r="D35" i="13" s="1"/>
  <c r="G24" i="14"/>
  <c r="H24" i="14" s="1"/>
  <c r="M24" i="14" s="1"/>
  <c r="G661" i="1" l="1"/>
  <c r="I661" i="1" s="1"/>
  <c r="I665" i="1" s="1"/>
  <c r="I668" i="1" s="1"/>
  <c r="J633" i="1"/>
  <c r="D11" i="10"/>
  <c r="C30" i="10"/>
  <c r="D15" i="10"/>
  <c r="D26" i="10"/>
  <c r="D12" i="10"/>
  <c r="D18" i="10"/>
  <c r="D16" i="10"/>
  <c r="D21" i="10"/>
  <c r="D23" i="10"/>
  <c r="H128" i="2"/>
  <c r="C145" i="2"/>
  <c r="H145" i="2" s="1"/>
  <c r="D10" i="10"/>
  <c r="D27" i="10"/>
  <c r="D25" i="10"/>
  <c r="D17" i="10"/>
  <c r="D13" i="10"/>
  <c r="D19" i="10"/>
  <c r="D24" i="10"/>
  <c r="I24" i="14"/>
  <c r="D22" i="10"/>
  <c r="G665" i="1" l="1"/>
  <c r="G670" i="1" s="1"/>
  <c r="D28" i="10"/>
  <c r="G668" i="1" l="1"/>
  <c r="I670" i="1"/>
  <c r="I673" i="1" s="1"/>
  <c r="C7" i="10" s="1"/>
  <c r="G673" i="1"/>
  <c r="C5"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<sst xmlns="http://schemas.openxmlformats.org/spreadsheetml/2006/main" count="6558" uniqueCount="1813">
  <si>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</si>
  <si>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</si>
  <si>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</si>
  <si>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</si>
  <si>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</si>
  <si>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</si>
  <si>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</si>
  <si>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</si>
  <si>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</si>
  <si>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</si>
  <si>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</si>
  <si>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</si>
  <si>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</si>
  <si>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</si>
  <si>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</si>
  <si>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</si>
  <si>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</si>
  <si>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</si>
  <si>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</si>
  <si>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</si>
  <si>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</si>
  <si>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</si>
  <si>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</si>
  <si>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</si>
  <si>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</si>
  <si>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</si>
  <si>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</si>
  <si>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</si>
  <si>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</si>
  <si>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</si>
  <si>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</si>
  <si>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</si>
  <si>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</si>
  <si>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</si>
  <si>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</si>
  <si>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</si>
  <si>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</si>
  <si>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</si>
  <si>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</si>
  <si>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</si>
  <si>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</si>
  <si>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</si>
  <si>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</si>
  <si>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</si>
  <si>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</si>
  <si>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</si>
  <si>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</si>
  <si>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</si>
  <si>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</si>
  <si>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</si>
  <si>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</si>
  <si>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</si>
  <si>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</si>
  <si>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</si>
  <si>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</si>
  <si>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</si>
  <si>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</si>
  <si>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</si>
  <si>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</si>
  <si>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</si>
  <si>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</si>
  <si>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</si>
  <si>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</si>
  <si>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</si>
  <si>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</si>
  <si>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</si>
  <si>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</si>
  <si>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</si>
  <si>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</si>
  <si>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</si>
  <si>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</si>
  <si>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</si>
  <si>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</si>
  <si>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</si>
  <si>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</si>
  <si>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</si>
  <si>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</si>
  <si>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</si>
  <si>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</si>
  <si>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</si>
  <si>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</si>
  <si>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</si>
  <si>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</si>
  <si>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</si>
  <si>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</si>
  <si>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</si>
  <si>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</si>
  <si>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</si>
  <si>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</si>
  <si>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</si>
  <si>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</si>
  <si>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</si>
  <si>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</si>
  <si>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</si>
  <si>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</si>
  <si>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</si>
  <si>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</si>
  <si>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</si>
  <si>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</si>
  <si>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</si>
  <si>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</si>
  <si>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</si>
  <si>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</si>
  <si>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</si>
  <si>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</si>
  <si>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</si>
  <si>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</si>
  <si>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</si>
  <si>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</si>
  <si>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</si>
  <si>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</si>
  <si>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</si>
  <si>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</si>
  <si>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</si>
  <si>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</si>
  <si>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</si>
  <si>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</si>
  <si>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</si>
  <si>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</si>
  <si>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</si>
  <si>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</si>
  <si>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</si>
  <si>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</si>
  <si>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</si>
  <si>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</si>
  <si>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</si>
  <si>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</si>
  <si>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</si>
  <si>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</si>
  <si>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</si>
  <si>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</si>
  <si>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</si>
  <si>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</si>
  <si>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</si>
  <si>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</si>
  <si>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</si>
  <si>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</si>
  <si>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</si>
  <si>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</si>
  <si>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</si>
  <si>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</si>
  <si>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</si>
  <si>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</si>
  <si>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</si>
  <si>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</si>
  <si>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</si>
  <si>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</si>
  <si>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</si>
  <si>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</si>
  <si>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</si>
  <si>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</si>
  <si>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</si>
  <si>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</si>
  <si>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</si>
  <si>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</si>
  <si>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</si>
  <si>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</si>
  <si>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</si>
  <si>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</si>
  <si>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</si>
  <si>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</si>
  <si>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</si>
  <si>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</si>
  <si>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</si>
  <si>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</si>
  <si>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</si>
  <si>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</si>
  <si>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</si>
  <si>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</si>
  <si>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</si>
  <si>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</si>
  <si>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</si>
  <si>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</si>
  <si>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</si>
  <si>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</si>
  <si>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</si>
  <si>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</si>
  <si>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</si>
  <si>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</si>
  <si>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</si>
  <si>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</si>
  <si>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</si>
  <si>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</si>
  <si>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</si>
  <si>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</si>
  <si>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</si>
  <si>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</si>
  <si>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</si>
  <si>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</si>
  <si>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</si>
  <si>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</si>
  <si>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</si>
  <si>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</si>
  <si>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</si>
  <si>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</si>
  <si>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</si>
  <si>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</si>
  <si>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</si>
  <si>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</si>
  <si>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</si>
  <si>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</si>
  <si>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</si>
  <si>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</si>
  <si>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</si>
  <si>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</si>
  <si>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</si>
  <si>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</si>
  <si>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</si>
  <si>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</si>
  <si>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</si>
  <si>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</si>
  <si>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</si>
  <si>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</si>
  <si>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</si>
  <si>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</si>
  <si>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</si>
  <si>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</si>
  <si>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</si>
  <si>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</si>
  <si>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</si>
  <si>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</si>
  <si>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</si>
  <si>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</si>
  <si>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</si>
  <si>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</si>
  <si>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</si>
  <si>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</si>
  <si>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</si>
  <si>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</si>
  <si>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</si>
  <si>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</si>
  <si>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</si>
  <si>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</si>
  <si>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</si>
  <si>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</si>
  <si>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</si>
  <si>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</si>
  <si>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</si>
  <si>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</si>
  <si>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</si>
  <si>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</si>
  <si>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</si>
  <si>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</si>
  <si>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</si>
  <si>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</si>
  <si>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</si>
  <si>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</si>
  <si>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</si>
  <si>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</si>
  <si>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</si>
  <si>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</si>
  <si>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</si>
  <si>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</si>
  <si>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</si>
  <si>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</si>
  <si>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</si>
  <si>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</si>
  <si>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</si>
  <si>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</si>
  <si>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</si>
  <si>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</si>
  <si>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</si>
  <si>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</si>
  <si>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</si>
  <si>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</si>
  <si>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</si>
  <si>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</si>
  <si>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</si>
  <si>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</si>
  <si>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</si>
  <si>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</si>
  <si>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</si>
  <si>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</si>
  <si>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</si>
  <si>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</si>
  <si>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</si>
  <si>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</si>
  <si>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</si>
  <si>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</si>
  <si>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</si>
  <si>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</si>
  <si>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</si>
  <si>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</si>
  <si>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</si>
  <si>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</si>
  <si>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</si>
  <si>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</si>
  <si>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</si>
  <si>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</si>
  <si>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</si>
  <si>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</si>
  <si>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</si>
  <si>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</si>
  <si>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</si>
  <si>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</si>
  <si>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</si>
  <si>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</si>
  <si>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</si>
  <si>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</si>
  <si>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</si>
  <si>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</si>
  <si>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</si>
  <si>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</si>
  <si>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</si>
  <si>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</si>
  <si>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</si>
  <si>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</si>
  <si>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</si>
  <si>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</si>
  <si>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</si>
  <si>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</si>
  <si>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</si>
  <si>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</si>
  <si>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</si>
  <si>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</si>
  <si>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</si>
  <si>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</si>
  <si>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</si>
  <si>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</si>
  <si>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</si>
  <si>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</si>
  <si>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</si>
  <si>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</si>
  <si>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</si>
  <si>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</si>
  <si>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</si>
  <si>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</si>
  <si>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</si>
  <si>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</si>
  <si>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</si>
  <si>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</si>
  <si>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</si>
  <si>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</si>
  <si>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</si>
  <si>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</si>
  <si>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</si>
  <si>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</si>
  <si>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</si>
  <si>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</si>
  <si>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</si>
  <si>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</si>
  <si>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</si>
  <si>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</si>
  <si>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</si>
  <si>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</si>
  <si>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</si>
  <si>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</si>
  <si>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</si>
  <si>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</si>
  <si>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</si>
  <si>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</si>
  <si>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</si>
  <si>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</si>
  <si>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</si>
  <si>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</si>
  <si>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</si>
  <si>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</si>
  <si>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</si>
  <si>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</si>
  <si>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</si>
  <si>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</si>
  <si>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</si>
  <si>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</si>
  <si>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</si>
  <si>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</si>
  <si>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</si>
  <si>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</si>
  <si>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</si>
  <si>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</si>
  <si>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</si>
  <si>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</si>
  <si>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</si>
  <si>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</si>
  <si>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</si>
  <si>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</si>
  <si>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</si>
  <si>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</si>
  <si>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</si>
  <si>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</si>
  <si>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</si>
  <si>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</si>
  <si>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</si>
  <si>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</si>
  <si>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</si>
  <si>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</si>
  <si>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</si>
  <si>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</si>
  <si>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</si>
  <si>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</si>
  <si>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</si>
  <si>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</si>
  <si>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</si>
  <si>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</si>
  <si>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</si>
  <si>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</si>
  <si>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</si>
  <si>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</si>
  <si>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</si>
  <si>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</si>
  <si>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</si>
  <si>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</si>
  <si>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</si>
  <si>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</si>
  <si>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</si>
  <si>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</si>
  <si>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</si>
  <si>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</si>
  <si>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</si>
  <si>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</si>
  <si>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</si>
  <si>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</si>
  <si>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</si>
  <si>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</si>
  <si>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</si>
  <si>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</si>
  <si>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</si>
  <si>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</si>
  <si>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</si>
  <si>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</si>
  <si>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</si>
  <si>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</si>
  <si>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</si>
  <si>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</si>
  <si>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</si>
  <si>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</si>
  <si>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</si>
  <si>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</si>
  <si>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</si>
  <si>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</si>
  <si>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</si>
  <si>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</si>
  <si>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</si>
  <si>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</si>
  <si>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</si>
  <si>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</si>
  <si>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</si>
  <si>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</si>
  <si>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</si>
  <si>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</si>
  <si>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</si>
  <si>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</si>
  <si>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</si>
  <si>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</si>
  <si>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</si>
  <si>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</si>
  <si>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</si>
  <si>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</si>
  <si>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</si>
  <si>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</si>
  <si>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</si>
  <si>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</si>
  <si>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</si>
  <si>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</si>
  <si>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</si>
  <si>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</si>
  <si>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</si>
  <si>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</si>
  <si>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</si>
  <si>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</si>
  <si>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</si>
  <si>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</si>
  <si>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</si>
  <si>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</si>
  <si>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</si>
  <si>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</si>
  <si>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</si>
  <si>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</si>
  <si>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</si>
  <si>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</si>
  <si>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</si>
  <si>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</si>
  <si>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</si>
  <si>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</si>
  <si>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</si>
  <si>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</si>
  <si>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</si>
  <si>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</si>
  <si>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</si>
  <si>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</si>
  <si>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</si>
  <si>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</si>
  <si>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</si>
  <si>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</si>
  <si>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</si>
  <si>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</si>
  <si>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</si>
  <si>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</si>
  <si>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</si>
  <si>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</si>
  <si>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</si>
  <si>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</si>
  <si>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</si>
  <si>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</si>
  <si>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</si>
  <si>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</si>
  <si>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</si>
  <si>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</si>
  <si>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</si>
  <si>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</si>
  <si>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</si>
  <si>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</si>
  <si>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</si>
  <si>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</si>
  <si>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</si>
  <si>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</si>
  <si>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</si>
  <si>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</si>
  <si>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</si>
  <si>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</si>
  <si>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</si>
  <si>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</si>
  <si>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</si>
  <si>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</si>
  <si>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</si>
  <si>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</si>
  <si>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</si>
  <si>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</si>
  <si>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</si>
  <si>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</si>
  <si>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</si>
  <si>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</si>
  <si>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</si>
  <si>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</si>
  <si>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</si>
  <si>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</si>
  <si>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</si>
  <si>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</si>
  <si>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</si>
  <si>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</si>
  <si>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</si>
  <si>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</si>
  <si>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</si>
  <si>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</si>
  <si>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</si>
  <si>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</si>
  <si>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</si>
  <si>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</si>
  <si>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</si>
  <si>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</si>
  <si>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</si>
  <si>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</si>
  <si>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</si>
  <si>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</si>
  <si>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</si>
  <si>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</si>
  <si>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</si>
  <si>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</si>
  <si>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</si>
  <si>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</si>
  <si>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</si>
  <si>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</si>
  <si>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</si>
  <si>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</si>
  <si>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</si>
  <si>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</si>
  <si>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</si>
  <si>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</si>
  <si>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</si>
  <si>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</si>
  <si>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</si>
  <si>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</si>
  <si>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</si>
  <si>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</si>
  <si>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</si>
  <si>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</si>
  <si>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</si>
  <si>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</si>
  <si>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</si>
  <si>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</si>
  <si>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</si>
  <si>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</si>
  <si>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</si>
  <si>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</si>
  <si>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</si>
  <si>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</si>
  <si>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</si>
  <si>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</si>
  <si>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</si>
  <si>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</si>
  <si>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</si>
  <si>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</si>
  <si>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</si>
  <si>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</si>
  <si>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</si>
  <si>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</si>
  <si>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</si>
  <si>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</si>
  <si>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</si>
  <si>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</si>
  <si>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</si>
  <si>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</si>
  <si>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</si>
  <si>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</si>
  <si>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</si>
  <si>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</si>
  <si>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</si>
  <si>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</si>
  <si>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</si>
  <si>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</si>
  <si>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</si>
  <si>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</si>
  <si>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</si>
  <si>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</si>
  <si>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</si>
  <si>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</si>
  <si>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</si>
  <si>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</si>
  <si>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</si>
  <si>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</si>
  <si>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</si>
  <si>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</si>
  <si>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</si>
  <si>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</si>
  <si>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</si>
  <si>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</si>
  <si>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</si>
  <si>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</si>
  <si>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</si>
  <si>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</si>
  <si>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</si>
  <si>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</si>
  <si>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</si>
  <si>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</si>
  <si>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</si>
  <si>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</si>
  <si>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</si>
  <si>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</si>
  <si>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</si>
  <si>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</si>
  <si>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</si>
  <si>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</si>
  <si>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</si>
  <si>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</si>
  <si>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</si>
  <si>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</si>
  <si>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</si>
  <si>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</si>
  <si>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</si>
  <si>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</si>
  <si>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</si>
  <si>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</si>
  <si>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</si>
  <si>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</si>
  <si>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</si>
  <si>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</si>
  <si>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</si>
  <si>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</si>
  <si>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</si>
  <si>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</si>
  <si>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</si>
  <si>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</si>
  <si>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</si>
  <si>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</si>
  <si>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</si>
  <si>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</si>
  <si>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</si>
  <si>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</si>
  <si>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</si>
  <si>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</si>
  <si>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</si>
  <si>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</si>
  <si>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</si>
  <si>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</si>
  <si>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</si>
  <si>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</si>
  <si>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</si>
  <si>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</si>
  <si>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</si>
  <si>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</si>
  <si>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</si>
  <si>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</si>
  <si>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</si>
  <si>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</si>
  <si>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</si>
  <si>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</si>
  <si>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</si>
  <si>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</si>
  <si>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</si>
  <si>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</si>
  <si>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</si>
  <si>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</si>
  <si>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</si>
  <si>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</si>
  <si>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</si>
  <si>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</si>
  <si>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</si>
  <si>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</si>
  <si>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</si>
  <si>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</si>
  <si>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</si>
  <si>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</si>
  <si>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</si>
  <si>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</si>
  <si>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</si>
  <si>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</si>
  <si>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</si>
  <si>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</si>
  <si>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</si>
  <si>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</si>
  <si>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</si>
  <si>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</si>
  <si>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</si>
  <si>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</si>
  <si>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</si>
  <si>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</si>
  <si>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</si>
  <si>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</si>
  <si>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</si>
  <si>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</si>
  <si>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</si>
  <si>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</si>
  <si>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</si>
  <si>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</si>
  <si>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</si>
  <si>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</si>
  <si>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</si>
  <si>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</si>
  <si>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</si>
  <si>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</si>
  <si>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</si>
  <si>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</si>
  <si>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</si>
  <si>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</si>
  <si>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</si>
  <si>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</si>
  <si>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</si>
  <si>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</si>
  <si>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</si>
  <si>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</si>
  <si>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</si>
  <si>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</si>
  <si>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</si>
  <si>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</si>
  <si>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</si>
  <si>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</si>
  <si>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</si>
  <si>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</si>
  <si>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</si>
  <si>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</si>
  <si>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</si>
  <si>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</si>
  <si>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</si>
  <si>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</si>
  <si>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</si>
  <si>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</si>
  <si>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</si>
  <si>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</si>
  <si>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</si>
  <si>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</si>
  <si>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</si>
  <si>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</si>
  <si>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</si>
  <si>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</si>
  <si>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</si>
  <si>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</si>
  <si>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</si>
  <si>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</si>
  <si>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</si>
  <si>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</si>
  <si>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</si>
  <si>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</si>
  <si>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</si>
  <si>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</si>
  <si>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</si>
  <si>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</si>
  <si>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</si>
  <si>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</si>
  <si>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</si>
  <si>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</si>
  <si>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</si>
  <si>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</si>
  <si>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</si>
  <si>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</si>
  <si>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</si>
  <si>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</si>
  <si>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</si>
  <si>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</si>
  <si>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</si>
  <si>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</si>
  <si>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</si>
  <si>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</si>
  <si>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</si>
  <si>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</si>
  <si>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</si>
  <si>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</si>
  <si>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</si>
  <si>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</si>
  <si>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</si>
  <si>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</si>
  <si>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</si>
  <si>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</si>
  <si>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</si>
  <si>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</si>
  <si>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</si>
  <si>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</si>
  <si>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</si>
  <si>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</si>
  <si>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</si>
  <si>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</si>
  <si>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</si>
  <si>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</si>
  <si>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</si>
  <si>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</si>
  <si>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</si>
  <si>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</si>
  <si>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</si>
  <si>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</si>
  <si>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</si>
  <si>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</si>
  <si>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</si>
  <si>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</si>
  <si>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</si>
  <si>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</si>
  <si>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</si>
  <si>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</si>
  <si>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</si>
  <si>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</si>
  <si>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</si>
  <si>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</si>
  <si>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</si>
  <si>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</si>
  <si>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</si>
  <si>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</si>
  <si>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</si>
  <si>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</si>
  <si>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</si>
  <si>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</si>
  <si>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</si>
  <si>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</si>
  <si>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</si>
  <si>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</si>
  <si>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</si>
  <si>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</si>
  <si>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</si>
  <si>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</si>
  <si>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</si>
  <si>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</si>
  <si>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</si>
  <si>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</si>
  <si>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</si>
  <si>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</si>
  <si>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</si>
  <si>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</si>
  <si>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</si>
  <si>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</si>
  <si>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</si>
  <si>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</si>
  <si>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</si>
  <si>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</si>
  <si>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</si>
  <si>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</si>
  <si>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</si>
  <si>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</si>
  <si>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</si>
  <si>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</si>
  <si>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</si>
  <si>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</si>
  <si>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</si>
  <si>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</si>
  <si>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</si>
  <si>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</si>
  <si>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</si>
  <si>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</si>
  <si>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</si>
  <si>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</si>
  <si>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</si>
  <si>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</si>
  <si>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</si>
  <si>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</si>
  <si>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</si>
  <si>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</si>
  <si>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</si>
  <si>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</si>
  <si>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</si>
  <si>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</si>
  <si>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</si>
  <si>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</si>
  <si>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</si>
  <si>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</si>
  <si>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</si>
  <si>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</si>
  <si>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</si>
  <si>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</si>
  <si>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</si>
  <si>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</si>
  <si>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</si>
  <si>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</si>
  <si>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</si>
  <si>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</si>
  <si>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</si>
  <si>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</si>
  <si>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</si>
  <si>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</si>
  <si>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</si>
  <si>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</si>
  <si>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</si>
  <si>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</si>
  <si>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</si>
  <si>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</si>
  <si>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</si>
  <si>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</si>
  <si>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</si>
  <si>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</si>
  <si>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</si>
  <si>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</si>
  <si>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</si>
  <si>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</si>
  <si>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</si>
  <si>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</si>
  <si>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</si>
  <si>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</si>
  <si>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</si>
  <si>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</si>
  <si>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</si>
  <si>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</si>
  <si>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</si>
  <si>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</si>
  <si>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</si>
  <si>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</si>
  <si>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</si>
  <si>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</si>
  <si>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</si>
  <si>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</si>
  <si>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</si>
  <si>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</si>
  <si>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</si>
  <si>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</si>
  <si>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</si>
  <si>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</si>
  <si>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</si>
  <si>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</si>
  <si>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</si>
  <si>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</si>
  <si>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</si>
  <si>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</si>
  <si>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</si>
  <si>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</si>
  <si>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</si>
  <si>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</si>
  <si>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</si>
  <si>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</si>
  <si>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</si>
  <si>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</si>
  <si>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</si>
  <si>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</si>
  <si>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</si>
  <si>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</si>
  <si>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</si>
  <si>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</si>
  <si>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</si>
  <si>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</si>
  <si>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</si>
  <si>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</si>
  <si>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</si>
  <si>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</si>
  <si>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</si>
  <si>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</si>
  <si>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</si>
  <si>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</si>
  <si>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</si>
  <si>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</si>
  <si>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</si>
  <si>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</si>
  <si>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</si>
  <si>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</si>
  <si>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</si>
  <si>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</si>
  <si>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</si>
  <si>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</si>
  <si>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</si>
  <si>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</si>
  <si>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</si>
  <si>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</si>
  <si>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</si>
  <si>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</si>
  <si>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</si>
  <si>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</si>
  <si>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</si>
  <si>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</si>
  <si>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</si>
  <si>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</si>
  <si>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</si>
  <si>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</si>
  <si>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</si>
  <si>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</si>
  <si>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</si>
  <si>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</si>
  <si>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</si>
  <si>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</si>
  <si>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</si>
  <si>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</si>
  <si>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</si>
  <si>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</si>
  <si>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</si>
  <si>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</si>
  <si>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</si>
  <si>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</si>
  <si>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</si>
  <si>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</si>
  <si>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</si>
  <si>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</si>
  <si>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</si>
  <si>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</si>
  <si>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</si>
  <si>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</si>
  <si>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</si>
  <si>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</si>
  <si>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</si>
  <si>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</si>
  <si>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</si>
  <si>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</si>
  <si>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</si>
  <si>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</si>
  <si>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</si>
  <si>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</si>
  <si>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</si>
  <si>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</si>
  <si>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</si>
  <si>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</si>
  <si>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</si>
  <si>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</si>
  <si>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</si>
  <si>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</si>
  <si>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</si>
  <si>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</si>
  <si>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</si>
  <si>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</si>
  <si>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</si>
  <si>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</si>
  <si>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</si>
  <si>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</si>
  <si>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</si>
  <si>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</si>
  <si>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</si>
  <si>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</si>
  <si>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</si>
  <si>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</si>
  <si>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</si>
  <si>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</si>
  <si>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</si>
  <si>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</si>
  <si>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</si>
  <si>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</si>
  <si>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</si>
  <si>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</si>
  <si>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</si>
  <si>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</si>
  <si>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</si>
  <si>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</si>
  <si>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</si>
  <si>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</si>
  <si>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</si>
  <si>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</si>
  <si>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</si>
  <si>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</si>
  <si>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</si>
  <si>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</si>
  <si>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</si>
  <si>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</si>
  <si>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</si>
  <si>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</si>
  <si>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</si>
  <si>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</si>
  <si>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</si>
  <si>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</si>
  <si>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</si>
  <si>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</si>
  <si>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</si>
  <si>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</si>
  <si>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</si>
  <si>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</si>
  <si>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</si>
  <si>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</si>
  <si>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</si>
  <si>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</si>
  <si>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</si>
  <si>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</si>
  <si>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</si>
  <si>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</si>
  <si>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</si>
  <si>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</si>
  <si>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</si>
  <si>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</si>
  <si>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</si>
  <si>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</si>
  <si>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</si>
  <si>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</si>
  <si>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</si>
  <si>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</si>
  <si>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</si>
  <si>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</si>
  <si>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</si>
  <si>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</si>
  <si>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</si>
  <si>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</si>
  <si>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</si>
  <si>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</si>
  <si>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</si>
  <si>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</si>
  <si>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</si>
  <si>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</si>
  <si>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</si>
  <si>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</si>
  <si>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</si>
  <si>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</si>
  <si>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</si>
  <si>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</si>
  <si>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</si>
  <si>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</si>
  <si>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</si>
  <si>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</si>
  <si>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</si>
  <si>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</si>
  <si>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</si>
  <si>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</si>
  <si>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</si>
  <si>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</si>
  <si>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</si>
  <si>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</si>
  <si>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</si>
  <si>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</si>
  <si>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</si>
  <si>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</si>
  <si>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</si>
  <si>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</si>
  <si>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</si>
  <si>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</si>
  <si>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</si>
  <si>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</si>
  <si>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</si>
  <si>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</si>
  <si>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</si>
  <si>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</si>
  <si>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</si>
  <si>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</si>
  <si>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</si>
  <si>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</si>
  <si>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</si>
  <si>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</si>
  <si>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</si>
  <si>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</si>
  <si>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</si>
  <si>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</si>
  <si>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</si>
  <si>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</si>
  <si>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</si>
  <si>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</si>
  <si>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</si>
  <si>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</si>
  <si>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</si>
  <si>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</si>
  <si>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</si>
  <si>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</si>
  <si>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</si>
  <si>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</si>
  <si>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</si>
  <si>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</si>
  <si>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</si>
  <si>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</si>
  <si>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</si>
  <si>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</si>
  <si>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</si>
  <si>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</si>
  <si>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</si>
  <si>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</si>
  <si>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</si>
  <si>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</si>
  <si>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</si>
  <si>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</si>
  <si>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</si>
  <si>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</si>
  <si>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</si>
  <si>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</si>
  <si>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</si>
  <si>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</si>
  <si>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</si>
  <si>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</si>
  <si>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</si>
  <si>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</si>
  <si>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</si>
  <si>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</si>
  <si>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</si>
  <si>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</si>
  <si>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</si>
  <si>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</si>
  <si>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</si>
  <si>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</si>
  <si>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</si>
  <si>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</si>
  <si>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</si>
  <si>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</si>
  <si>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</si>
  <si>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</si>
  <si>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</si>
  <si>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</si>
  <si>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</si>
  <si>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</si>
  <si>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</si>
  <si>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</si>
  <si>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</si>
  <si>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</si>
  <si>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</si>
  <si>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</si>
  <si>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</si>
  <si>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</si>
  <si>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</si>
  <si>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</si>
  <si>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</si>
  <si>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</si>
  <si>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</si>
  <si>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</si>
  <si>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</si>
  <si>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</si>
  <si>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</si>
  <si>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</si>
  <si>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</si>
  <si>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</si>
  <si>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</si>
  <si>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</si>
  <si>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</si>
  <si>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</si>
  <si>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</si>
  <si>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</si>
  <si>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</si>
  <si>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</si>
  <si>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</si>
  <si>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</si>
  <si>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</si>
  <si>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</si>
  <si>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</si>
  <si>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</si>
  <si>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</si>
  <si>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</si>
  <si>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</si>
  <si>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</si>
  <si>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</si>
  <si>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</si>
  <si>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</si>
  <si>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</si>
  <si>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</si>
  <si>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</si>
  <si>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</si>
  <si>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</si>
  <si>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</si>
  <si>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</si>
  <si>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</si>
  <si>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</si>
  <si>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</si>
  <si>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</si>
  <si>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</si>
  <si>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</si>
  <si>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</si>
  <si>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</si>
  <si>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</si>
  <si>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</si>
  <si>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</si>
  <si>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</si>
  <si>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</si>
  <si>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</si>
  <si>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</si>
  <si>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</si>
  <si>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</si>
  <si>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</si>
  <si>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</si>
  <si>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</si>
  <si>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</si>
  <si>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</si>
  <si>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</si>
  <si>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</si>
  <si>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</si>
  <si>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</si>
  <si>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</si>
  <si>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</si>
  <si>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</si>
  <si>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</si>
  <si>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</si>
  <si>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</si>
  <si>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</si>
  <si>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</si>
  <si>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</si>
  <si>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</si>
  <si>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</si>
  <si>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</si>
  <si>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</si>
  <si>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</si>
  <si>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</si>
  <si>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</si>
  <si>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</si>
  <si>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</si>
  <si>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</si>
  <si>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</si>
  <si>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</si>
  <si>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</si>
  <si>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</si>
  <si>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</si>
  <si>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</si>
  <si>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</si>
  <si>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</si>
  <si>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</si>
  <si>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</si>
  <si>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</si>
  <si>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</si>
  <si>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</si>
  <si>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</si>
  <si>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</si>
  <si>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</si>
  <si>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</si>
  <si>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</si>
  <si>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</si>
  <si>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</si>
  <si>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</si>
  <si>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</si>
  <si>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</si>
  <si>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</si>
  <si>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</si>
  <si>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</si>
  <si>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</si>
  <si>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</si>
  <si>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</si>
  <si>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</si>
  <si>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</si>
  <si>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</si>
  <si>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</si>
  <si>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</si>
  <si>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</si>
  <si>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</si>
  <si>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</si>
  <si>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</si>
  <si>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</si>
  <si>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</si>
  <si>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</si>
  <si>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</si>
  <si>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</si>
  <si>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</si>
  <si>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</si>
  <si>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</si>
  <si>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</si>
  <si>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</si>
  <si>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</si>
  <si>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</si>
  <si>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</si>
  <si>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</si>
  <si>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</si>
  <si>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</si>
  <si>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</si>
  <si>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</si>
  <si>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</si>
  <si>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</si>
  <si>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</si>
  <si>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</si>
  <si>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</si>
  <si>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</si>
  <si>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</si>
  <si>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</si>
  <si>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</si>
  <si>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</si>
  <si>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</si>
  <si>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</si>
  <si>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</si>
  <si>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</si>
  <si>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</si>
  <si>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</si>
  <si>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</si>
  <si>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</si>
  <si>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</si>
  <si>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</si>
  <si>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</si>
  <si>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</si>
  <si>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</si>
  <si>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</si>
  <si>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</si>
  <si>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</si>
  <si>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</si>
  <si>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</si>
  <si>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</si>
  <si>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</si>
  <si>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</si>
  <si>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</si>
  <si>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</si>
  <si>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</si>
  <si>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</si>
  <si>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</si>
  <si>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</si>
  <si>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</si>
  <si>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</si>
  <si>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</si>
  <si>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</si>
  <si>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</si>
  <si>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</si>
  <si>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</si>
  <si>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</si>
  <si>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</si>
  <si>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</si>
  <si>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</si>
  <si>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</si>
  <si>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</si>
  <si>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</si>
  <si>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</si>
  <si>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</si>
  <si>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</si>
  <si>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</si>
  <si>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</si>
  <si>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</si>
  <si>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</si>
  <si>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</si>
  <si>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</si>
  <si>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</si>
  <si>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</si>
  <si>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</si>
  <si>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</si>
  <si>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</si>
  <si>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</si>
  <si>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</si>
  <si>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</si>
  <si>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</si>
  <si>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</si>
  <si>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</si>
  <si>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</si>
  <si>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</si>
  <si>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</si>
  <si>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</si>
  <si>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</si>
  <si>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</si>
  <si>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</si>
  <si>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</si>
  <si>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</si>
  <si>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</si>
  <si>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</si>
  <si>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</si>
  <si>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</si>
  <si>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</si>
  <si>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</si>
  <si>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</si>
  <si>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</si>
  <si>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</si>
  <si>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</si>
  <si>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</si>
  <si>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</si>
  <si>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</si>
  <si>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</si>
  <si>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</si>
  <si>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</si>
  <si>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</si>
  <si>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</si>
  <si>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</si>
  <si>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</si>
  <si>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</si>
  <si>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</si>
  <si>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</si>
  <si>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</si>
  <si>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</si>
  <si>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</si>
  <si>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</si>
  <si>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</si>
  <si>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</si>
  <si>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</si>
  <si>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</si>
  <si>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</si>
  <si>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</si>
  <si>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</si>
  <si>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</si>
  <si>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</si>
  <si>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</si>
  <si>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</si>
  <si>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</si>
  <si>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</si>
  <si>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</si>
  <si>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</si>
  <si>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</si>
  <si>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</si>
  <si>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</si>
  <si>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</si>
  <si>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</si>
  <si>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</si>
  <si>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</si>
  <si>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</si>
  <si>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</si>
  <si>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</si>
  <si>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</si>
  <si>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</si>
  <si>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</si>
  <si>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</si>
  <si>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</si>
  <si>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</si>
  <si>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</si>
  <si>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</si>
  <si>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</si>
  <si>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</si>
  <si>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</si>
  <si>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</si>
  <si>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</si>
  <si>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</si>
  <si>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</si>
  <si>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</si>
  <si>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</si>
  <si>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</si>
  <si>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</si>
  <si>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</si>
  <si>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</si>
  <si>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</si>
  <si>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</si>
  <si>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</si>
  <si>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</si>
  <si>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</si>
  <si>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</si>
  <si>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</si>
  <si>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</si>
  <si>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</si>
  <si>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</si>
  <si>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</si>
  <si>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</si>
  <si>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</si>
  <si>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</si>
  <si>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</si>
  <si>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</si>
  <si>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</si>
  <si>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</si>
  <si>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</si>
  <si>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</si>
  <si>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</si>
  <si>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</si>
  <si>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</si>
  <si>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</si>
  <si>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</si>
  <si>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</si>
  <si>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</si>
  <si>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</si>
  <si>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</si>
  <si>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</si>
  <si>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</si>
  <si>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</si>
  <si>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</si>
  <si>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</si>
  <si>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</si>
  <si>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</si>
  <si>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</si>
  <si>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</si>
  <si>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</si>
  <si>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</si>
  <si>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</si>
  <si>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</si>
  <si>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</si>
  <si>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</si>
  <si>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</si>
  <si>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</si>
  <si>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</si>
  <si>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</si>
  <si>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</si>
  <si>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</si>
  <si>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</si>
  <si>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</si>
  <si>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</si>
  <si>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</si>
  <si>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</si>
  <si>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</si>
  <si>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</si>
  <si>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</si>
  <si>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</si>
  <si>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</si>
  <si>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</si>
  <si>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</si>
  <si>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</si>
  <si>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</si>
  <si>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</si>
  <si>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</si>
  <si>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</si>
  <si>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</si>
  <si>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</si>
  <si>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</si>
  <si>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</si>
  <si>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</si>
  <si>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</si>
  <si>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</si>
  <si>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</si>
  <si>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</si>
  <si>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</si>
  <si>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</si>
  <si>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</si>
  <si>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</si>
  <si>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</si>
  <si>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</si>
  <si>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</si>
  <si>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</si>
  <si>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</si>
  <si>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</si>
  <si>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</si>
  <si>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</si>
  <si>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</si>
  <si>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</si>
  <si>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</si>
  <si>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</si>
  <si>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</si>
  <si>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</si>
  <si>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</si>
  <si>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</si>
  <si>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</si>
  <si>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</si>
  <si>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</si>
  <si>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</si>
  <si>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</si>
  <si>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</si>
  <si>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</si>
  <si>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</si>
  <si>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</si>
  <si>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</si>
  <si>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</si>
  <si>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</si>
  <si>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</si>
  <si>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</si>
  <si>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</si>
  <si>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</si>
  <si>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</si>
  <si>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</si>
  <si>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</si>
  <si>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</si>
  <si>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</si>
  <si>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</si>
  <si>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</si>
  <si>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</si>
  <si>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</si>
  <si>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</si>
  <si>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</si>
  <si>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</si>
  <si>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</si>
  <si>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</si>
  <si>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</si>
  <si>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</si>
  <si>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</si>
  <si>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</si>
  <si>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</si>
  <si>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</si>
  <si>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</si>
  <si>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</si>
  <si>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</si>
  <si>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</si>
  <si>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</si>
  <si>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</si>
  <si>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</si>
  <si>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</si>
  <si>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</si>
  <si>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</si>
  <si>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</si>
  <si>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</si>
  <si>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</si>
  <si>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</si>
  <si>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</si>
  <si>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</si>
  <si>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</si>
  <si>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</si>
  <si>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</si>
  <si>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</si>
  <si>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</si>
  <si>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</si>
  <si>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</si>
  <si>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</si>
  <si>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</si>
  <si>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</si>
  <si>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</si>
  <si>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</si>
  <si>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</si>
  <si>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</si>
  <si>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</si>
  <si>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</si>
  <si>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</si>
  <si>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</si>
  <si>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</si>
  <si>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</si>
  <si>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</si>
  <si>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</si>
  <si>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</si>
  <si>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</si>
  <si>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</si>
  <si>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</si>
  <si>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</si>
  <si>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</si>
  <si>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</si>
  <si>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</si>
  <si>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</si>
  <si>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</si>
  <si>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</si>
  <si>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</si>
  <si>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</si>
  <si>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</si>
  <si>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</si>
  <si>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</si>
  <si>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</si>
  <si>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</si>
  <si>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</si>
  <si>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</si>
  <si>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</si>
  <si>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</si>
  <si>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</si>
  <si>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</si>
  <si>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</si>
  <si>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</si>
  <si>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</si>
  <si>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</si>
  <si>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</si>
  <si>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</si>
  <si>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</si>
  <si>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</si>
  <si>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</si>
  <si>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</si>
  <si>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</si>
  <si>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</si>
  <si>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</si>
  <si>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</si>
  <si>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</si>
  <si>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</si>
  <si>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</si>
  <si>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</si>
  <si>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</si>
  <si>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</si>
  <si>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</si>
  <si>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</si>
  <si>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</si>
  <si>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</si>
  <si>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</si>
  <si>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</si>
  <si>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</si>
  <si>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</si>
  <si>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</si>
  <si>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</si>
  <si>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</si>
  <si>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</si>
  <si>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</si>
  <si>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</si>
  <si>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</si>
  <si>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</si>
  <si>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</si>
  <si>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</si>
  <si>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</si>
  <si>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</si>
  <si>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</si>
  <si>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</si>
  <si>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</si>
  <si>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</si>
  <si>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</si>
  <si>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</si>
  <si>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</si>
  <si>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</si>
  <si>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</si>
  <si>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</si>
  <si>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</si>
  <si>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</si>
  <si>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</si>
  <si>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</si>
  <si>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</si>
  <si>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</si>
  <si>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</si>
  <si>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</si>
  <si>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</si>
  <si>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</si>
  <si>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</si>
  <si>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</si>
  <si>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</si>
  <si>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</si>
  <si>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</si>
  <si>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</si>
  <si>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</si>
  <si>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</si>
  <si>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</si>
  <si>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</si>
  <si>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</si>
  <si>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</si>
  <si>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</si>
  <si>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</si>
  <si>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</si>
  <si>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</si>
  <si>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</si>
  <si>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</si>
  <si>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</si>
  <si>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</si>
  <si>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</si>
  <si>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</si>
  <si>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</si>
  <si>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</si>
  <si>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</si>
  <si>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</si>
  <si>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</si>
  <si>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</si>
  <si>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</si>
  <si>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</si>
  <si>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</si>
  <si>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</si>
  <si>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</si>
  <si>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</si>
  <si>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</si>
  <si>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</si>
  <si>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</si>
  <si>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</si>
  <si>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</si>
  <si>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</si>
  <si>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</si>
  <si>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</si>
  <si>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</si>
  <si>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</si>
  <si>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</si>
  <si>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</si>
  <si>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</si>
  <si>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</si>
  <si>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</si>
  <si>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</si>
  <si>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</si>
  <si>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</si>
  <si>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</si>
  <si>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</si>
  <si>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</si>
  <si>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</si>
  <si>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</si>
  <si>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</si>
  <si>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</si>
  <si>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Additions: A family of 4 students who owed money, ended up paying after the school cleared their account. $1003.05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</si>
</sst>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53">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cellStyleXfs>
  <cellXfs count="341">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24" fillId="0" borderId="0" xfId="0" applyNumberFormat="1" applyFont="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40" fontId="82" fillId="0" borderId="0" xfId="0" applyNumberFormat="1" applyFont="1"/>
    <xf numFmtId="39" fontId="82" fillId="0" borderId="0" xfId="0" applyNumberFormat="1" applyFont="1"/>
    <xf numFmtId="0" fontId="83" fillId="0" borderId="0" xfId="0" applyFont="1" applyAlignment="1">
      <alignment wrapText="1"/>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41" fillId="40" borderId="0" xfId="0" applyFont="1" applyFill="1" applyAlignment="1">
      <alignment horizontal="center"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lignment horizontal="left"/>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xf numFmtId="49" fontId="16" fillId="0" borderId="10" xfId="0" applyNumberFormat="1" applyFont="1" applyBorder="1" applyAlignment="1">
      <alignment horizontal="left"/>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cellXfs>
  <cellStyles count="5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2" xfId="49" xr:uid="{00000000-0005-0000-0000-00001B000000}"/>
    <cellStyle name="Comma 3" xfId="51" xr:uid="{00000000-0005-0000-0000-00001C000000}"/>
    <cellStyle name="Comma 4" xfId="46" xr:uid="{00000000-0005-0000-0000-00001D000000}"/>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8000000}"/>
    <cellStyle name="Normal 2 2" xfId="48" xr:uid="{00000000-0005-0000-0000-000029000000}"/>
    <cellStyle name="Normal 3" xfId="43" xr:uid="{00000000-0005-0000-0000-00002A000000}"/>
    <cellStyle name="Normal 3 2" xfId="50" xr:uid="{00000000-0005-0000-0000-00002B000000}"/>
    <cellStyle name="Normal 4" xfId="44" xr:uid="{00000000-0005-0000-0000-00002C000000}"/>
    <cellStyle name="Normal 4 2" xfId="52" xr:uid="{00000000-0005-0000-0000-00002D000000}"/>
    <cellStyle name="Normal 5" xfId="45" xr:uid="{00000000-0005-0000-0000-00002E000000}"/>
    <cellStyle name="Note 2" xfId="42" xr:uid="{00000000-0005-0000-0000-00002F000000}"/>
    <cellStyle name="Output" xfId="9" builtinId="21" customBuiltin="1"/>
    <cellStyle name="Percent 2" xfId="47" xr:uid="{00000000-0005-0000-0000-000031000000}"/>
    <cellStyle name="Title 2" xfId="41" xr:uid="{00000000-0005-0000-0000-000032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120" zoomScaleNormal="12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1060</v>
      </c>
      <c r="B2">
        <f>INDEX('School Tables'!$AH$3:$AH$209,MATCH('DOE25'!A2,'School Tables'!$AJ$3:$AJ$209,0))</f>
        <v>203</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0</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v>1427908.74</v>
      </c>
      <c r="G10" s="18"/>
      <c r="H10" s="18"/>
      <c r="I10" s="18"/>
      <c r="J10" s="13">
        <f>SUM(I441)</f>
        <v>1304398.1599999999</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60000</v>
      </c>
      <c r="G13" s="18">
        <v>49786.68</v>
      </c>
      <c r="H13" s="18">
        <v>84052.81</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1760.51</v>
      </c>
      <c r="G14" s="18">
        <v>18892.04</v>
      </c>
      <c r="H14" s="18">
        <v>-264.5</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1489669.25</v>
      </c>
      <c r="G19" s="38">
        <f>SUM(G9:G18)</f>
        <v>68678.720000000001</v>
      </c>
      <c r="H19" s="38">
        <f>SUM(H9:H18)</f>
        <v>83788.31</v>
      </c>
      <c r="I19" s="38">
        <f>SUM(I9:I18)</f>
        <v>0</v>
      </c>
      <c r="J19" s="38">
        <f>SUM(J9:J18)</f>
        <v>1304398.1599999999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73120.2</v>
      </c>
      <c r="G22" s="18">
        <v>7305.38</v>
      </c>
      <c r="H22" s="18">
        <v>138617.85</v>
      </c>
      <c r="I22" s="18">
        <v>138045.95000000001</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22531.06</v>
      </c>
      <c r="G23" s="18"/>
      <c r="H23" s="18">
        <v>3451.36</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3168.49+34420.04</f>
        <v>37588.53</v>
      </c>
      <c r="G24" s="18">
        <v>-7305.38</v>
      </c>
      <c r="H24" s="18">
        <v>-58280.9</v>
      </c>
      <c r="I24" s="18">
        <v>-138045.95000000001</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58953.88</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192193.66999999998</v>
      </c>
      <c r="G32" s="38">
        <f>SUM(G22:G31)</f>
        <v>0</v>
      </c>
      <c r="H32" s="38">
        <f>SUM(H22:H31)</f>
        <v>83788.31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22378.82</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1499.46</v>
      </c>
      <c r="K39" s="23" t="s">
        <v>288</v>
      </c>
      <c r="L39" s="23" t="s">
        <v>288</v>
      </c>
      <c r="M39" s="8"/>
      <c r="N39" s="165"/>
    </row>
    <row r="40" spans="1:14" s="3" customFormat="1" ht="12.2" customHeight="1" x14ac:dyDescent="0.15">
      <c r="A40" s="1" t="s">
        <v>859</v>
      </c>
      <c r="B40" s="6">
        <v>1</v>
      </c>
      <c r="C40" s="6">
        <v>27</v>
      </c>
      <c r="D40" s="2"/>
      <c r="E40" s="6"/>
      <c r="F40" s="23" t="s">
        <v>288</v>
      </c>
      <c r="G40" s="18">
        <f>49786.68+18892.04</f>
        <v>68678.720000000001</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273615.3</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1280519.8799999999</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1023860.28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1297475.58</v>
      </c>
      <c r="G51" s="38">
        <f>SUM(G35:G50)</f>
        <v>68678.720000000001</v>
      </c>
      <c r="H51" s="38">
        <f>SUM(H35:H50)</f>
        <v>0</v>
      </c>
      <c r="I51" s="38">
        <f>SUM(I35:I50)</f>
        <v>0</v>
      </c>
      <c r="J51" s="38">
        <f>SUM(J35:J50)</f>
        <v>1304398.1599999999</v>
      </c>
      <c r="K51" s="42" t="s">
        <v>288</v>
      </c>
      <c r="L51" s="42" t="s">
        <v>288</v>
      </c>
      <c r="N51" s="131"/>
    </row>
    <row r="52" spans="1:14" s="3" customFormat="1" ht="12.2" customHeight="1" thickTop="1" x14ac:dyDescent="0.15">
      <c r="A52" s="35" t="s">
        <v>455</v>
      </c>
      <c r="B52" s="36" t="s">
        <v>289</v>
      </c>
      <c r="C52" s="6">
        <v>37</v>
      </c>
      <c r="D52" s="36" t="s">
        <v>653</v>
      </c>
      <c r="E52" s="36"/>
      <c r="F52" s="38">
        <f>F51+F32</f>
        <v>1489669.25</v>
      </c>
      <c r="G52" s="38">
        <f>G51+G32</f>
        <v>68678.720000000001</v>
      </c>
      <c r="H52" s="38">
        <f>H51+H32</f>
        <v>83788.31</v>
      </c>
      <c r="I52" s="38">
        <f>I51+I32</f>
        <v>0</v>
      </c>
      <c r="J52" s="38">
        <f>J51+J32</f>
        <v>1304398.1599999999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5501902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5501902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205642.23999999999</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205642.23999999999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83733.5</v>
      </c>
      <c r="G96" s="18"/>
      <c r="H96" s="18"/>
      <c r="I96" s="18"/>
      <c r="J96" s="18">
        <v>174164.61</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119285.94+1792.5</f>
        <v>121078.44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43436.63</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127170.13</v>
      </c>
      <c r="G111" s="38">
        <f>SUM(G96:G110)</f>
        <v>121078.44</v>
      </c>
      <c r="H111" s="38">
        <f>SUM(H96:H110)</f>
        <v>0</v>
      </c>
      <c r="I111" s="38">
        <f>SUM(I96:I110)</f>
        <v>0</v>
      </c>
      <c r="J111" s="38">
        <f>SUM(J96:J110)</f>
        <v>174164.61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5834714.3700000001</v>
      </c>
      <c r="G112" s="38">
        <f>G60+G111</f>
        <v>121078.44</v>
      </c>
      <c r="H112" s="38">
        <f>H60+H79+H94+H111</f>
        <v>0</v>
      </c>
      <c r="I112" s="38">
        <f>I60+I111</f>
        <v>0</v>
      </c>
      <c r="J112" s="38">
        <f>J60+J111</f>
        <v>174164.61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f>2112046.56+78048.76+175018.4</f>
        <v>2365113.7199999997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f>299848+85820+62609</f>
        <v>448277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6156.26+2037.11</f>
        <v>8193.3700000000008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2821584.09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584055.47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4169.2</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588224.66999999993</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3409808.76</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86649.21</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30753.54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101070.43+9019.08</f>
        <v>110089.51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84336.54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247203.81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110089.51</v>
      </c>
      <c r="H163" s="38">
        <f>SUM(H150:H162)</f>
        <v>448943.1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29295.3</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29295.3</v>
      </c>
      <c r="G170" s="38">
        <f>G147+G163+SUM(G164:G169)</f>
        <v>110089.51</v>
      </c>
      <c r="H170" s="38">
        <f>H147+H163+SUM(H164:H169)</f>
        <v>448943.1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150375</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150375</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18892.04</v>
      </c>
      <c r="H180" s="18"/>
      <c r="I180" s="18">
        <v>314025.95</v>
      </c>
      <c r="J180" s="18">
        <v>130661</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18892.04</v>
      </c>
      <c r="H184" s="38">
        <f>SUM(H180:H183)</f>
        <v>0</v>
      </c>
      <c r="I184" s="38">
        <f>SUM(I180:I183)</f>
        <v>314025.95</v>
      </c>
      <c r="J184" s="38">
        <f>SUM(J180:J183)</f>
        <v>130661</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v>55000</v>
      </c>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55000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18892.04</v>
      </c>
      <c r="H193" s="38">
        <f>+H184+SUM(H189:H192)</f>
        <v>0</v>
      </c>
      <c r="I193" s="38">
        <f>I178+I184+SUM(I189:I192)</f>
        <v>519400.95</v>
      </c>
      <c r="J193" s="38">
        <f>J184</f>
        <v>130661</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9273818.4299999997</v>
      </c>
      <c r="G194" s="38">
        <f>G112+G140+G170+G193</f>
        <v>250059.99000000002</v>
      </c>
      <c r="H194" s="38">
        <f>H112+H140+H170+H193</f>
        <v>448943.1</v>
      </c>
      <c r="I194" s="38">
        <f>I112+I140+I170+I193</f>
        <v>519400.95</v>
      </c>
      <c r="J194" s="38">
        <f>J112+J140+J193</f>
        <v>304825.61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735234.18</f>
        <v>735234.18</v>
      </c>
      <c r="G198" s="18">
        <f>366750.05+12900</f>
        <v>379650.05</v>
      </c>
      <c r="H198" s="18">
        <f>2582.34</f>
        <v>2582.34</v>
      </c>
      <c r="I198" s="18">
        <v>52144.05</v>
      </c>
      <c r="J198" s="18">
        <v>26935.69</v>
      </c>
      <c r="K198" s="18">
        <v>1308.48</v>
      </c>
      <c r="L198" s="13">
        <f>SUM(F198:K198)</f>
        <v>1197854.79</v>
      </c>
      <c r="M198" s="8"/>
      <c r="N198" s="165"/>
    </row>
    <row r="199" spans="1:14" s="3" customFormat="1" ht="12.2" customHeight="1" x14ac:dyDescent="0.15">
      <c r="A199" s="1" t="s">
        <v>439</v>
      </c>
      <c r="B199" s="2" t="s">
        <v>341</v>
      </c>
      <c r="C199" s="2" t="s">
        <v>291</v>
      </c>
      <c r="D199" s="2" t="s">
        <v>431</v>
      </c>
      <c r="E199" s="6">
        <v>1200</v>
      </c>
      <c r="F199" s="18">
        <v>325142</v>
      </c>
      <c r="G199" s="18">
        <v>205468.85</v>
      </c>
      <c r="H199" s="18">
        <f>3172.37+449522.43</f>
        <v>452694.8</v>
      </c>
      <c r="I199" s="18">
        <f>166.8+3430</f>
        <v>3596.8</v>
      </c>
      <c r="J199" s="18">
        <f>926.39</f>
        <v>926.39</v>
      </c>
      <c r="K199" s="18">
        <f>399</f>
        <v>399</v>
      </c>
      <c r="L199" s="13">
        <f>SUM(F199:K199)</f>
        <v>988227.84</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6558.33</f>
        <v>6558.33</v>
      </c>
      <c r="G201" s="18">
        <f>1238.28</f>
        <v>1238.28</v>
      </c>
      <c r="H201" s="18">
        <f>699</f>
        <v>699</v>
      </c>
      <c r="I201" s="18"/>
      <c r="J201" s="18"/>
      <c r="K201" s="18"/>
      <c r="L201" s="13">
        <f>SUM(F201:K201)</f>
        <v>8495.61</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16144.89+173664.12</f>
        <v>189809.01</v>
      </c>
      <c r="G203" s="18">
        <f>10459.29+101041.31</f>
        <v>111500.6</v>
      </c>
      <c r="H203" s="18">
        <f>2144.5+42821.91</f>
        <v>44966.41</v>
      </c>
      <c r="I203" s="18">
        <f>167.76+6071.83</f>
        <v>6239.59</v>
      </c>
      <c r="J203" s="18"/>
      <c r="K203" s="18">
        <v>432</v>
      </c>
      <c r="L203" s="13">
        <f t="shared" ref="L203:L209" si="0">SUM(F203:K203)</f>
        <v>352947.61000000004</v>
      </c>
      <c r="M203" s="8"/>
      <c r="N203" s="165"/>
    </row>
    <row r="204" spans="1:14" s="3" customFormat="1" ht="12.2" customHeight="1" x14ac:dyDescent="0.15">
      <c r="A204" s="1" t="s">
        <v>443</v>
      </c>
      <c r="B204" s="2" t="s">
        <v>341</v>
      </c>
      <c r="C204" s="2" t="s">
        <v>295</v>
      </c>
      <c r="D204" s="2" t="s">
        <v>431</v>
      </c>
      <c r="E204" s="6">
        <v>2200</v>
      </c>
      <c r="F204" s="18">
        <v>62395.8</v>
      </c>
      <c r="G204" s="18">
        <v>34364.080000000002</v>
      </c>
      <c r="H204" s="18">
        <v>3830.46</v>
      </c>
      <c r="I204" s="18">
        <v>8913.41</v>
      </c>
      <c r="J204" s="18">
        <f>8425.39</f>
        <v>8425.39</v>
      </c>
      <c r="K204" s="18">
        <f>2500</f>
        <v>2500</v>
      </c>
      <c r="L204" s="13">
        <f t="shared" si="0"/>
        <v>120429.14000000001</v>
      </c>
      <c r="M204" s="8"/>
      <c r="N204" s="165"/>
    </row>
    <row r="205" spans="1:14" s="3" customFormat="1" ht="12.2" customHeight="1" x14ac:dyDescent="0.15">
      <c r="A205" s="1" t="s">
        <v>444</v>
      </c>
      <c r="B205" s="2" t="s">
        <v>341</v>
      </c>
      <c r="C205" s="2" t="s">
        <v>296</v>
      </c>
      <c r="D205" s="2" t="s">
        <v>431</v>
      </c>
      <c r="E205" s="6">
        <v>2300</v>
      </c>
      <c r="F205" s="18">
        <f>5806.62</f>
        <v>5806.62</v>
      </c>
      <c r="G205" s="18">
        <f>433.55</f>
        <v>433.55</v>
      </c>
      <c r="H205" s="18">
        <f>229047.4+11700</f>
        <v>240747.4</v>
      </c>
      <c r="I205" s="18">
        <f>296.46</f>
        <v>296.45999999999998</v>
      </c>
      <c r="J205" s="18"/>
      <c r="K205" s="18">
        <f>1603.97</f>
        <v>1603.97</v>
      </c>
      <c r="L205" s="13">
        <f t="shared" si="0"/>
        <v>248888</v>
      </c>
      <c r="M205" s="8"/>
      <c r="N205" s="165"/>
    </row>
    <row r="206" spans="1:14" s="3" customFormat="1" ht="12.2" customHeight="1" x14ac:dyDescent="0.15">
      <c r="A206" s="1" t="s">
        <v>445</v>
      </c>
      <c r="B206" s="2" t="s">
        <v>341</v>
      </c>
      <c r="C206" s="2" t="s">
        <v>297</v>
      </c>
      <c r="D206" s="2" t="s">
        <v>431</v>
      </c>
      <c r="E206" s="6">
        <v>2400</v>
      </c>
      <c r="F206" s="18">
        <v>108590.17</v>
      </c>
      <c r="G206" s="18">
        <v>63929.97</v>
      </c>
      <c r="H206" s="18">
        <v>8792.41</v>
      </c>
      <c r="I206" s="18">
        <v>3072</v>
      </c>
      <c r="J206" s="18">
        <v>19.989999999999998</v>
      </c>
      <c r="K206" s="18">
        <v>4284</v>
      </c>
      <c r="L206" s="13">
        <f t="shared" si="0"/>
        <v>188688.54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86647.25</v>
      </c>
      <c r="G208" s="18">
        <v>47311.42</v>
      </c>
      <c r="H208" s="18">
        <f>167767.57-98545.95-39500</f>
        <v>29721.62000000001</v>
      </c>
      <c r="I208" s="18">
        <v>52702.83</v>
      </c>
      <c r="J208" s="18">
        <v>3889.66</v>
      </c>
      <c r="K208" s="18"/>
      <c r="L208" s="13">
        <f t="shared" si="0"/>
        <v>220272.78</v>
      </c>
      <c r="M208" s="8"/>
      <c r="N208" s="165"/>
    </row>
    <row r="209" spans="1:14" s="3" customFormat="1" ht="12.2" customHeight="1" x14ac:dyDescent="0.15">
      <c r="A209" s="1" t="s">
        <v>448</v>
      </c>
      <c r="B209" s="2" t="s">
        <v>341</v>
      </c>
      <c r="C209" s="2" t="s">
        <v>300</v>
      </c>
      <c r="D209" s="2" t="s">
        <v>431</v>
      </c>
      <c r="E209" s="6">
        <v>2700</v>
      </c>
      <c r="F209" s="18">
        <v>35454.400000000001</v>
      </c>
      <c r="G209" s="18">
        <v>10369.379999999999</v>
      </c>
      <c r="H209" s="18">
        <v>11957.79</v>
      </c>
      <c r="I209" s="18">
        <v>10748.91</v>
      </c>
      <c r="J209" s="18">
        <v>23400</v>
      </c>
      <c r="K209" s="18">
        <v>214</v>
      </c>
      <c r="L209" s="13">
        <f t="shared" si="0"/>
        <v>92144.48</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1555637.7600000002</v>
      </c>
      <c r="G212" s="38">
        <f t="shared" si="1"/>
        <v>854266.18</v>
      </c>
      <c r="H212" s="38">
        <f t="shared" si="1"/>
        <v>795992.2300000001</v>
      </c>
      <c r="I212" s="38">
        <f t="shared" si="1"/>
        <v>137714.05000000002</v>
      </c>
      <c r="J212" s="38">
        <f t="shared" si="1"/>
        <v>63597.119999999995</v>
      </c>
      <c r="K212" s="38">
        <f t="shared" si="1"/>
        <v>10741.45</v>
      </c>
      <c r="L212" s="38">
        <f t="shared" si="1"/>
        <v>3417948.7899999996</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382426.06</v>
      </c>
      <c r="G216" s="18">
        <v>166964.29</v>
      </c>
      <c r="H216" s="18">
        <v>1991.28</v>
      </c>
      <c r="I216" s="18">
        <v>18762.990000000002</v>
      </c>
      <c r="J216" s="18">
        <v>4159.51</v>
      </c>
      <c r="K216" s="18">
        <v>3535.45</v>
      </c>
      <c r="L216" s="13">
        <f>SUM(F216:K216)</f>
        <v>577839.57999999996</v>
      </c>
      <c r="M216" s="8"/>
      <c r="N216" s="165"/>
    </row>
    <row r="217" spans="1:14" s="3" customFormat="1" ht="12.2" customHeight="1" x14ac:dyDescent="0.15">
      <c r="A217" s="1" t="s">
        <v>439</v>
      </c>
      <c r="B217" s="2" t="s">
        <v>346</v>
      </c>
      <c r="C217" s="2" t="s">
        <v>291</v>
      </c>
      <c r="D217" s="2" t="s">
        <v>431</v>
      </c>
      <c r="E217" s="6">
        <v>1200</v>
      </c>
      <c r="F217" s="18">
        <v>159356.46</v>
      </c>
      <c r="G217" s="18">
        <v>70239.3</v>
      </c>
      <c r="H217" s="18">
        <v>39088.01</v>
      </c>
      <c r="I217" s="18">
        <v>3440.13</v>
      </c>
      <c r="J217" s="18">
        <v>59.92</v>
      </c>
      <c r="K217" s="18">
        <v>399</v>
      </c>
      <c r="L217" s="13">
        <f>SUM(F217:K217)</f>
        <v>272582.82</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29076.98</v>
      </c>
      <c r="G219" s="18">
        <v>5150.8100000000004</v>
      </c>
      <c r="H219" s="18">
        <v>2320</v>
      </c>
      <c r="I219" s="18">
        <v>3103.67</v>
      </c>
      <c r="J219" s="18"/>
      <c r="K219" s="18">
        <v>800</v>
      </c>
      <c r="L219" s="13">
        <f>SUM(F219:K219)</f>
        <v>40451.46</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133571.01</v>
      </c>
      <c r="G221" s="18">
        <v>82742.45</v>
      </c>
      <c r="H221" s="18">
        <v>14532.48</v>
      </c>
      <c r="I221" s="18">
        <v>4840.45</v>
      </c>
      <c r="J221" s="18">
        <v>395.04</v>
      </c>
      <c r="K221" s="18">
        <v>179</v>
      </c>
      <c r="L221" s="13">
        <f t="shared" ref="L221:L227" si="2">SUM(F221:K221)</f>
        <v>236260.43000000005</v>
      </c>
      <c r="M221" s="8"/>
      <c r="N221" s="165"/>
    </row>
    <row r="222" spans="1:14" s="3" customFormat="1" ht="12.2" customHeight="1" x14ac:dyDescent="0.15">
      <c r="A222" s="1" t="s">
        <v>443</v>
      </c>
      <c r="B222" s="2" t="s">
        <v>346</v>
      </c>
      <c r="C222" s="2" t="s">
        <v>295</v>
      </c>
      <c r="D222" s="2" t="s">
        <v>431</v>
      </c>
      <c r="E222" s="6">
        <v>2200</v>
      </c>
      <c r="F222" s="18">
        <v>29676.240000000002</v>
      </c>
      <c r="G222" s="18">
        <v>12607.36</v>
      </c>
      <c r="H222" s="18">
        <v>4232.72</v>
      </c>
      <c r="I222" s="18">
        <v>5580.44</v>
      </c>
      <c r="J222" s="18">
        <v>7373.28</v>
      </c>
      <c r="K222" s="18">
        <v>2540.98</v>
      </c>
      <c r="L222" s="13">
        <f t="shared" si="2"/>
        <v>62011.020000000011</v>
      </c>
      <c r="M222" s="8"/>
      <c r="N222" s="165"/>
    </row>
    <row r="223" spans="1:14" s="3" customFormat="1" ht="12.2" customHeight="1" x14ac:dyDescent="0.15">
      <c r="A223" s="1" t="s">
        <v>444</v>
      </c>
      <c r="B223" s="2" t="s">
        <v>346</v>
      </c>
      <c r="C223" s="2" t="s">
        <v>296</v>
      </c>
      <c r="D223" s="2" t="s">
        <v>431</v>
      </c>
      <c r="E223" s="6">
        <v>2300</v>
      </c>
      <c r="F223" s="18">
        <v>3585.294117647059</v>
      </c>
      <c r="G223" s="18">
        <v>267.69540106951871</v>
      </c>
      <c r="H223" s="18">
        <f>141425.241176471+2421.12</f>
        <v>143846.36117647099</v>
      </c>
      <c r="I223" s="18">
        <v>183.0504812834225</v>
      </c>
      <c r="J223" s="18">
        <v>0</v>
      </c>
      <c r="K223" s="18">
        <v>990.37262032085562</v>
      </c>
      <c r="L223" s="13">
        <f t="shared" si="2"/>
        <v>148872.77379679185</v>
      </c>
      <c r="M223" s="8"/>
      <c r="N223" s="165"/>
    </row>
    <row r="224" spans="1:14" s="3" customFormat="1" ht="12.2" customHeight="1" x14ac:dyDescent="0.15">
      <c r="A224" s="1" t="s">
        <v>445</v>
      </c>
      <c r="B224" s="2" t="s">
        <v>346</v>
      </c>
      <c r="C224" s="2" t="s">
        <v>297</v>
      </c>
      <c r="D224" s="2" t="s">
        <v>431</v>
      </c>
      <c r="E224" s="6">
        <v>2400</v>
      </c>
      <c r="F224" s="18">
        <v>69799.89</v>
      </c>
      <c r="G224" s="18">
        <v>34154.660000000003</v>
      </c>
      <c r="H224" s="18">
        <v>5060.25</v>
      </c>
      <c r="I224" s="18">
        <v>1325.01</v>
      </c>
      <c r="J224" s="18">
        <v>137.22</v>
      </c>
      <c r="K224" s="18">
        <v>3870.4</v>
      </c>
      <c r="L224" s="13">
        <f t="shared" si="2"/>
        <v>114347.43</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56155.16</v>
      </c>
      <c r="G226" s="18">
        <v>28956.17</v>
      </c>
      <c r="H226" s="18">
        <v>19787.57</v>
      </c>
      <c r="I226" s="18">
        <v>45526.17</v>
      </c>
      <c r="J226" s="18">
        <v>3954.16</v>
      </c>
      <c r="K226" s="18"/>
      <c r="L226" s="13">
        <f t="shared" si="2"/>
        <v>154379.23000000001</v>
      </c>
      <c r="M226" s="8"/>
      <c r="N226" s="165"/>
    </row>
    <row r="227" spans="1:14" s="3" customFormat="1" ht="12.2" customHeight="1" x14ac:dyDescent="0.15">
      <c r="A227" s="1" t="s">
        <v>448</v>
      </c>
      <c r="B227" s="2" t="s">
        <v>346</v>
      </c>
      <c r="C227" s="2" t="s">
        <v>300</v>
      </c>
      <c r="D227" s="2" t="s">
        <v>431</v>
      </c>
      <c r="E227" s="6">
        <v>2700</v>
      </c>
      <c r="F227" s="18">
        <v>23739.66</v>
      </c>
      <c r="G227" s="18">
        <v>6885.77</v>
      </c>
      <c r="H227" s="18">
        <v>7174.69</v>
      </c>
      <c r="I227" s="18">
        <v>8750.16</v>
      </c>
      <c r="J227" s="18">
        <v>14040</v>
      </c>
      <c r="K227" s="18">
        <v>128.4</v>
      </c>
      <c r="L227" s="13">
        <f t="shared" si="2"/>
        <v>60718.68</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887386.75411764719</v>
      </c>
      <c r="G230" s="38">
        <f>SUM(G216:G229)</f>
        <v>407968.50540106959</v>
      </c>
      <c r="H230" s="38">
        <f>SUM(H216:H229)</f>
        <v>238033.36117647099</v>
      </c>
      <c r="I230" s="38">
        <f>SUM(I216:I229)</f>
        <v>91512.07048128343</v>
      </c>
      <c r="J230" s="38">
        <f>SUM(J216:J229)</f>
        <v>30119.129999999997</v>
      </c>
      <c r="K230" s="38">
        <f t="shared" si="3"/>
        <v>12443.602620320855</v>
      </c>
      <c r="L230" s="38">
        <f t="shared" si="3"/>
        <v>1667463.4237967918</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815332.06</v>
      </c>
      <c r="G234" s="18">
        <v>427472.38</v>
      </c>
      <c r="H234" s="18">
        <v>5274</v>
      </c>
      <c r="I234" s="18">
        <v>54417.079999999994</v>
      </c>
      <c r="J234" s="18">
        <v>27095.949999999997</v>
      </c>
      <c r="K234" s="18">
        <v>4663.37</v>
      </c>
      <c r="L234" s="13">
        <f>SUM(F234:K234)</f>
        <v>1334254.8400000001</v>
      </c>
      <c r="M234" s="8"/>
      <c r="N234" s="165"/>
    </row>
    <row r="235" spans="1:14" s="3" customFormat="1" ht="12.2" customHeight="1" x14ac:dyDescent="0.15">
      <c r="A235" s="1" t="s">
        <v>439</v>
      </c>
      <c r="B235" s="2" t="s">
        <v>350</v>
      </c>
      <c r="C235" s="2" t="s">
        <v>291</v>
      </c>
      <c r="D235" s="2" t="s">
        <v>431</v>
      </c>
      <c r="E235" s="6">
        <v>1200</v>
      </c>
      <c r="F235" s="18">
        <v>278856.61</v>
      </c>
      <c r="G235" s="18">
        <v>132506.64000000001</v>
      </c>
      <c r="H235" s="18">
        <v>294396.39</v>
      </c>
      <c r="I235" s="18">
        <v>2331.1099999999997</v>
      </c>
      <c r="J235" s="18"/>
      <c r="K235" s="18">
        <v>108</v>
      </c>
      <c r="L235" s="13">
        <f>SUM(F235:K235)</f>
        <v>708198.75</v>
      </c>
      <c r="M235" s="8"/>
      <c r="N235" s="165"/>
    </row>
    <row r="236" spans="1:14" s="3" customFormat="1" ht="12.2" customHeight="1" x14ac:dyDescent="0.15">
      <c r="A236" s="1" t="s">
        <v>440</v>
      </c>
      <c r="B236" s="2" t="s">
        <v>350</v>
      </c>
      <c r="C236" s="2" t="s">
        <v>292</v>
      </c>
      <c r="D236" s="2" t="s">
        <v>431</v>
      </c>
      <c r="E236" s="6">
        <v>1300</v>
      </c>
      <c r="F236" s="18"/>
      <c r="G236" s="18"/>
      <c r="H236" s="18">
        <v>44308.86</v>
      </c>
      <c r="I236" s="18"/>
      <c r="J236" s="18"/>
      <c r="K236" s="18"/>
      <c r="L236" s="13">
        <f>SUM(F236:K236)</f>
        <v>44308.86</v>
      </c>
      <c r="M236" s="8"/>
      <c r="N236" s="165"/>
    </row>
    <row r="237" spans="1:14" s="3" customFormat="1" ht="12.2" customHeight="1" x14ac:dyDescent="0.15">
      <c r="A237" s="1" t="s">
        <v>441</v>
      </c>
      <c r="B237" s="2" t="s">
        <v>350</v>
      </c>
      <c r="C237" s="2" t="s">
        <v>293</v>
      </c>
      <c r="D237" s="2" t="s">
        <v>431</v>
      </c>
      <c r="E237" s="6">
        <v>1400</v>
      </c>
      <c r="F237" s="18">
        <v>77301.25</v>
      </c>
      <c r="G237" s="18">
        <v>13279.310000000001</v>
      </c>
      <c r="H237" s="18">
        <v>18447.98</v>
      </c>
      <c r="I237" s="18">
        <v>13787.83</v>
      </c>
      <c r="J237" s="18">
        <v>299.99</v>
      </c>
      <c r="K237" s="18">
        <v>5224.07</v>
      </c>
      <c r="L237" s="13">
        <f>SUM(F237:K237)</f>
        <v>128340.43</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137052.23000000001</v>
      </c>
      <c r="G239" s="18">
        <v>70091.659999999989</v>
      </c>
      <c r="H239" s="18">
        <v>34813.860000000008</v>
      </c>
      <c r="I239" s="18">
        <v>11639.789999999999</v>
      </c>
      <c r="J239" s="18">
        <v>1841.9299999999998</v>
      </c>
      <c r="K239" s="18">
        <v>179</v>
      </c>
      <c r="L239" s="13">
        <f t="shared" ref="L239:L245" si="4">SUM(F239:K239)</f>
        <v>255618.47000000003</v>
      </c>
      <c r="M239" s="8"/>
      <c r="N239" s="165"/>
    </row>
    <row r="240" spans="1:14" s="3" customFormat="1" ht="12.2" customHeight="1" x14ac:dyDescent="0.15">
      <c r="A240" s="1" t="s">
        <v>443</v>
      </c>
      <c r="B240" s="2" t="s">
        <v>350</v>
      </c>
      <c r="C240" s="2" t="s">
        <v>295</v>
      </c>
      <c r="D240" s="2" t="s">
        <v>431</v>
      </c>
      <c r="E240" s="6">
        <v>2200</v>
      </c>
      <c r="F240" s="18">
        <v>42036.72</v>
      </c>
      <c r="G240" s="18">
        <v>17107.669999999998</v>
      </c>
      <c r="H240" s="18">
        <v>3411.7599999999998</v>
      </c>
      <c r="I240" s="18">
        <v>5787.66</v>
      </c>
      <c r="J240" s="18">
        <v>10164.99</v>
      </c>
      <c r="K240" s="18">
        <v>102.45</v>
      </c>
      <c r="L240" s="13">
        <f t="shared" si="4"/>
        <v>78611.25</v>
      </c>
      <c r="M240" s="8"/>
      <c r="N240" s="165"/>
    </row>
    <row r="241" spans="1:14" s="3" customFormat="1" ht="12.2" customHeight="1" x14ac:dyDescent="0.15">
      <c r="A241" s="1" t="s">
        <v>444</v>
      </c>
      <c r="B241" s="2" t="s">
        <v>350</v>
      </c>
      <c r="C241" s="2" t="s">
        <v>296</v>
      </c>
      <c r="D241" s="2" t="s">
        <v>431</v>
      </c>
      <c r="E241" s="6">
        <v>2300</v>
      </c>
      <c r="F241" s="18">
        <v>5183.0882352941171</v>
      </c>
      <c r="G241" s="18">
        <v>386.9944385026738</v>
      </c>
      <c r="H241" s="18">
        <v>204451.70735294116</v>
      </c>
      <c r="I241" s="18">
        <v>264.62732620320855</v>
      </c>
      <c r="J241" s="18">
        <v>0</v>
      </c>
      <c r="K241" s="18">
        <v>1431.7343315508019</v>
      </c>
      <c r="L241" s="13">
        <f t="shared" si="4"/>
        <v>211718.15168449198</v>
      </c>
      <c r="M241" s="8"/>
      <c r="N241" s="165"/>
    </row>
    <row r="242" spans="1:14" s="3" customFormat="1" ht="12.2" customHeight="1" x14ac:dyDescent="0.15">
      <c r="A242" s="1" t="s">
        <v>445</v>
      </c>
      <c r="B242" s="2" t="s">
        <v>350</v>
      </c>
      <c r="C242" s="2" t="s">
        <v>297</v>
      </c>
      <c r="D242" s="2" t="s">
        <v>431</v>
      </c>
      <c r="E242" s="6">
        <v>2400</v>
      </c>
      <c r="F242" s="18">
        <v>113761.9</v>
      </c>
      <c r="G242" s="18">
        <v>56378.130000000005</v>
      </c>
      <c r="H242" s="18">
        <v>6178.76</v>
      </c>
      <c r="I242" s="18">
        <v>2184.13</v>
      </c>
      <c r="J242" s="18">
        <v>148.97999999999999</v>
      </c>
      <c r="K242" s="18">
        <v>7269.6</v>
      </c>
      <c r="L242" s="13">
        <f t="shared" si="4"/>
        <v>185921.50000000003</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79136.56</v>
      </c>
      <c r="G244" s="18">
        <v>41200.670000000006</v>
      </c>
      <c r="H244" s="18">
        <v>27238.97</v>
      </c>
      <c r="I244" s="18">
        <v>68859.790000000008</v>
      </c>
      <c r="J244" s="18">
        <v>5322.2800000000007</v>
      </c>
      <c r="K244" s="18"/>
      <c r="L244" s="13">
        <f t="shared" si="4"/>
        <v>221758.27000000002</v>
      </c>
      <c r="M244" s="8"/>
      <c r="N244" s="165"/>
    </row>
    <row r="245" spans="1:14" s="3" customFormat="1" ht="12.2" customHeight="1" x14ac:dyDescent="0.15">
      <c r="A245" s="1" t="s">
        <v>448</v>
      </c>
      <c r="B245" s="2" t="s">
        <v>350</v>
      </c>
      <c r="C245" s="2" t="s">
        <v>300</v>
      </c>
      <c r="D245" s="2" t="s">
        <v>431</v>
      </c>
      <c r="E245" s="6">
        <v>2700</v>
      </c>
      <c r="F245" s="18">
        <v>56351.429999999993</v>
      </c>
      <c r="G245" s="18">
        <v>12873.580000000002</v>
      </c>
      <c r="H245" s="18">
        <v>17100.54</v>
      </c>
      <c r="I245" s="18">
        <v>13598.82</v>
      </c>
      <c r="J245" s="18">
        <v>21060</v>
      </c>
      <c r="K245" s="18">
        <v>192.6</v>
      </c>
      <c r="L245" s="13">
        <f t="shared" si="4"/>
        <v>121176.97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1605011.848235294</v>
      </c>
      <c r="G248" s="38">
        <f t="shared" si="5"/>
        <v>771297.03443850286</v>
      </c>
      <c r="H248" s="38">
        <f t="shared" si="5"/>
        <v>655622.82735294115</v>
      </c>
      <c r="I248" s="38">
        <f t="shared" si="5"/>
        <v>172870.83732620321</v>
      </c>
      <c r="J248" s="38">
        <f t="shared" si="5"/>
        <v>65934.12</v>
      </c>
      <c r="K248" s="38">
        <f t="shared" si="5"/>
        <v>19170.824331550801</v>
      </c>
      <c r="L248" s="38">
        <f t="shared" si="5"/>
        <v>3289907.4916844927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4048036.3623529412</v>
      </c>
      <c r="G258" s="38">
        <f t="shared" si="8"/>
        <v>2033531.7198395724</v>
      </c>
      <c r="H258" s="38">
        <f t="shared" si="8"/>
        <v>1689648.4185294122</v>
      </c>
      <c r="I258" s="38">
        <f t="shared" si="8"/>
        <v>402096.95780748664</v>
      </c>
      <c r="J258" s="38">
        <f t="shared" si="8"/>
        <v>159650.37</v>
      </c>
      <c r="K258" s="38">
        <f t="shared" si="8"/>
        <v>42355.876951871658</v>
      </c>
      <c r="L258" s="38">
        <f t="shared" si="8"/>
        <v>8375319.7054812843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16885.94+2006.1</f>
        <v>18892.039999999997</v>
      </c>
      <c r="L264" s="13">
        <f>SUM(F264:K264)</f>
        <v>18892.039999999997</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314025.95</v>
      </c>
      <c r="L266" s="13">
        <f t="shared" si="9"/>
        <v>314025.95</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130661</v>
      </c>
      <c r="L267" s="13">
        <f t="shared" si="9"/>
        <v>130661</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463578.99</v>
      </c>
      <c r="L271" s="38">
        <f t="shared" si="9"/>
        <v>463578.99</v>
      </c>
      <c r="M271" s="8"/>
      <c r="N271" s="165"/>
    </row>
    <row r="272" spans="1:14" s="33" customFormat="1" ht="12.2" customHeight="1" thickTop="1" x14ac:dyDescent="0.2">
      <c r="A272" s="40" t="s">
        <v>464</v>
      </c>
      <c r="B272" s="37">
        <v>10</v>
      </c>
      <c r="C272" s="37">
        <v>18</v>
      </c>
      <c r="D272" s="36" t="s">
        <v>431</v>
      </c>
      <c r="E272" s="37"/>
      <c r="F272" s="39">
        <f t="shared" ref="F272:L272" si="11">F258+F271</f>
        <v>4048036.3623529412</v>
      </c>
      <c r="G272" s="39">
        <f t="shared" si="11"/>
        <v>2033531.7198395724</v>
      </c>
      <c r="H272" s="39">
        <f t="shared" si="11"/>
        <v>1689648.4185294122</v>
      </c>
      <c r="I272" s="39">
        <f t="shared" si="11"/>
        <v>402096.95780748664</v>
      </c>
      <c r="J272" s="39">
        <f t="shared" si="11"/>
        <v>159650.37</v>
      </c>
      <c r="K272" s="39">
        <f t="shared" si="11"/>
        <v>505934.86695187166</v>
      </c>
      <c r="L272" s="39">
        <f t="shared" si="11"/>
        <v>8838898.6954812836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113577.84</v>
      </c>
      <c r="G277" s="18">
        <v>69428.55</v>
      </c>
      <c r="H277" s="18">
        <v>8292.4500000000007</v>
      </c>
      <c r="I277" s="18">
        <v>6666.24</v>
      </c>
      <c r="J277" s="18"/>
      <c r="K277" s="18"/>
      <c r="L277" s="13">
        <f>SUM(F277:K277)</f>
        <v>197965.08000000002</v>
      </c>
      <c r="M277" s="8"/>
      <c r="N277" s="165"/>
    </row>
    <row r="278" spans="1:14" s="3" customFormat="1" ht="12.2" customHeight="1" x14ac:dyDescent="0.15">
      <c r="A278" s="1" t="s">
        <v>439</v>
      </c>
      <c r="B278" s="2" t="s">
        <v>357</v>
      </c>
      <c r="C278" s="2" t="s">
        <v>291</v>
      </c>
      <c r="D278" s="2" t="s">
        <v>431</v>
      </c>
      <c r="E278" s="6">
        <v>1200</v>
      </c>
      <c r="F278" s="18">
        <v>13445</v>
      </c>
      <c r="G278" s="18"/>
      <c r="H278" s="18">
        <v>43815.35</v>
      </c>
      <c r="I278" s="18">
        <v>1993.45</v>
      </c>
      <c r="J278" s="18">
        <v>3657</v>
      </c>
      <c r="K278" s="18"/>
      <c r="L278" s="13">
        <f>SUM(F278:K278)</f>
        <v>62910.799999999996</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v>3356</v>
      </c>
      <c r="L280" s="13">
        <f>SUM(F280:K280)</f>
        <v>3356</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v>5450</v>
      </c>
      <c r="G283" s="18">
        <v>1542.03</v>
      </c>
      <c r="H283" s="18">
        <v>13835.099999999999</v>
      </c>
      <c r="I283" s="18"/>
      <c r="J283" s="18"/>
      <c r="K283" s="18"/>
      <c r="L283" s="13">
        <f t="shared" si="12"/>
        <v>20827.129999999997</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v>52.5</v>
      </c>
      <c r="I286" s="18"/>
      <c r="J286" s="18"/>
      <c r="K286" s="18"/>
      <c r="L286" s="13">
        <f t="shared" si="12"/>
        <v>52.5</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132472.84</v>
      </c>
      <c r="G291" s="39">
        <f t="shared" si="13"/>
        <v>70970.58</v>
      </c>
      <c r="H291" s="39">
        <f t="shared" si="13"/>
        <v>65995.399999999994</v>
      </c>
      <c r="I291" s="39">
        <f t="shared" si="13"/>
        <v>8659.69</v>
      </c>
      <c r="J291" s="39">
        <f t="shared" si="13"/>
        <v>3657</v>
      </c>
      <c r="K291" s="39">
        <f t="shared" si="13"/>
        <v>3356</v>
      </c>
      <c r="L291" s="38">
        <f t="shared" si="13"/>
        <v>285111.51</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32956</v>
      </c>
      <c r="G296" s="18">
        <v>9891.1700000000019</v>
      </c>
      <c r="H296" s="18"/>
      <c r="I296" s="18">
        <v>7580.3</v>
      </c>
      <c r="J296" s="18"/>
      <c r="K296" s="18"/>
      <c r="L296" s="13">
        <f>SUM(F296:K296)</f>
        <v>50427.47</v>
      </c>
      <c r="M296" s="8"/>
      <c r="N296" s="165"/>
    </row>
    <row r="297" spans="1:14" s="3" customFormat="1" ht="12.2" customHeight="1" x14ac:dyDescent="0.15">
      <c r="A297" s="1" t="s">
        <v>439</v>
      </c>
      <c r="B297" s="2" t="s">
        <v>358</v>
      </c>
      <c r="C297" s="2" t="s">
        <v>291</v>
      </c>
      <c r="D297" s="2" t="s">
        <v>431</v>
      </c>
      <c r="E297" s="6">
        <v>1200</v>
      </c>
      <c r="F297" s="18">
        <v>6566.62</v>
      </c>
      <c r="G297" s="18"/>
      <c r="H297" s="18"/>
      <c r="I297" s="18">
        <v>1196.07</v>
      </c>
      <c r="J297" s="18"/>
      <c r="K297" s="18"/>
      <c r="L297" s="13">
        <f>SUM(F297:K297)</f>
        <v>7762.69</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510</v>
      </c>
      <c r="G299" s="18">
        <v>148.12</v>
      </c>
      <c r="H299" s="18"/>
      <c r="I299" s="18"/>
      <c r="J299" s="18"/>
      <c r="K299" s="18"/>
      <c r="L299" s="13">
        <f>SUM(F299:K299)</f>
        <v>658.12</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1000</v>
      </c>
      <c r="G302" s="18">
        <v>282.77999999999997</v>
      </c>
      <c r="H302" s="18">
        <v>3759.0899999999997</v>
      </c>
      <c r="I302" s="18">
        <v>733.2</v>
      </c>
      <c r="J302" s="18"/>
      <c r="K302" s="18"/>
      <c r="L302" s="13">
        <f t="shared" si="14"/>
        <v>5775.07</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v>8114.03</v>
      </c>
      <c r="J306" s="18">
        <v>9446.4</v>
      </c>
      <c r="K306" s="18"/>
      <c r="L306" s="13">
        <f t="shared" si="14"/>
        <v>17560.43</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41032.620000000003</v>
      </c>
      <c r="G310" s="39">
        <f t="shared" si="15"/>
        <v>10322.070000000003</v>
      </c>
      <c r="H310" s="39">
        <f t="shared" si="15"/>
        <v>3759.0899999999997</v>
      </c>
      <c r="I310" s="39">
        <f t="shared" si="15"/>
        <v>17623.600000000002</v>
      </c>
      <c r="J310" s="39">
        <f t="shared" si="15"/>
        <v>9446.4</v>
      </c>
      <c r="K310" s="39">
        <f t="shared" si="15"/>
        <v>0</v>
      </c>
      <c r="L310" s="38">
        <f t="shared" si="15"/>
        <v>82183.78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1350</v>
      </c>
      <c r="G315" s="18">
        <v>416.72</v>
      </c>
      <c r="H315" s="18"/>
      <c r="I315" s="18">
        <v>2999.85</v>
      </c>
      <c r="J315" s="18"/>
      <c r="K315" s="18"/>
      <c r="L315" s="13">
        <f>SUM(F315:K315)</f>
        <v>4766.57</v>
      </c>
      <c r="M315" s="8"/>
      <c r="N315" s="165"/>
    </row>
    <row r="316" spans="1:14" s="3" customFormat="1" ht="12.2" customHeight="1" x14ac:dyDescent="0.15">
      <c r="A316" s="1" t="s">
        <v>439</v>
      </c>
      <c r="B316" s="2" t="s">
        <v>359</v>
      </c>
      <c r="C316" s="2" t="s">
        <v>291</v>
      </c>
      <c r="D316" s="2" t="s">
        <v>431</v>
      </c>
      <c r="E316" s="6">
        <v>1200</v>
      </c>
      <c r="F316" s="18">
        <v>6555.34</v>
      </c>
      <c r="G316" s="18"/>
      <c r="H316" s="18"/>
      <c r="I316" s="18">
        <v>2536.77</v>
      </c>
      <c r="J316" s="18"/>
      <c r="K316" s="18"/>
      <c r="L316" s="13">
        <f>SUM(F316:K316)</f>
        <v>9092.11</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646.25</v>
      </c>
      <c r="G318" s="18">
        <v>253.75</v>
      </c>
      <c r="H318" s="18">
        <v>418.37</v>
      </c>
      <c r="I318" s="18">
        <v>3835.42</v>
      </c>
      <c r="J318" s="18"/>
      <c r="K318" s="18">
        <v>2127.37</v>
      </c>
      <c r="L318" s="13">
        <f>SUM(F318:K318)</f>
        <v>7281.16</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6950</v>
      </c>
      <c r="G321" s="18">
        <v>1867.7499999999998</v>
      </c>
      <c r="H321" s="18">
        <v>5755.63</v>
      </c>
      <c r="I321" s="18">
        <v>1099.8</v>
      </c>
      <c r="J321" s="18"/>
      <c r="K321" s="18"/>
      <c r="L321" s="13">
        <f t="shared" si="16"/>
        <v>15673.18</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v>12171.05</v>
      </c>
      <c r="J325" s="18">
        <v>14169.6</v>
      </c>
      <c r="K325" s="18"/>
      <c r="L325" s="13">
        <f t="shared" si="16"/>
        <v>26340.65</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15501.59</v>
      </c>
      <c r="G329" s="39">
        <f t="shared" si="17"/>
        <v>2538.2199999999998</v>
      </c>
      <c r="H329" s="39">
        <f t="shared" si="17"/>
        <v>6174</v>
      </c>
      <c r="I329" s="39">
        <f t="shared" si="17"/>
        <v>22642.89</v>
      </c>
      <c r="J329" s="39">
        <f t="shared" si="17"/>
        <v>14169.6</v>
      </c>
      <c r="K329" s="39">
        <f t="shared" si="17"/>
        <v>2127.37</v>
      </c>
      <c r="L329" s="38">
        <f t="shared" si="17"/>
        <v>63153.670000000006</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189007.05</v>
      </c>
      <c r="G339" s="38">
        <f t="shared" si="20"/>
        <v>83830.87000000001</v>
      </c>
      <c r="H339" s="38">
        <f t="shared" si="20"/>
        <v>75928.489999999991</v>
      </c>
      <c r="I339" s="38">
        <f t="shared" si="20"/>
        <v>48926.18</v>
      </c>
      <c r="J339" s="38">
        <f t="shared" si="20"/>
        <v>27273</v>
      </c>
      <c r="K339" s="38">
        <f t="shared" si="20"/>
        <v>5483.37</v>
      </c>
      <c r="L339" s="38">
        <f t="shared" si="20"/>
        <v>430448.96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18494.14</v>
      </c>
      <c r="L351" s="13">
        <f t="shared" si="21"/>
        <v>18494.14</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18494.14</v>
      </c>
      <c r="L352" s="38">
        <f>SUM(L342:L351)</f>
        <v>18494.14</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189007.05</v>
      </c>
      <c r="G353" s="38">
        <f>G339</f>
        <v>83830.87000000001</v>
      </c>
      <c r="H353" s="38">
        <f>H339</f>
        <v>75928.489999999991</v>
      </c>
      <c r="I353" s="38">
        <f>I339</f>
        <v>48926.18</v>
      </c>
      <c r="J353" s="38">
        <f>J339</f>
        <v>27273</v>
      </c>
      <c r="K353" s="38">
        <f>K339+K352</f>
        <v>23977.51</v>
      </c>
      <c r="L353" s="38">
        <f>L339+L352</f>
        <v>448943.10000000003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54535.9</v>
      </c>
      <c r="I359" s="18">
        <f>146.57+41069.41</f>
        <v>41215.980000000003</v>
      </c>
      <c r="J359" s="18"/>
      <c r="K359" s="18"/>
      <c r="L359" s="13">
        <f>SUM(F359:K359)</f>
        <v>95751.88</v>
      </c>
      <c r="M359" s="8"/>
      <c r="N359" s="165"/>
    </row>
    <row r="360" spans="1:22" s="3" customFormat="1" ht="12.2" customHeight="1" x14ac:dyDescent="0.15">
      <c r="A360" s="1" t="s">
        <v>542</v>
      </c>
      <c r="B360" s="2" t="s">
        <v>366</v>
      </c>
      <c r="C360" s="6">
        <v>2</v>
      </c>
      <c r="D360" s="2" t="s">
        <v>431</v>
      </c>
      <c r="E360" s="6"/>
      <c r="F360" s="18"/>
      <c r="G360" s="18"/>
      <c r="H360" s="18">
        <v>32721.54</v>
      </c>
      <c r="I360" s="18">
        <f>87.95+21352.94</f>
        <v>21440.89</v>
      </c>
      <c r="J360" s="18"/>
      <c r="K360" s="18"/>
      <c r="L360" s="13">
        <f>SUM(F360:K360)</f>
        <v>54162.43</v>
      </c>
      <c r="M360" s="8"/>
      <c r="N360" s="165"/>
    </row>
    <row r="361" spans="1:22" s="3" customFormat="1" ht="12.2" customHeight="1" x14ac:dyDescent="0.15">
      <c r="A361" s="3" t="s">
        <v>543</v>
      </c>
      <c r="B361" s="2" t="s">
        <v>366</v>
      </c>
      <c r="C361" s="6">
        <v>3</v>
      </c>
      <c r="D361" s="2" t="s">
        <v>431</v>
      </c>
      <c r="E361" s="6"/>
      <c r="F361" s="18"/>
      <c r="G361" s="18"/>
      <c r="H361" s="18">
        <v>49082.33</v>
      </c>
      <c r="I361" s="18">
        <f>131.92+32039.39</f>
        <v>32171.309999999998</v>
      </c>
      <c r="J361" s="18"/>
      <c r="K361" s="18"/>
      <c r="L361" s="13">
        <f>SUM(F361:K361)</f>
        <v>81253.64</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136339.77000000002</v>
      </c>
      <c r="I363" s="38">
        <f t="shared" si="22"/>
        <v>94828.18</v>
      </c>
      <c r="J363" s="38">
        <f t="shared" si="22"/>
        <v>0</v>
      </c>
      <c r="K363" s="38">
        <f t="shared" si="22"/>
        <v>0</v>
      </c>
      <c r="L363" s="38">
        <f t="shared" si="22"/>
        <v>231167.95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6190+5034.55+3817.48+3519.74+4257.94+3586.86+3438.86+3939.18+5060.66+2224.14</f>
        <v>41069.409999999989</v>
      </c>
      <c r="G368" s="18">
        <v>21352.94</v>
      </c>
      <c r="H368" s="18">
        <f>32039.39</f>
        <v>32039.39</v>
      </c>
      <c r="I368" s="13">
        <f>SUM(F368:H368)</f>
        <v>94461.739999999991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146.57</v>
      </c>
      <c r="G369" s="53">
        <v>87.96</v>
      </c>
      <c r="H369" s="53">
        <v>131.91</v>
      </c>
      <c r="I369" s="13">
        <f>SUM(F369:H369)</f>
        <v>366.43999999999994</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41215.979999999989</v>
      </c>
      <c r="G370" s="38">
        <f>SUM(G368:G369)</f>
        <v>21440.899999999998</v>
      </c>
      <c r="H370" s="38">
        <f>SUM(H368:H369)</f>
        <v>32171.3</v>
      </c>
      <c r="I370" s="38">
        <f>SUM(I368:I369)</f>
        <v>94828.18</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v>519400.95</v>
      </c>
      <c r="I379" s="18"/>
      <c r="J379" s="18"/>
      <c r="K379" s="18"/>
      <c r="L379" s="13">
        <f t="shared" si="23"/>
        <v>519400.95</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519400.95</v>
      </c>
      <c r="I383" s="38">
        <f t="shared" si="24"/>
        <v>0</v>
      </c>
      <c r="J383" s="38">
        <f t="shared" si="24"/>
        <v>0</v>
      </c>
      <c r="K383" s="38">
        <f t="shared" si="24"/>
        <v>0</v>
      </c>
      <c r="L383" s="38">
        <f t="shared" si="24"/>
        <v>519400.95</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v>130661</v>
      </c>
      <c r="H389" s="18">
        <v>161542.81</v>
      </c>
      <c r="I389" s="18"/>
      <c r="J389" s="23" t="s">
        <v>288</v>
      </c>
      <c r="K389" s="23" t="s">
        <v>288</v>
      </c>
      <c r="L389" s="13">
        <f t="shared" si="25"/>
        <v>292203.81</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v>2417.94</v>
      </c>
      <c r="I391" s="18"/>
      <c r="J391" s="23" t="s">
        <v>288</v>
      </c>
      <c r="K391" s="23" t="s">
        <v>288</v>
      </c>
      <c r="L391" s="13">
        <f t="shared" si="25"/>
        <v>2417.94</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130661</v>
      </c>
      <c r="H394" s="97">
        <f>SUM(H388:H393)</f>
        <v>163960.75</v>
      </c>
      <c r="I394" s="54">
        <f>SUM(I388:I393)</f>
        <v>0</v>
      </c>
      <c r="J394" s="42" t="s">
        <v>288</v>
      </c>
      <c r="K394" s="42" t="s">
        <v>288</v>
      </c>
      <c r="L394" s="38">
        <f>SUM(L388:L393)</f>
        <v>294621.75</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v>6087.76</v>
      </c>
      <c r="I399" s="18"/>
      <c r="J399" s="23" t="s">
        <v>288</v>
      </c>
      <c r="K399" s="23" t="s">
        <v>288</v>
      </c>
      <c r="L399" s="13">
        <f t="shared" si="26"/>
        <v>6087.76</v>
      </c>
      <c r="M399" s="8"/>
      <c r="N399" s="165"/>
    </row>
    <row r="400" spans="1:14" s="3" customFormat="1" ht="12.2" customHeight="1" x14ac:dyDescent="0.15">
      <c r="A400" s="62" t="s">
        <v>559</v>
      </c>
      <c r="B400" s="2" t="s">
        <v>381</v>
      </c>
      <c r="C400" s="6">
        <v>12</v>
      </c>
      <c r="D400" s="2" t="s">
        <v>432</v>
      </c>
      <c r="E400" s="6"/>
      <c r="F400" s="18"/>
      <c r="G400" s="18"/>
      <c r="H400" s="18">
        <v>1060.8399999999999</v>
      </c>
      <c r="I400" s="18"/>
      <c r="J400" s="23" t="s">
        <v>288</v>
      </c>
      <c r="K400" s="23" t="s">
        <v>288</v>
      </c>
      <c r="L400" s="13">
        <f t="shared" si="26"/>
        <v>1060.8399999999999</v>
      </c>
      <c r="M400" s="8"/>
      <c r="N400" s="165"/>
    </row>
    <row r="401" spans="1:21" s="3" customFormat="1" ht="12.2" customHeight="1" thickBot="1" x14ac:dyDescent="0.2">
      <c r="A401" s="62" t="s">
        <v>510</v>
      </c>
      <c r="B401" s="2" t="s">
        <v>381</v>
      </c>
      <c r="C401" s="6">
        <v>13</v>
      </c>
      <c r="D401" s="2" t="s">
        <v>432</v>
      </c>
      <c r="E401" s="6"/>
      <c r="F401" s="18"/>
      <c r="G401" s="18"/>
      <c r="H401" s="18">
        <v>3055.26</v>
      </c>
      <c r="I401" s="18"/>
      <c r="J401" s="23" t="s">
        <v>288</v>
      </c>
      <c r="K401" s="23" t="s">
        <v>288</v>
      </c>
      <c r="L401" s="13">
        <f t="shared" si="26"/>
        <v>3055.26</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10203.86</v>
      </c>
      <c r="I402" s="38">
        <f>SUM(I396:I401)</f>
        <v>0</v>
      </c>
      <c r="J402" s="42" t="s">
        <v>288</v>
      </c>
      <c r="K402" s="42" t="s">
        <v>288</v>
      </c>
      <c r="L402" s="38">
        <f>SUM(L396:L401)</f>
        <v>10203.86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130661</v>
      </c>
      <c r="H409" s="38">
        <f>H394+H402+H408</f>
        <v>174164.61</v>
      </c>
      <c r="I409" s="38">
        <f>I394+I402+I408</f>
        <v>0</v>
      </c>
      <c r="J409" s="23" t="s">
        <v>288</v>
      </c>
      <c r="K409" s="23" t="s">
        <v>288</v>
      </c>
      <c r="L409" s="38">
        <f>L394+L402+L408</f>
        <v>304825.61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v>55000</v>
      </c>
      <c r="K415" s="18"/>
      <c r="L415" s="13">
        <f t="shared" si="27"/>
        <v>55000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v>27000</v>
      </c>
      <c r="K417" s="18"/>
      <c r="L417" s="13">
        <f t="shared" si="27"/>
        <v>27000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82000</v>
      </c>
      <c r="K420" s="97">
        <f t="shared" si="28"/>
        <v>0</v>
      </c>
      <c r="L420" s="38">
        <f t="shared" si="28"/>
        <v>82000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82000</v>
      </c>
      <c r="K435" s="38">
        <f t="shared" si="32"/>
        <v>0</v>
      </c>
      <c r="L435" s="38">
        <f t="shared" si="32"/>
        <v>82000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f>903293.07+130661</f>
        <v>1033954.07</v>
      </c>
      <c r="G441" s="18">
        <v>270444.09000000003</v>
      </c>
      <c r="H441" s="18"/>
      <c r="I441" s="13">
        <f t="shared" si="33"/>
        <v>1304398.1599999999</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1033954.07</v>
      </c>
      <c r="G447" s="13">
        <f>SUM(G440:G446)</f>
        <v>270444.09000000003</v>
      </c>
      <c r="H447" s="13">
        <f>SUM(H440:H446)</f>
        <v>0</v>
      </c>
      <c r="I447" s="13">
        <f>SUM(I440:I446)</f>
        <v>1304398.1599999999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v>22378.82</v>
      </c>
      <c r="H458" s="18"/>
      <c r="I458" s="13">
        <f t="shared" si="34"/>
        <v>22378.82</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v>1499.46</v>
      </c>
      <c r="H459" s="18"/>
      <c r="I459" s="13">
        <f t="shared" si="34"/>
        <v>1499.46</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903293.07+130661</f>
        <v>1033954.07</v>
      </c>
      <c r="G460" s="18">
        <f>G441-23878.28</f>
        <v>246565.81000000003</v>
      </c>
      <c r="H460" s="18"/>
      <c r="I460" s="13">
        <f t="shared" si="34"/>
        <v>1280519.8799999999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1033954.07</v>
      </c>
      <c r="G461" s="65">
        <f>SUM(G455:G460)</f>
        <v>270444.09000000003</v>
      </c>
      <c r="H461" s="65">
        <f>SUM(H455:H460)</f>
        <v>0</v>
      </c>
      <c r="I461" s="65">
        <f>SUM(I455:I460)</f>
        <v>1304398.1599999999</v>
      </c>
      <c r="J461" s="23" t="s">
        <v>288</v>
      </c>
      <c r="K461" s="23" t="s">
        <v>288</v>
      </c>
      <c r="L461" s="23" t="s">
        <v>288</v>
      </c>
      <c r="N461" s="131"/>
    </row>
    <row r="462" spans="1:86" ht="12.2" customHeight="1" thickTop="1" x14ac:dyDescent="0.2">
      <c r="A462" s="40" t="s">
        <v>424</v>
      </c>
      <c r="B462" s="41">
        <v>18</v>
      </c>
      <c r="C462" s="64">
        <v>21</v>
      </c>
      <c r="D462" s="114" t="s">
        <v>432</v>
      </c>
      <c r="E462" s="64"/>
      <c r="F462" s="39">
        <f>F453+F461</f>
        <v>1033954.07</v>
      </c>
      <c r="G462" s="39">
        <f>G453+G461</f>
        <v>270444.09000000003</v>
      </c>
      <c r="H462" s="39">
        <f>H453+H461</f>
        <v>0</v>
      </c>
      <c r="I462" s="39">
        <f>I453+I461</f>
        <v>1304398.1599999999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808969.04</f>
        <v>808969.04</v>
      </c>
      <c r="G466" s="18">
        <v>48783.63</v>
      </c>
      <c r="H466" s="18"/>
      <c r="I466" s="18"/>
      <c r="J466" s="18">
        <v>1024445.87</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9273818.4299999997</v>
      </c>
      <c r="G469" s="18">
        <v>250059.99</v>
      </c>
      <c r="H469" s="18">
        <v>448943.1</v>
      </c>
      <c r="I469" s="18">
        <v>519400.95</v>
      </c>
      <c r="J469" s="18">
        <f>304825.61</f>
        <v>304825.61</v>
      </c>
      <c r="K469" s="23" t="s">
        <v>288</v>
      </c>
      <c r="L469" s="23" t="s">
        <v>288</v>
      </c>
      <c r="N469" s="131"/>
    </row>
    <row r="470" spans="1:14" ht="12.2" customHeight="1" x14ac:dyDescent="0.2">
      <c r="A470" s="71" t="s">
        <v>611</v>
      </c>
      <c r="B470" s="22">
        <v>19</v>
      </c>
      <c r="C470" s="31">
        <v>3</v>
      </c>
      <c r="D470" s="2" t="s">
        <v>432</v>
      </c>
      <c r="E470" s="31"/>
      <c r="F470" s="18">
        <v>53586.81</v>
      </c>
      <c r="G470" s="18">
        <v>1003.05</v>
      </c>
      <c r="H470" s="18"/>
      <c r="I470" s="18"/>
      <c r="J470" s="18">
        <v>57126.68</v>
      </c>
      <c r="K470" s="23" t="s">
        <v>288</v>
      </c>
      <c r="L470" s="23" t="s">
        <v>288</v>
      </c>
      <c r="N470" s="131"/>
    </row>
    <row r="471" spans="1:14" ht="12.2" customHeight="1" x14ac:dyDescent="0.2">
      <c r="A471" s="32" t="s">
        <v>425</v>
      </c>
      <c r="B471" s="22">
        <v>19</v>
      </c>
      <c r="C471" s="31">
        <v>4</v>
      </c>
      <c r="D471" s="2" t="s">
        <v>432</v>
      </c>
      <c r="E471" s="31"/>
      <c r="F471" s="19">
        <f>SUM(F469:F470)</f>
        <v>9327405.2400000002</v>
      </c>
      <c r="G471" s="19">
        <f>SUM(G469:G470)</f>
        <v>251063.03999999998</v>
      </c>
      <c r="H471" s="19">
        <f>SUM(H469:H470)</f>
        <v>448943.1</v>
      </c>
      <c r="I471" s="19">
        <f>SUM(I469:I470)</f>
        <v>519400.95</v>
      </c>
      <c r="J471" s="19">
        <f>SUM(J469:J470)</f>
        <v>361952.29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8838898.6999999993</v>
      </c>
      <c r="G473" s="18">
        <v>231167.95</v>
      </c>
      <c r="H473" s="18">
        <v>448943.1</v>
      </c>
      <c r="I473" s="18">
        <v>519400.95</v>
      </c>
      <c r="J473" s="18">
        <v>82000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8838898.6999999993</v>
      </c>
      <c r="G475" s="19">
        <f>SUM(G473:G474)</f>
        <v>231167.95</v>
      </c>
      <c r="H475" s="19">
        <f>SUM(H473:H474)</f>
        <v>448943.1</v>
      </c>
      <c r="I475" s="19">
        <f>SUM(I473:I474)</f>
        <v>519400.95</v>
      </c>
      <c r="J475" s="19">
        <f>SUM(J473:J474)</f>
        <v>82000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1297475.5800000019</v>
      </c>
      <c r="G477" s="19">
        <f>(G466+G471)- G475</f>
        <v>68678.719999999972</v>
      </c>
      <c r="H477" s="19">
        <f>(H466+H471)- H475</f>
        <v>0</v>
      </c>
      <c r="I477" s="19">
        <f>(I466+I471)- I475</f>
        <v>0</v>
      </c>
      <c r="J477" s="19">
        <f>(J466+J471)- J475</f>
        <v>1304398.1599999999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430091.82</v>
      </c>
      <c r="G522" s="18">
        <v>262223.84999999998</v>
      </c>
      <c r="H522" s="18">
        <v>544622.66</v>
      </c>
      <c r="I522" s="18">
        <v>6334.56</v>
      </c>
      <c r="J522" s="18">
        <v>4583.3900000000003</v>
      </c>
      <c r="K522" s="18">
        <v>652</v>
      </c>
      <c r="L522" s="69">
        <f>SUM(F522:K522)</f>
        <v>1248508.28</v>
      </c>
      <c r="N522" s="131"/>
    </row>
    <row r="523" spans="1:14" ht="12.2" customHeight="1" x14ac:dyDescent="0.2">
      <c r="A523" s="21" t="s">
        <v>634</v>
      </c>
      <c r="B523" s="22">
        <v>21</v>
      </c>
      <c r="C523" s="22">
        <v>2</v>
      </c>
      <c r="D523" s="2" t="s">
        <v>432</v>
      </c>
      <c r="E523" s="22"/>
      <c r="F523" s="18">
        <v>207584.49</v>
      </c>
      <c r="G523" s="18">
        <v>94279.89</v>
      </c>
      <c r="H523" s="18">
        <v>53172.7</v>
      </c>
      <c r="I523" s="18">
        <v>4890.8599999999997</v>
      </c>
      <c r="J523" s="18">
        <v>59.92</v>
      </c>
      <c r="K523" s="18">
        <v>439.98</v>
      </c>
      <c r="L523" s="69">
        <f>SUM(F523:K523)</f>
        <v>360427.83999999997</v>
      </c>
      <c r="N523" s="131"/>
    </row>
    <row r="524" spans="1:14" ht="12.2" customHeight="1" thickBot="1" x14ac:dyDescent="0.25">
      <c r="A524" s="21" t="s">
        <v>635</v>
      </c>
      <c r="B524" s="22">
        <v>21</v>
      </c>
      <c r="C524" s="22">
        <v>3</v>
      </c>
      <c r="D524" s="2" t="s">
        <v>432</v>
      </c>
      <c r="E524" s="22"/>
      <c r="F524" s="18">
        <v>301223.07</v>
      </c>
      <c r="G524" s="18">
        <v>138633.94</v>
      </c>
      <c r="H524" s="18">
        <v>328607.40999999997</v>
      </c>
      <c r="I524" s="18">
        <v>5115.38</v>
      </c>
      <c r="J524" s="18">
        <v>1000</v>
      </c>
      <c r="K524" s="18">
        <f>108+102.45</f>
        <v>210.45</v>
      </c>
      <c r="L524" s="69">
        <f>SUM(F524:K524)</f>
        <v>774790.24999999988</v>
      </c>
      <c r="N524" s="131"/>
    </row>
    <row r="525" spans="1:14" ht="12.2" customHeight="1" thickTop="1" x14ac:dyDescent="0.2">
      <c r="A525" s="97" t="s">
        <v>63</v>
      </c>
      <c r="B525" s="41">
        <v>21</v>
      </c>
      <c r="C525" s="41">
        <v>4</v>
      </c>
      <c r="D525" s="115" t="s">
        <v>432</v>
      </c>
      <c r="E525" s="41"/>
      <c r="F525" s="81">
        <f>SUM(F522:F524)</f>
        <v>938899.38000000012</v>
      </c>
      <c r="G525" s="81">
        <f t="shared" ref="G525:L525" si="36">SUM(G522:G524)</f>
        <v>495137.68</v>
      </c>
      <c r="H525" s="81">
        <f t="shared" si="36"/>
        <v>926402.77</v>
      </c>
      <c r="I525" s="81">
        <f t="shared" si="36"/>
        <v>16340.8</v>
      </c>
      <c r="J525" s="81">
        <f t="shared" si="36"/>
        <v>5643.31</v>
      </c>
      <c r="K525" s="81">
        <f t="shared" si="36"/>
        <v>1302.43</v>
      </c>
      <c r="L525" s="70">
        <f t="shared" si="36"/>
        <v>2383726.37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92010.24-3518.75</f>
        <v>88491.49</v>
      </c>
      <c r="G527" s="18">
        <f>56716.9-75.01-117.43</f>
        <v>56524.46</v>
      </c>
      <c r="H527" s="18">
        <v>59113.51</v>
      </c>
      <c r="I527" s="18">
        <f>2144.3-1399.99</f>
        <v>744.31000000000017</v>
      </c>
      <c r="J527" s="18">
        <v>0</v>
      </c>
      <c r="K527" s="18">
        <v>253</v>
      </c>
      <c r="L527" s="69">
        <f>SUM(F527:K527)</f>
        <v>205126.77000000002</v>
      </c>
      <c r="M527" s="8"/>
      <c r="N527" s="165"/>
    </row>
    <row r="528" spans="1:14" s="3" customFormat="1" ht="12.2" customHeight="1" x14ac:dyDescent="0.15">
      <c r="A528" s="21" t="s">
        <v>634</v>
      </c>
      <c r="B528" s="22">
        <v>21</v>
      </c>
      <c r="C528" s="22">
        <v>6</v>
      </c>
      <c r="D528" s="2" t="s">
        <v>432</v>
      </c>
      <c r="E528" s="22"/>
      <c r="F528" s="18">
        <v>36792.120000000003</v>
      </c>
      <c r="G528" s="18">
        <v>23120</v>
      </c>
      <c r="H528" s="18">
        <v>16505.810000000001</v>
      </c>
      <c r="I528" s="18">
        <v>254.66</v>
      </c>
      <c r="J528" s="18"/>
      <c r="K528" s="18">
        <v>40.98</v>
      </c>
      <c r="L528" s="69">
        <f>SUM(F528:K528)</f>
        <v>76713.570000000007</v>
      </c>
      <c r="M528" s="8"/>
      <c r="N528" s="165"/>
    </row>
    <row r="529" spans="1:14" s="3" customFormat="1" ht="12.2" customHeight="1" thickBot="1" x14ac:dyDescent="0.2">
      <c r="A529" s="21" t="s">
        <v>635</v>
      </c>
      <c r="B529" s="22">
        <v>21</v>
      </c>
      <c r="C529" s="22">
        <v>7</v>
      </c>
      <c r="D529" s="2" t="s">
        <v>432</v>
      </c>
      <c r="E529" s="22"/>
      <c r="F529" s="18">
        <v>6922.77</v>
      </c>
      <c r="G529" s="18">
        <v>4208.17</v>
      </c>
      <c r="H529" s="18">
        <v>34211.019999999997</v>
      </c>
      <c r="I529" s="18">
        <v>247.5</v>
      </c>
      <c r="J529" s="18">
        <v>1000</v>
      </c>
      <c r="K529" s="18">
        <v>102.45</v>
      </c>
      <c r="L529" s="69">
        <f>SUM(F529:K529)</f>
        <v>46691.909999999996</v>
      </c>
      <c r="M529" s="8"/>
      <c r="N529" s="165"/>
    </row>
    <row r="530" spans="1:14" s="3" customFormat="1" ht="12.2" customHeight="1" thickTop="1" x14ac:dyDescent="0.15">
      <c r="A530" s="97" t="s">
        <v>65</v>
      </c>
      <c r="B530" s="41">
        <v>21</v>
      </c>
      <c r="C530" s="41">
        <v>8</v>
      </c>
      <c r="D530" s="115" t="s">
        <v>432</v>
      </c>
      <c r="E530" s="41"/>
      <c r="F530" s="70">
        <f>SUM(F527:F529)</f>
        <v>132206.38</v>
      </c>
      <c r="G530" s="70">
        <f t="shared" ref="G530:L530" si="37">SUM(G527:G529)</f>
        <v>83852.62999999999</v>
      </c>
      <c r="H530" s="70">
        <f t="shared" si="37"/>
        <v>109830.34</v>
      </c>
      <c r="I530" s="70">
        <f t="shared" si="37"/>
        <v>1246.4700000000003</v>
      </c>
      <c r="J530" s="70">
        <f t="shared" si="37"/>
        <v>1000</v>
      </c>
      <c r="K530" s="70">
        <f t="shared" si="37"/>
        <v>396.43</v>
      </c>
      <c r="L530" s="70">
        <f t="shared" si="37"/>
        <v>328532.25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21790.21</v>
      </c>
      <c r="I532" s="18"/>
      <c r="J532" s="18"/>
      <c r="K532" s="18"/>
      <c r="L532" s="69">
        <f>SUM(F532:K532)</f>
        <v>21790.21</v>
      </c>
      <c r="M532" s="8"/>
      <c r="N532" s="165"/>
    </row>
    <row r="533" spans="1:14" s="3" customFormat="1" ht="12.2" customHeight="1" x14ac:dyDescent="0.15">
      <c r="A533" s="21" t="s">
        <v>634</v>
      </c>
      <c r="B533" s="22">
        <v>21</v>
      </c>
      <c r="C533" s="22">
        <v>10</v>
      </c>
      <c r="D533" s="2" t="s">
        <v>432</v>
      </c>
      <c r="E533" s="22"/>
      <c r="F533" s="18"/>
      <c r="G533" s="18"/>
      <c r="H533" s="18">
        <v>27474.62</v>
      </c>
      <c r="I533" s="18"/>
      <c r="J533" s="18"/>
      <c r="K533" s="18"/>
      <c r="L533" s="69">
        <f>SUM(F533:K533)</f>
        <v>27474.62</v>
      </c>
      <c r="M533" s="8"/>
      <c r="N533" s="165"/>
    </row>
    <row r="534" spans="1:14" s="3" customFormat="1" ht="12.2" customHeight="1" thickBot="1" x14ac:dyDescent="0.2">
      <c r="A534" s="21" t="s">
        <v>635</v>
      </c>
      <c r="B534" s="22">
        <v>21</v>
      </c>
      <c r="C534" s="22">
        <v>11</v>
      </c>
      <c r="D534" s="2" t="s">
        <v>432</v>
      </c>
      <c r="E534" s="22"/>
      <c r="F534" s="18"/>
      <c r="G534" s="18"/>
      <c r="H534" s="18">
        <v>40738.230000000003</v>
      </c>
      <c r="I534" s="18"/>
      <c r="J534" s="18"/>
      <c r="K534" s="18"/>
      <c r="L534" s="69">
        <f>SUM(F534:K534)</f>
        <v>40738.230000000003</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90003.06</v>
      </c>
      <c r="I535" s="70">
        <f t="shared" si="38"/>
        <v>0</v>
      </c>
      <c r="J535" s="70">
        <f t="shared" si="38"/>
        <v>0</v>
      </c>
      <c r="K535" s="70">
        <f t="shared" si="38"/>
        <v>0</v>
      </c>
      <c r="L535" s="70">
        <f t="shared" si="38"/>
        <v>90003.06</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11700</v>
      </c>
      <c r="I537" s="18"/>
      <c r="J537" s="18"/>
      <c r="K537" s="18"/>
      <c r="L537" s="69">
        <f>SUM(F537:K537)</f>
        <v>11700</v>
      </c>
      <c r="M537" s="8"/>
      <c r="N537" s="165"/>
    </row>
    <row r="538" spans="1:14" s="3" customFormat="1" ht="12.2" customHeight="1" x14ac:dyDescent="0.15">
      <c r="A538" s="21" t="s">
        <v>634</v>
      </c>
      <c r="B538" s="22">
        <v>21</v>
      </c>
      <c r="C538" s="22">
        <v>14</v>
      </c>
      <c r="D538" s="2" t="s">
        <v>432</v>
      </c>
      <c r="E538" s="22"/>
      <c r="F538" s="18"/>
      <c r="G538" s="18"/>
      <c r="H538" s="18">
        <v>2421.12</v>
      </c>
      <c r="I538" s="18"/>
      <c r="J538" s="18"/>
      <c r="K538" s="18"/>
      <c r="L538" s="69">
        <f>SUM(F538:K538)</f>
        <v>2421.12</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14121.119999999999</v>
      </c>
      <c r="I540" s="70">
        <f t="shared" si="39"/>
        <v>0</v>
      </c>
      <c r="J540" s="70">
        <f t="shared" si="39"/>
        <v>0</v>
      </c>
      <c r="K540" s="70">
        <f t="shared" si="39"/>
        <v>0</v>
      </c>
      <c r="L540" s="70">
        <f t="shared" si="39"/>
        <v>14121.119999999999</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3518.75</v>
      </c>
      <c r="G542" s="18">
        <v>192.44</v>
      </c>
      <c r="H542" s="18"/>
      <c r="I542" s="18">
        <v>1399.99</v>
      </c>
      <c r="J542" s="18"/>
      <c r="K542" s="18"/>
      <c r="L542" s="69">
        <f>SUM(F542:K542)</f>
        <v>5111.18</v>
      </c>
      <c r="M542" s="8"/>
      <c r="N542" s="165"/>
    </row>
    <row r="543" spans="1:14" s="3" customFormat="1" ht="12.2" customHeight="1" x14ac:dyDescent="0.15">
      <c r="A543" s="21" t="s">
        <v>634</v>
      </c>
      <c r="B543" s="22">
        <v>21</v>
      </c>
      <c r="C543" s="22">
        <v>18</v>
      </c>
      <c r="D543" s="2" t="s">
        <v>432</v>
      </c>
      <c r="E543" s="22"/>
      <c r="F543" s="18">
        <v>580.38</v>
      </c>
      <c r="G543" s="18">
        <v>75.64</v>
      </c>
      <c r="H543" s="18"/>
      <c r="I543" s="18">
        <v>999.13</v>
      </c>
      <c r="J543" s="18"/>
      <c r="K543" s="18"/>
      <c r="L543" s="69">
        <f>SUM(F543:K543)</f>
        <v>1655.15</v>
      </c>
      <c r="M543" s="8"/>
      <c r="N543" s="165"/>
    </row>
    <row r="544" spans="1:14" s="3" customFormat="1" ht="12.2" customHeight="1" thickBot="1" x14ac:dyDescent="0.2">
      <c r="A544" s="21" t="s">
        <v>635</v>
      </c>
      <c r="B544" s="22">
        <v>21</v>
      </c>
      <c r="C544" s="22">
        <v>19</v>
      </c>
      <c r="D544" s="2" t="s">
        <v>432</v>
      </c>
      <c r="E544" s="22"/>
      <c r="F544" s="18">
        <v>6419.76</v>
      </c>
      <c r="G544" s="18">
        <v>986.09</v>
      </c>
      <c r="H544" s="18"/>
      <c r="I544" s="18">
        <v>2000</v>
      </c>
      <c r="J544" s="18"/>
      <c r="K544" s="18"/>
      <c r="L544" s="69">
        <f>SUM(F544:K544)</f>
        <v>9405.85</v>
      </c>
      <c r="M544" s="8"/>
      <c r="N544" s="165"/>
    </row>
    <row r="545" spans="1:14" s="3" customFormat="1" ht="12.2" customHeight="1" thickTop="1" thickBot="1" x14ac:dyDescent="0.2">
      <c r="A545" s="93" t="s">
        <v>71</v>
      </c>
      <c r="B545" s="63">
        <v>21</v>
      </c>
      <c r="C545" s="63">
        <v>20</v>
      </c>
      <c r="D545" s="140" t="s">
        <v>432</v>
      </c>
      <c r="E545" s="63"/>
      <c r="F545" s="141">
        <f>SUM(F542:F544)</f>
        <v>10518.89</v>
      </c>
      <c r="G545" s="141">
        <f t="shared" ref="G545:L545" si="40">SUM(G542:G544)</f>
        <v>1254.17</v>
      </c>
      <c r="H545" s="141">
        <f t="shared" si="40"/>
        <v>0</v>
      </c>
      <c r="I545" s="141">
        <f t="shared" si="40"/>
        <v>4399.12</v>
      </c>
      <c r="J545" s="141">
        <f t="shared" si="40"/>
        <v>0</v>
      </c>
      <c r="K545" s="141">
        <f t="shared" si="40"/>
        <v>0</v>
      </c>
      <c r="L545" s="141">
        <f t="shared" si="40"/>
        <v>16172.18</v>
      </c>
      <c r="M545" s="8"/>
      <c r="N545" s="165"/>
    </row>
    <row r="546" spans="1:14" s="3" customFormat="1" ht="12.2" customHeight="1" thickTop="1" x14ac:dyDescent="0.15">
      <c r="A546" s="75" t="s">
        <v>72</v>
      </c>
      <c r="B546" s="41">
        <v>21</v>
      </c>
      <c r="C546" s="41">
        <v>21</v>
      </c>
      <c r="D546" s="115" t="s">
        <v>432</v>
      </c>
      <c r="E546" s="41"/>
      <c r="F546" s="70">
        <f>F525+F530+F535+F540+F545</f>
        <v>1081624.6500000001</v>
      </c>
      <c r="G546" s="70">
        <f t="shared" ref="G546:L546" si="41">G525+G530+G535+G540+G545</f>
        <v>580244.47999999998</v>
      </c>
      <c r="H546" s="70">
        <f t="shared" si="41"/>
        <v>1140357.29</v>
      </c>
      <c r="I546" s="70">
        <f t="shared" si="41"/>
        <v>21986.39</v>
      </c>
      <c r="J546" s="70">
        <f t="shared" si="41"/>
        <v>6643.31</v>
      </c>
      <c r="K546" s="70">
        <f t="shared" si="41"/>
        <v>1698.8600000000001</v>
      </c>
      <c r="L546" s="70">
        <f t="shared" si="41"/>
        <v>2832554.9800000004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1248508.28</v>
      </c>
      <c r="G550" s="69">
        <f>L527</f>
        <v>205126.77000000002</v>
      </c>
      <c r="H550" s="69">
        <f>L532</f>
        <v>21790.21</v>
      </c>
      <c r="I550" s="69">
        <f>L537</f>
        <v>11700</v>
      </c>
      <c r="J550" s="69">
        <f>L542</f>
        <v>5111.18</v>
      </c>
      <c r="K550" s="69">
        <f>SUM(F550:J550)</f>
        <v>1492236.44</v>
      </c>
      <c r="L550" s="23" t="s">
        <v>288</v>
      </c>
      <c r="M550" s="8"/>
      <c r="N550" s="165"/>
    </row>
    <row r="551" spans="1:14" s="3" customFormat="1" ht="12.2" customHeight="1" x14ac:dyDescent="0.15">
      <c r="A551" s="21" t="s">
        <v>634</v>
      </c>
      <c r="B551" s="22">
        <v>21</v>
      </c>
      <c r="C551" s="22">
        <v>23</v>
      </c>
      <c r="D551" s="2" t="s">
        <v>432</v>
      </c>
      <c r="E551" s="22"/>
      <c r="F551" s="69">
        <f>L523</f>
        <v>360427.83999999997</v>
      </c>
      <c r="G551" s="69">
        <f>L528</f>
        <v>76713.570000000007</v>
      </c>
      <c r="H551" s="69">
        <f>L533</f>
        <v>27474.62</v>
      </c>
      <c r="I551" s="69">
        <f>L538</f>
        <v>2421.12</v>
      </c>
      <c r="J551" s="69">
        <f>L543</f>
        <v>1655.15</v>
      </c>
      <c r="K551" s="69">
        <f>SUM(F551:J551)</f>
        <v>468692.3</v>
      </c>
      <c r="L551" s="23" t="s">
        <v>288</v>
      </c>
      <c r="M551" s="8"/>
      <c r="N551" s="165"/>
    </row>
    <row r="552" spans="1:14" s="3" customFormat="1" ht="12.2" customHeight="1" thickBot="1" x14ac:dyDescent="0.2">
      <c r="A552" s="21" t="s">
        <v>635</v>
      </c>
      <c r="B552" s="22">
        <v>21</v>
      </c>
      <c r="C552" s="22">
        <v>24</v>
      </c>
      <c r="D552" s="2" t="s">
        <v>432</v>
      </c>
      <c r="E552" s="22"/>
      <c r="F552" s="69">
        <f>L524</f>
        <v>774790.24999999988</v>
      </c>
      <c r="G552" s="69">
        <f>L529</f>
        <v>46691.909999999996</v>
      </c>
      <c r="H552" s="69">
        <f>L534</f>
        <v>40738.230000000003</v>
      </c>
      <c r="I552" s="69">
        <f>L539</f>
        <v>0</v>
      </c>
      <c r="J552" s="69">
        <f>L544</f>
        <v>9405.85</v>
      </c>
      <c r="K552" s="69">
        <f>SUM(F552:J552)</f>
        <v>871626.23999999987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2383726.37</v>
      </c>
      <c r="G553" s="70">
        <f t="shared" si="42"/>
        <v>328532.25</v>
      </c>
      <c r="H553" s="70">
        <f t="shared" si="42"/>
        <v>90003.06</v>
      </c>
      <c r="I553" s="70">
        <f t="shared" si="42"/>
        <v>14121.119999999999</v>
      </c>
      <c r="J553" s="70">
        <f t="shared" si="42"/>
        <v>16172.18</v>
      </c>
      <c r="K553" s="70">
        <f t="shared" si="42"/>
        <v>2832554.98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2238.21</v>
      </c>
      <c r="G563" s="18">
        <v>486.49</v>
      </c>
      <c r="H563" s="18"/>
      <c r="I563" s="18"/>
      <c r="J563" s="18"/>
      <c r="K563" s="18"/>
      <c r="L563" s="69">
        <f>SUM(F563:K563)</f>
        <v>2724.7</v>
      </c>
      <c r="M563" s="8"/>
      <c r="N563" s="165"/>
    </row>
    <row r="564" spans="1:14" s="3" customFormat="1" ht="12.2" customHeight="1" x14ac:dyDescent="0.15">
      <c r="A564" s="21" t="s">
        <v>634</v>
      </c>
      <c r="B564" s="22">
        <v>22</v>
      </c>
      <c r="C564" s="22">
        <v>6</v>
      </c>
      <c r="D564" s="2" t="s">
        <v>432</v>
      </c>
      <c r="E564" s="22"/>
      <c r="F564" s="18">
        <v>2272.41</v>
      </c>
      <c r="G564" s="18">
        <v>489.12</v>
      </c>
      <c r="H564" s="18"/>
      <c r="I564" s="18"/>
      <c r="J564" s="18"/>
      <c r="K564" s="18"/>
      <c r="L564" s="69">
        <f>SUM(F564:K564)</f>
        <v>2761.5299999999997</v>
      </c>
      <c r="M564" s="8"/>
      <c r="N564" s="165"/>
    </row>
    <row r="565" spans="1:14" s="3" customFormat="1" ht="12.2" customHeight="1" thickBot="1" x14ac:dyDescent="0.2">
      <c r="A565" s="21" t="s">
        <v>635</v>
      </c>
      <c r="B565" s="22">
        <v>22</v>
      </c>
      <c r="C565" s="22">
        <v>7</v>
      </c>
      <c r="D565" s="2" t="s">
        <v>432</v>
      </c>
      <c r="E565" s="22"/>
      <c r="F565" s="18">
        <v>1967.02</v>
      </c>
      <c r="G565" s="18">
        <v>465.85</v>
      </c>
      <c r="H565" s="18"/>
      <c r="I565" s="18"/>
      <c r="J565" s="18"/>
      <c r="K565" s="18"/>
      <c r="L565" s="69">
        <f>SUM(F565:K565)</f>
        <v>2432.87</v>
      </c>
      <c r="M565" s="8"/>
      <c r="N565" s="165"/>
    </row>
    <row r="566" spans="1:14" s="3" customFormat="1" ht="12.2" customHeight="1" thickTop="1" x14ac:dyDescent="0.15">
      <c r="A566" s="97" t="s">
        <v>65</v>
      </c>
      <c r="B566" s="41">
        <v>22</v>
      </c>
      <c r="C566" s="41">
        <v>8</v>
      </c>
      <c r="D566" s="115" t="s">
        <v>432</v>
      </c>
      <c r="E566" s="41"/>
      <c r="F566" s="70">
        <f t="shared" ref="F566:L566" si="44">SUM(F563:F565)</f>
        <v>6477.6399999999994</v>
      </c>
      <c r="G566" s="70">
        <f t="shared" si="44"/>
        <v>1441.46</v>
      </c>
      <c r="H566" s="70">
        <f t="shared" si="44"/>
        <v>0</v>
      </c>
      <c r="I566" s="70">
        <f t="shared" si="44"/>
        <v>0</v>
      </c>
      <c r="J566" s="70">
        <f t="shared" si="44"/>
        <v>0</v>
      </c>
      <c r="K566" s="70">
        <f t="shared" si="44"/>
        <v>0</v>
      </c>
      <c r="L566" s="70">
        <f t="shared" si="44"/>
        <v>7919.0999999999995</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6477.6399999999994</v>
      </c>
      <c r="G572" s="70">
        <f t="shared" ref="G572:L572" si="46">G561+G566+G571</f>
        <v>1441.46</v>
      </c>
      <c r="H572" s="70">
        <f t="shared" si="46"/>
        <v>0</v>
      </c>
      <c r="I572" s="70">
        <f t="shared" si="46"/>
        <v>0</v>
      </c>
      <c r="J572" s="70">
        <f t="shared" si="46"/>
        <v>0</v>
      </c>
      <c r="K572" s="70">
        <f t="shared" si="46"/>
        <v>0</v>
      </c>
      <c r="L572" s="70">
        <f t="shared" si="46"/>
        <v>7919.0999999999995</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v>675</v>
      </c>
      <c r="I579" s="69">
        <f t="shared" si="47"/>
        <v>675</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104011.8</f>
        <v>104011.8</v>
      </c>
      <c r="G583" s="18">
        <f>37627.2</f>
        <v>37627.199999999997</v>
      </c>
      <c r="H583" s="18">
        <v>59329.2</v>
      </c>
      <c r="I583" s="69">
        <f t="shared" si="47"/>
        <v>200968.2</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307842.90000000002</v>
      </c>
      <c r="G584" s="18"/>
      <c r="H584" s="18">
        <v>232953.95</v>
      </c>
      <c r="I584" s="69">
        <f t="shared" si="47"/>
        <v>540796.85000000009</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44308.86</v>
      </c>
      <c r="I585" s="69">
        <f t="shared" si="47"/>
        <v>44308.86</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v>8100</v>
      </c>
      <c r="I588" s="69">
        <f t="shared" si="47"/>
        <v>8100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82683.23</v>
      </c>
      <c r="I592" s="18">
        <v>50175.73</v>
      </c>
      <c r="J592" s="18">
        <f>46245.57+31628.08</f>
        <v>77873.649999999994</v>
      </c>
      <c r="K592" s="80">
        <f t="shared" ref="K592:K598" si="48">SUM(H592:J592)</f>
        <v>210732.61</v>
      </c>
      <c r="L592" s="23" t="s">
        <v>288</v>
      </c>
      <c r="M592" s="8"/>
      <c r="N592" s="165"/>
    </row>
    <row r="593" spans="1:14" s="3" customFormat="1" ht="12.2" customHeight="1" x14ac:dyDescent="0.15">
      <c r="A593" s="3" t="s">
        <v>638</v>
      </c>
      <c r="B593" s="22">
        <v>23</v>
      </c>
      <c r="C593" s="22">
        <v>2</v>
      </c>
      <c r="D593" s="2" t="s">
        <v>432</v>
      </c>
      <c r="E593" s="22"/>
      <c r="F593" s="78">
        <v>2722</v>
      </c>
      <c r="G593" s="79" t="s">
        <v>97</v>
      </c>
      <c r="H593" s="18">
        <v>5111.18</v>
      </c>
      <c r="I593" s="18">
        <v>1655.15</v>
      </c>
      <c r="J593" s="18">
        <v>9405.85</v>
      </c>
      <c r="K593" s="80">
        <f t="shared" si="48"/>
        <v>16172.18</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16375.87</v>
      </c>
      <c r="K594" s="80">
        <f t="shared" si="48"/>
        <v>16375.87</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5247</v>
      </c>
      <c r="J595" s="18">
        <v>12018.2</v>
      </c>
      <c r="K595" s="80">
        <f t="shared" si="48"/>
        <v>17265.2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4350.07</v>
      </c>
      <c r="I596" s="18">
        <v>3640.8</v>
      </c>
      <c r="J596" s="18">
        <v>5503.4</v>
      </c>
      <c r="K596" s="80">
        <f t="shared" si="48"/>
        <v>13494.27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92144.48000000001</v>
      </c>
      <c r="I599" s="81">
        <f>SUM(I592:I598)</f>
        <v>60718.680000000008</v>
      </c>
      <c r="J599" s="81">
        <f>SUM(J592:J598)</f>
        <v>121176.96999999999</v>
      </c>
      <c r="K599" s="81">
        <f>SUM(K592:K598)</f>
        <v>274040.13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186923.37</v>
      </c>
      <c r="I605" s="18"/>
      <c r="J605" s="18"/>
      <c r="K605" s="80">
        <f>SUM(H605:J605)</f>
        <v>186923.37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186923.37</v>
      </c>
      <c r="I606" s="81">
        <f>SUM(I603:I605)</f>
        <v>0</v>
      </c>
      <c r="J606" s="81">
        <f>SUM(J603:J605)</f>
        <v>0</v>
      </c>
      <c r="K606" s="81">
        <f>SUM(K603:K605)</f>
        <v>186923.37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3013.33</v>
      </c>
      <c r="G612" s="18">
        <f>230.54+6.43</f>
        <v>236.97</v>
      </c>
      <c r="H612" s="18">
        <f>699</f>
        <v>699</v>
      </c>
      <c r="I612" s="18"/>
      <c r="J612" s="18"/>
      <c r="K612" s="18">
        <v>3356.002</v>
      </c>
      <c r="L612" s="69">
        <f>SUM(F612:K612)</f>
        <v>7305.3019999999997</v>
      </c>
      <c r="M612" s="8"/>
      <c r="N612" s="165"/>
    </row>
    <row r="613" spans="1:14" s="3" customFormat="1" ht="12.2" customHeight="1" x14ac:dyDescent="0.15">
      <c r="A613" s="21" t="s">
        <v>634</v>
      </c>
      <c r="B613" s="22">
        <v>23</v>
      </c>
      <c r="C613" s="22">
        <v>14</v>
      </c>
      <c r="D613" s="2" t="s">
        <v>432</v>
      </c>
      <c r="E613" s="22"/>
      <c r="F613" s="18">
        <f>112.5+5449.67</f>
        <v>5562.17</v>
      </c>
      <c r="G613" s="18">
        <f>8.61+996.23</f>
        <v>1004.84</v>
      </c>
      <c r="H613" s="18"/>
      <c r="I613" s="18"/>
      <c r="J613" s="18"/>
      <c r="K613" s="18"/>
      <c r="L613" s="69">
        <f>SUM(F613:K613)</f>
        <v>6567.01</v>
      </c>
      <c r="M613" s="8"/>
      <c r="N613" s="165"/>
    </row>
    <row r="614" spans="1:14" s="3" customFormat="1" ht="12.2" customHeight="1" thickBot="1" x14ac:dyDescent="0.2">
      <c r="A614" s="21" t="s">
        <v>645</v>
      </c>
      <c r="B614" s="22">
        <v>23</v>
      </c>
      <c r="C614" s="22">
        <v>15</v>
      </c>
      <c r="D614" s="2" t="s">
        <v>432</v>
      </c>
      <c r="E614" s="22"/>
      <c r="F614" s="18">
        <v>8888.32</v>
      </c>
      <c r="G614" s="18">
        <v>1919.13</v>
      </c>
      <c r="H614" s="18"/>
      <c r="I614" s="18"/>
      <c r="J614" s="18"/>
      <c r="K614" s="18"/>
      <c r="L614" s="69">
        <f>SUM(F614:K614)</f>
        <v>10807.45</v>
      </c>
      <c r="M614" s="8"/>
      <c r="N614" s="165"/>
    </row>
    <row r="615" spans="1:14" s="3" customFormat="1" ht="12.2" customHeight="1" thickTop="1" x14ac:dyDescent="0.15">
      <c r="A615" s="75" t="s">
        <v>340</v>
      </c>
      <c r="B615" s="41">
        <v>23</v>
      </c>
      <c r="C615" s="41">
        <v>16</v>
      </c>
      <c r="D615" s="36" t="s">
        <v>432</v>
      </c>
      <c r="E615" s="41"/>
      <c r="F615" s="81">
        <f t="shared" ref="F615:L615" si="49">SUM(F612:F614)</f>
        <v>17463.82</v>
      </c>
      <c r="G615" s="81">
        <f t="shared" si="49"/>
        <v>3160.94</v>
      </c>
      <c r="H615" s="81">
        <f t="shared" si="49"/>
        <v>699</v>
      </c>
      <c r="I615" s="81">
        <f t="shared" si="49"/>
        <v>0</v>
      </c>
      <c r="J615" s="81">
        <f t="shared" si="49"/>
        <v>0</v>
      </c>
      <c r="K615" s="81">
        <f t="shared" si="49"/>
        <v>3356.002</v>
      </c>
      <c r="L615" s="70">
        <f t="shared" si="49"/>
        <v>24679.762000000002</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1489669.25</v>
      </c>
      <c r="H618" s="80">
        <f>SUM(F52)</f>
        <v>1489669.25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68678.720000000001</v>
      </c>
      <c r="H619" s="80">
        <f>SUM(G52)</f>
        <v>68678.720000000001</v>
      </c>
      <c r="I619" s="87" t="s">
        <v>875</v>
      </c>
      <c r="J619" s="80">
        <f>G619-H619</f>
        <v>0</v>
      </c>
      <c r="K619" s="80"/>
      <c r="L619" s="80"/>
      <c r="M619" s="8"/>
    </row>
    <row r="620" spans="1:14" s="3" customFormat="1" ht="12.2" customHeight="1" x14ac:dyDescent="0.15">
      <c r="A620" s="74"/>
      <c r="B620" s="22"/>
      <c r="C620" s="22"/>
      <c r="D620" s="22"/>
      <c r="E620" s="22"/>
      <c r="F620" s="87" t="s">
        <v>685</v>
      </c>
      <c r="G620" s="80">
        <f>SUM(H19)</f>
        <v>83788.31</v>
      </c>
      <c r="H620" s="80">
        <f>SUM(H52)</f>
        <v>83788.31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1304398.1599999999</v>
      </c>
      <c r="H622" s="80">
        <f>SUM(J52)</f>
        <v>1304398.1599999999</v>
      </c>
      <c r="I622" s="87" t="s">
        <v>878</v>
      </c>
      <c r="J622" s="80">
        <f>G622-H622</f>
        <v>0</v>
      </c>
      <c r="K622" s="80"/>
      <c r="L622" s="80"/>
      <c r="M622" s="8"/>
    </row>
    <row r="623" spans="1:14" s="3" customFormat="1" ht="12.2" customHeight="1" x14ac:dyDescent="0.15">
      <c r="A623" s="74"/>
      <c r="B623" s="22"/>
      <c r="C623" s="22"/>
      <c r="D623" s="22"/>
      <c r="E623" s="22"/>
      <c r="F623" s="87" t="s">
        <v>864</v>
      </c>
      <c r="G623" s="80">
        <f>F51</f>
        <v>1297475.58</v>
      </c>
      <c r="H623" s="80">
        <f>F477</f>
        <v>1297475.5800000019</v>
      </c>
      <c r="I623" s="87" t="s">
        <v>101</v>
      </c>
      <c r="J623" s="80">
        <f t="shared" ref="J623:J656" si="50">G623-H623</f>
        <v>-1.862645149230957E-9</v>
      </c>
      <c r="K623" s="80"/>
      <c r="L623" s="80"/>
      <c r="M623" s="8"/>
    </row>
    <row r="624" spans="1:14" s="3" customFormat="1" ht="12.2" customHeight="1" x14ac:dyDescent="0.15">
      <c r="A624" s="74"/>
      <c r="B624" s="22"/>
      <c r="C624" s="85"/>
      <c r="D624" s="85"/>
      <c r="E624" s="85"/>
      <c r="F624" s="85" t="s">
        <v>865</v>
      </c>
      <c r="G624" s="80">
        <f>G51</f>
        <v>68678.720000000001</v>
      </c>
      <c r="H624" s="80">
        <f>G477</f>
        <v>68678.719999999972</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1304398.1599999999</v>
      </c>
      <c r="H627" s="80">
        <f>J477</f>
        <v>1304398.1599999999</v>
      </c>
      <c r="I627" s="87" t="s">
        <v>105</v>
      </c>
      <c r="J627" s="80">
        <f t="shared" si="50"/>
        <v>0</v>
      </c>
      <c r="K627" s="67"/>
      <c r="L627" s="69"/>
      <c r="M627" s="8"/>
    </row>
    <row r="628" spans="1:13" s="3" customFormat="1" ht="12.2" customHeight="1" x14ac:dyDescent="0.15">
      <c r="A628" s="21"/>
      <c r="B628" s="22"/>
      <c r="C628" s="22"/>
      <c r="D628" s="22"/>
      <c r="E628" s="22"/>
      <c r="F628" s="86" t="s">
        <v>658</v>
      </c>
      <c r="G628" s="80">
        <f>F194</f>
        <v>9273818.4299999997</v>
      </c>
      <c r="H628" s="80">
        <f>SUM(F469)</f>
        <v>9273818.4299999997</v>
      </c>
      <c r="I628" s="87" t="s">
        <v>106</v>
      </c>
      <c r="J628" s="80">
        <f>G628-H628</f>
        <v>0</v>
      </c>
      <c r="K628" s="67"/>
      <c r="L628" s="69"/>
      <c r="M628" s="8"/>
    </row>
    <row r="629" spans="1:13" s="3" customFormat="1" ht="12.2" customHeight="1" x14ac:dyDescent="0.15">
      <c r="A629" s="21"/>
      <c r="B629" s="22"/>
      <c r="C629" s="22"/>
      <c r="D629" s="22"/>
      <c r="E629" s="22"/>
      <c r="F629" s="86" t="s">
        <v>659</v>
      </c>
      <c r="G629" s="80">
        <f>G194</f>
        <v>250059.99000000002</v>
      </c>
      <c r="H629" s="80">
        <f>SUM(G469)</f>
        <v>250059.99</v>
      </c>
      <c r="I629" s="87" t="s">
        <v>107</v>
      </c>
      <c r="J629" s="80">
        <f>G629-H629</f>
        <v>0</v>
      </c>
      <c r="K629" s="67"/>
      <c r="L629" s="69"/>
      <c r="M629" s="8"/>
    </row>
    <row r="630" spans="1:13" s="3" customFormat="1" ht="12.2" customHeight="1" x14ac:dyDescent="0.15">
      <c r="A630" s="21"/>
      <c r="B630" s="22"/>
      <c r="C630" s="22"/>
      <c r="D630" s="22"/>
      <c r="E630" s="22"/>
      <c r="F630" s="86" t="s">
        <v>660</v>
      </c>
      <c r="G630" s="80">
        <f>H194</f>
        <v>448943.1</v>
      </c>
      <c r="H630" s="80">
        <f>SUM(H469)</f>
        <v>448943.1</v>
      </c>
      <c r="I630" s="87" t="s">
        <v>108</v>
      </c>
      <c r="J630" s="80">
        <f>G630-H630</f>
        <v>0</v>
      </c>
      <c r="K630" s="67"/>
      <c r="L630" s="69"/>
      <c r="M630" s="8"/>
    </row>
    <row r="631" spans="1:13" s="3" customFormat="1" ht="12.2" customHeight="1" x14ac:dyDescent="0.15">
      <c r="A631" s="21"/>
      <c r="B631" s="22"/>
      <c r="C631" s="22"/>
      <c r="D631" s="22"/>
      <c r="E631" s="22"/>
      <c r="F631" s="86" t="s">
        <v>661</v>
      </c>
      <c r="G631" s="80">
        <f>I194</f>
        <v>519400.95</v>
      </c>
      <c r="H631" s="80">
        <f>SUM(I469)</f>
        <v>519400.95</v>
      </c>
      <c r="I631" s="87" t="s">
        <v>109</v>
      </c>
      <c r="J631" s="80">
        <f>G631-H631</f>
        <v>0</v>
      </c>
      <c r="K631" s="67"/>
      <c r="L631" s="69"/>
      <c r="M631" s="8"/>
    </row>
    <row r="632" spans="1:13" s="3" customFormat="1" ht="12.2" customHeight="1" x14ac:dyDescent="0.15">
      <c r="A632" s="21"/>
      <c r="B632" s="22"/>
      <c r="C632" s="22"/>
      <c r="D632" s="22"/>
      <c r="E632" s="22"/>
      <c r="F632" s="86" t="s">
        <v>662</v>
      </c>
      <c r="G632" s="80">
        <f>J194</f>
        <v>304825.61</v>
      </c>
      <c r="H632" s="80">
        <f>SUM(J469)</f>
        <v>304825.61</v>
      </c>
      <c r="I632" s="87" t="s">
        <v>110</v>
      </c>
      <c r="J632" s="80">
        <f>G632-H632</f>
        <v>0</v>
      </c>
      <c r="K632" s="67"/>
      <c r="L632" s="69"/>
      <c r="M632" s="8"/>
    </row>
    <row r="633" spans="1:13" s="3" customFormat="1" ht="12.2" customHeight="1" x14ac:dyDescent="0.15">
      <c r="A633" s="21"/>
      <c r="B633" s="22"/>
      <c r="C633" s="22"/>
      <c r="D633" s="22"/>
      <c r="E633" s="22"/>
      <c r="F633" s="86" t="s">
        <v>394</v>
      </c>
      <c r="G633" s="80">
        <f>SUM(L272)</f>
        <v>8838898.6954812836</v>
      </c>
      <c r="H633" s="80">
        <f>SUM(F473)</f>
        <v>8838898.6999999993</v>
      </c>
      <c r="I633" s="87" t="s">
        <v>111</v>
      </c>
      <c r="J633" s="80">
        <f t="shared" si="50"/>
        <v>-4.5187156647443771E-3</v>
      </c>
      <c r="K633" s="67"/>
      <c r="L633" s="69"/>
      <c r="M633" s="8"/>
    </row>
    <row r="634" spans="1:13" s="3" customFormat="1" ht="12.2" customHeight="1" x14ac:dyDescent="0.15">
      <c r="A634" s="21"/>
      <c r="B634" s="22"/>
      <c r="C634" s="22"/>
      <c r="D634" s="22"/>
      <c r="E634" s="22"/>
      <c r="F634" s="86" t="s">
        <v>395</v>
      </c>
      <c r="G634" s="80">
        <f>SUM(L353)</f>
        <v>448943.10000000003</v>
      </c>
      <c r="H634" s="80">
        <f>SUM(H473)</f>
        <v>448943.1</v>
      </c>
      <c r="I634" s="87" t="s">
        <v>112</v>
      </c>
      <c r="J634" s="80">
        <f>G634-H634</f>
        <v>0</v>
      </c>
      <c r="K634" s="67"/>
      <c r="L634" s="69"/>
      <c r="M634" s="8"/>
    </row>
    <row r="635" spans="1:13" s="124" customFormat="1" ht="12.2" customHeight="1" x14ac:dyDescent="0.15">
      <c r="A635" s="21"/>
      <c r="B635" s="22"/>
      <c r="C635" s="22"/>
      <c r="D635" s="22"/>
      <c r="E635" s="22"/>
      <c r="F635" s="99" t="s">
        <v>247</v>
      </c>
      <c r="G635" s="80">
        <f>I363</f>
        <v>94828.18</v>
      </c>
      <c r="H635" s="80">
        <f>I370</f>
        <v>94828.18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231167.95</v>
      </c>
      <c r="H636" s="80">
        <f>SUM(G473)</f>
        <v>231167.95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519400.95</v>
      </c>
      <c r="H637" s="80">
        <f>SUM(I473)</f>
        <v>519400.95</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304825.61</v>
      </c>
      <c r="H638" s="108">
        <f>SUM(J469)</f>
        <v>304825.61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82000</v>
      </c>
      <c r="H639" s="108">
        <f>SUM(J473)</f>
        <v>82000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1033954.07</v>
      </c>
      <c r="H640" s="80">
        <f>SUM(F462)</f>
        <v>1033954.07</v>
      </c>
      <c r="I640" s="87" t="s">
        <v>840</v>
      </c>
      <c r="J640" s="80">
        <f t="shared" si="50"/>
        <v>0</v>
      </c>
      <c r="K640" s="67"/>
      <c r="L640" s="69"/>
      <c r="M640" s="8"/>
    </row>
    <row r="641" spans="1:13" s="3" customFormat="1" ht="12.2" customHeight="1" x14ac:dyDescent="0.15">
      <c r="A641" s="21"/>
      <c r="B641" s="22"/>
      <c r="C641" s="22"/>
      <c r="D641" s="22"/>
      <c r="E641" s="22"/>
      <c r="F641" s="86" t="s">
        <v>119</v>
      </c>
      <c r="G641" s="80">
        <f>SUM(G447)</f>
        <v>270444.09000000003</v>
      </c>
      <c r="H641" s="80">
        <f>SUM(G462)</f>
        <v>270444.09000000003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1304398.1599999999</v>
      </c>
      <c r="H643" s="80">
        <f>SUM(I462)</f>
        <v>1304398.1599999999</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174164.61</v>
      </c>
      <c r="H645" s="80">
        <f>H409</f>
        <v>174164.61</v>
      </c>
      <c r="I645" s="87" t="s">
        <v>480</v>
      </c>
      <c r="J645" s="80">
        <f t="shared" si="50"/>
        <v>0</v>
      </c>
      <c r="K645" s="67"/>
      <c r="L645" s="69"/>
      <c r="M645" s="8"/>
    </row>
    <row r="646" spans="1:13" s="3" customFormat="1" ht="12.2" customHeight="1" x14ac:dyDescent="0.15">
      <c r="A646" s="21"/>
      <c r="B646" s="22"/>
      <c r="C646" s="22"/>
      <c r="D646" s="22"/>
      <c r="E646" s="22"/>
      <c r="F646" s="86" t="s">
        <v>664</v>
      </c>
      <c r="G646" s="80">
        <f>J184</f>
        <v>130661</v>
      </c>
      <c r="H646" s="80">
        <f>G409</f>
        <v>130661</v>
      </c>
      <c r="I646" s="87" t="s">
        <v>481</v>
      </c>
      <c r="J646" s="80">
        <f t="shared" si="50"/>
        <v>0</v>
      </c>
      <c r="K646" s="67"/>
      <c r="L646" s="69"/>
      <c r="M646" s="8"/>
    </row>
    <row r="647" spans="1:13" s="3" customFormat="1" ht="12.2" customHeight="1" x14ac:dyDescent="0.15">
      <c r="A647" s="21"/>
      <c r="B647" s="22"/>
      <c r="C647" s="22"/>
      <c r="D647" s="22"/>
      <c r="E647" s="22"/>
      <c r="F647" s="86" t="s">
        <v>662</v>
      </c>
      <c r="G647" s="80">
        <f>J194</f>
        <v>304825.61</v>
      </c>
      <c r="H647" s="80">
        <f>L409</f>
        <v>304825.61</v>
      </c>
      <c r="I647" s="87" t="s">
        <v>477</v>
      </c>
      <c r="J647" s="80">
        <f t="shared" si="50"/>
        <v>0</v>
      </c>
      <c r="K647" s="67"/>
      <c r="L647" s="69"/>
      <c r="M647" s="8"/>
    </row>
    <row r="648" spans="1:13" s="3" customFormat="1" ht="12.2" customHeight="1" x14ac:dyDescent="0.15">
      <c r="A648" s="21"/>
      <c r="B648" s="22"/>
      <c r="C648" s="22"/>
      <c r="D648" s="22"/>
      <c r="E648" s="22"/>
      <c r="F648" s="86" t="s">
        <v>51</v>
      </c>
      <c r="G648" s="80">
        <f>K599</f>
        <v>274040.13</v>
      </c>
      <c r="H648" s="80">
        <f>L209+L227+L245</f>
        <v>274040.13</v>
      </c>
      <c r="I648" s="87" t="s">
        <v>396</v>
      </c>
      <c r="J648" s="80">
        <f t="shared" si="50"/>
        <v>0</v>
      </c>
      <c r="K648" s="67"/>
      <c r="L648" s="69"/>
      <c r="M648" s="8"/>
    </row>
    <row r="649" spans="1:13" s="3" customFormat="1" ht="12.2" customHeight="1" x14ac:dyDescent="0.15">
      <c r="A649" s="21"/>
      <c r="B649" s="22"/>
      <c r="C649" s="22"/>
      <c r="D649" s="22"/>
      <c r="E649" s="22"/>
      <c r="F649" s="86" t="s">
        <v>52</v>
      </c>
      <c r="G649" s="80">
        <f>K606</f>
        <v>186923.37</v>
      </c>
      <c r="H649" s="80">
        <f>(J258+J339)-(J256+J337)</f>
        <v>186923.37</v>
      </c>
      <c r="I649" s="87" t="s">
        <v>699</v>
      </c>
      <c r="J649" s="80">
        <f t="shared" si="50"/>
        <v>0</v>
      </c>
      <c r="K649" s="67"/>
      <c r="L649" s="69"/>
      <c r="M649" s="8"/>
    </row>
    <row r="650" spans="1:13" s="3" customFormat="1" ht="12.2" customHeight="1" x14ac:dyDescent="0.15">
      <c r="A650" s="21"/>
      <c r="B650" s="22"/>
      <c r="C650" s="22"/>
      <c r="D650" s="22"/>
      <c r="E650" s="22"/>
      <c r="F650" s="86" t="s">
        <v>387</v>
      </c>
      <c r="G650" s="80">
        <f>L209</f>
        <v>92144.48</v>
      </c>
      <c r="H650" s="80">
        <f>H599</f>
        <v>92144.48000000001</v>
      </c>
      <c r="I650" s="87" t="s">
        <v>388</v>
      </c>
      <c r="J650" s="80">
        <f t="shared" si="50"/>
        <v>0</v>
      </c>
      <c r="K650" s="67"/>
      <c r="L650" s="69"/>
      <c r="M650" s="8"/>
    </row>
    <row r="651" spans="1:13" s="3" customFormat="1" ht="12.2" customHeight="1" x14ac:dyDescent="0.15">
      <c r="A651" s="21"/>
      <c r="B651" s="22"/>
      <c r="C651" s="22"/>
      <c r="D651" s="22"/>
      <c r="E651" s="22"/>
      <c r="F651" s="86" t="s">
        <v>392</v>
      </c>
      <c r="G651" s="80">
        <f>L227</f>
        <v>60718.68</v>
      </c>
      <c r="H651" s="80">
        <f>I599</f>
        <v>60718.680000000008</v>
      </c>
      <c r="I651" s="87" t="s">
        <v>389</v>
      </c>
      <c r="J651" s="80">
        <f t="shared" si="50"/>
        <v>0</v>
      </c>
      <c r="K651" s="67"/>
      <c r="L651" s="69"/>
      <c r="M651" s="8"/>
    </row>
    <row r="652" spans="1:13" s="3" customFormat="1" ht="12.2" customHeight="1" x14ac:dyDescent="0.15">
      <c r="A652" s="21"/>
      <c r="B652" s="22"/>
      <c r="C652" s="22"/>
      <c r="D652" s="22"/>
      <c r="E652" s="22"/>
      <c r="F652" s="86" t="s">
        <v>393</v>
      </c>
      <c r="G652" s="80">
        <f>L245</f>
        <v>121176.97</v>
      </c>
      <c r="H652" s="80">
        <f>J599</f>
        <v>121176.96999999999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18892.04</v>
      </c>
      <c r="H653" s="80">
        <f>K264+K346</f>
        <v>18892.039999999997</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314025.95</v>
      </c>
      <c r="H655" s="80">
        <f>K266+K347</f>
        <v>314025.95</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130661</v>
      </c>
      <c r="H656" s="80">
        <f>K267+K348</f>
        <v>130661</v>
      </c>
      <c r="I656" s="87" t="s">
        <v>400</v>
      </c>
      <c r="J656" s="80">
        <f t="shared" si="50"/>
        <v>0</v>
      </c>
      <c r="K656" s="67"/>
      <c r="L656" s="69"/>
      <c r="M656" s="9"/>
    </row>
    <row r="657" spans="1:13" s="3" customFormat="1" ht="12.2" customHeight="1" x14ac:dyDescent="0.15">
      <c r="F657" s="25" t="s">
        <v>122</v>
      </c>
      <c r="G657" s="13"/>
      <c r="H657" s="80">
        <f>SUM(G618:G656)-SUM(H618:H656)</f>
        <v>-4.5187175273895264E-3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3798812.1799999997</v>
      </c>
      <c r="G661" s="13">
        <f>(L230+L310+L360)</f>
        <v>1803809.6337967918</v>
      </c>
      <c r="H661" s="13">
        <f>(L248+L329+L361)</f>
        <v>3434314.8016844927</v>
      </c>
      <c r="I661" s="13">
        <f>SUM(F661:H661)</f>
        <v>9036936.6154812835</v>
      </c>
      <c r="J661" s="13"/>
      <c r="K661" s="13"/>
      <c r="L661" s="13"/>
      <c r="M661" s="9"/>
    </row>
    <row r="662" spans="1:13" s="3" customFormat="1" ht="12.2" customHeight="1" x14ac:dyDescent="0.2">
      <c r="A662" s="1" t="s">
        <v>127</v>
      </c>
      <c r="F662" s="13">
        <f>(L359/IF(SUM(L359:L361)=0,1,SUM(L359:L361))*(SUM(G97:G110)))</f>
        <v>50151.79767553071</v>
      </c>
      <c r="G662" s="13">
        <f>(L360/IF(SUM(L359:L361)=0,1,SUM(L359:L361))*(SUM(G97:G110)))</f>
        <v>28368.562904196711</v>
      </c>
      <c r="H662" s="13">
        <f>(L361/IF(SUM(L359:L361)=0,1,SUM(L359:L361))*(SUM(G97:G110)))</f>
        <v>42558.079420272574</v>
      </c>
      <c r="I662" s="13">
        <f>SUM(F662:H662)</f>
        <v>121078.44</v>
      </c>
      <c r="J662"/>
      <c r="K662" s="13"/>
      <c r="L662" s="13"/>
      <c r="M662" s="8"/>
    </row>
    <row r="663" spans="1:13" s="3" customFormat="1" ht="12.2" customHeight="1" x14ac:dyDescent="0.2">
      <c r="A663" s="1" t="s">
        <v>128</v>
      </c>
      <c r="F663" s="13">
        <f>(L209+L288)-(J209+J288)</f>
        <v>68744.479999999996</v>
      </c>
      <c r="G663" s="13">
        <f>(L227+L307)-(J227+J307)</f>
        <v>46678.68</v>
      </c>
      <c r="H663" s="13">
        <f>(L245+L326)-(J245+J326)</f>
        <v>100116.97</v>
      </c>
      <c r="I663" s="13">
        <f>SUM(F663:H663)</f>
        <v>215540.13</v>
      </c>
      <c r="J663"/>
      <c r="K663" s="13"/>
      <c r="L663" s="13"/>
      <c r="M663" s="9"/>
    </row>
    <row r="664" spans="1:13" s="3" customFormat="1" ht="12.2" customHeight="1" x14ac:dyDescent="0.15">
      <c r="A664" s="142" t="s">
        <v>129</v>
      </c>
      <c r="B664" s="124"/>
      <c r="C664" s="124"/>
      <c r="D664" s="124"/>
      <c r="E664" s="124"/>
      <c r="F664" s="143">
        <f>SUM(F576:F588)+SUM(H603:H605)+SUM(L612)</f>
        <v>606083.37200000009</v>
      </c>
      <c r="G664" s="143">
        <f>SUM(G576:G588)+SUM(I603:I605)+L613</f>
        <v>44194.21</v>
      </c>
      <c r="H664" s="143">
        <f>SUM(H576:H588)+SUM(J603:J605)+L614</f>
        <v>356174.46</v>
      </c>
      <c r="I664" s="13">
        <f>SUM(F664:H664)</f>
        <v>1006452.0420000001</v>
      </c>
      <c r="J664" s="13"/>
      <c r="K664" s="13"/>
      <c r="L664" s="13"/>
      <c r="M664" s="9"/>
    </row>
    <row r="665" spans="1:13" s="3" customFormat="1" ht="12.2" customHeight="1" x14ac:dyDescent="0.15">
      <c r="A665" s="1" t="s">
        <v>130</v>
      </c>
      <c r="F665" s="13">
        <f>F661-SUM(F662:F664)</f>
        <v>3073832.5303244689</v>
      </c>
      <c r="G665" s="13">
        <f>G661-SUM(G662:G664)</f>
        <v>1684568.1808925951</v>
      </c>
      <c r="H665" s="13">
        <f>H661-SUM(H662:H664)</f>
        <v>2935465.2922642203</v>
      </c>
      <c r="I665" s="13">
        <f>I661-SUM(I662:I664)</f>
        <v>7693866.0034812838</v>
      </c>
      <c r="J665" s="13"/>
      <c r="K665" s="13"/>
      <c r="L665" s="13"/>
      <c r="M665" s="8"/>
    </row>
    <row r="666" spans="1:13" s="3" customFormat="1" ht="12.2" customHeight="1" x14ac:dyDescent="0.2">
      <c r="A666" s="1" t="s">
        <v>131</v>
      </c>
      <c r="F666" s="183">
        <v>152.93</v>
      </c>
      <c r="G666" s="184">
        <v>94.48</v>
      </c>
      <c r="H666" s="184">
        <v>135.55000000000001</v>
      </c>
      <c r="I666" s="13">
        <f>SUM(F666:H666)</f>
        <v>382.96000000000004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20099.599999999999</v>
      </c>
      <c r="G668" s="13">
        <f>ROUND(G665/G666,2)</f>
        <v>17829.89</v>
      </c>
      <c r="H668" s="13">
        <f>ROUND(H665/H666,2)</f>
        <v>21655.96</v>
      </c>
      <c r="I668" s="13">
        <f>ROUND(I665/I666,2)</f>
        <v>20090.52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-6.56</v>
      </c>
      <c r="I671" s="13">
        <f>SUM(F671:H671)</f>
        <v>-6.56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20099.599999999999</v>
      </c>
      <c r="G673" s="13">
        <f>ROUND((G665+G670)/(G666+G671),2)</f>
        <v>17829.89</v>
      </c>
      <c r="H673" s="13">
        <f>ROUND((H665+H670)/(H666+H671),2)</f>
        <v>22757.31</v>
      </c>
      <c r="I673" s="13">
        <f>ROUND((I665+I670)/(I666+I671),2)</f>
        <v>20440.66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1" right="1" top="1" bottom="1"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9" sqref="E29"/>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30753.54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20002.689999999999</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10750.85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Gorham Randolph Shelburne Cooperative</v>
      </c>
      <c r="C5" s="317"/>
      <c r="D5" s="317"/>
      <c r="E5" s="317"/>
      <c r="F5" s="317"/>
    </row>
    <row r="8" spans="1:9" ht="18" x14ac:dyDescent="0.25">
      <c r="A8" s="240" t="s">
        <v>1560</v>
      </c>
      <c r="F8" s="247" t="s">
        <v>1578</v>
      </c>
    </row>
    <row r="9" spans="1:9" ht="15" x14ac:dyDescent="0.2">
      <c r="A9" s="238" t="s">
        <v>1561</v>
      </c>
      <c r="B9" s="241">
        <f>'DOE25'!G97</f>
        <v>121078.44</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110089.51</v>
      </c>
      <c r="F12" s="238" t="s">
        <v>1577</v>
      </c>
    </row>
    <row r="13" spans="1:9" ht="15" x14ac:dyDescent="0.2">
      <c r="A13" s="238" t="s">
        <v>1565</v>
      </c>
      <c r="B13" s="241">
        <f>'DOE25'!G193-'DOE25'!G180</f>
        <v>0</v>
      </c>
      <c r="F13" s="238" t="s">
        <v>1587</v>
      </c>
    </row>
    <row r="14" spans="1:9" ht="18" x14ac:dyDescent="0.25">
      <c r="A14" s="240" t="s">
        <v>732</v>
      </c>
      <c r="B14" s="242">
        <f>SUM(B9:B13)</f>
        <v>231167.95</v>
      </c>
    </row>
    <row r="16" spans="1:9" ht="18" x14ac:dyDescent="0.25">
      <c r="A16" s="240" t="s">
        <v>786</v>
      </c>
      <c r="F16" s="247" t="s">
        <v>1579</v>
      </c>
    </row>
    <row r="17" spans="1:6" ht="15" x14ac:dyDescent="0.2">
      <c r="A17" s="238" t="s">
        <v>1566</v>
      </c>
      <c r="B17" s="241">
        <f>'DOE25'!L363-'DOE25'!L362</f>
        <v>231167.95</v>
      </c>
      <c r="F17" s="238" t="s">
        <v>1580</v>
      </c>
    </row>
    <row r="18" spans="1:6" ht="15" x14ac:dyDescent="0.2">
      <c r="A18" s="238" t="s">
        <v>1567</v>
      </c>
      <c r="B18" s="251"/>
      <c r="F18" s="247" t="s">
        <v>1604</v>
      </c>
    </row>
    <row r="19" spans="1:6" ht="18" x14ac:dyDescent="0.25">
      <c r="A19" s="240" t="s">
        <v>725</v>
      </c>
      <c r="B19" s="242">
        <f>SUM(B17:B18)</f>
        <v>231167.95</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18892.04</v>
      </c>
      <c r="F27" s="238" t="s">
        <v>1582</v>
      </c>
    </row>
    <row r="28" spans="1:6" ht="15" x14ac:dyDescent="0.2">
      <c r="A28" s="238" t="s">
        <v>1572</v>
      </c>
      <c r="B28" s="241">
        <f>'DOE25'!L362</f>
        <v>0</v>
      </c>
      <c r="F28" s="238" t="s">
        <v>1583</v>
      </c>
    </row>
    <row r="31" spans="1:6" ht="15" x14ac:dyDescent="0.2">
      <c r="A31" s="238" t="s">
        <v>1797</v>
      </c>
      <c r="B31" s="241">
        <f>'DOE25'!G466</f>
        <v>48783.63</v>
      </c>
      <c r="F31" s="238" t="s">
        <v>1584</v>
      </c>
    </row>
    <row r="33" spans="1:6" ht="15" x14ac:dyDescent="0.2">
      <c r="A33" s="238" t="s">
        <v>1798</v>
      </c>
      <c r="B33" s="241">
        <f>'DOE25'!G477</f>
        <v>68678.719999999972</v>
      </c>
      <c r="F33" s="238" t="s">
        <v>1585</v>
      </c>
    </row>
    <row r="36" spans="1:6" ht="15" x14ac:dyDescent="0.2">
      <c r="A36" s="238" t="s">
        <v>1571</v>
      </c>
      <c r="B36" s="252">
        <f>457.5+487.5</f>
        <v>945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46" sqref="E4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Gorham Randolph Shelburne Cooperative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2080876.1400000001</v>
      </c>
      <c r="C9" s="167">
        <f>'DOE25'!G198+'DOE25'!G216+'DOE25'!G234+'DOE25'!G277+'DOE25'!G296+'DOE25'!G315</f>
        <v>1053823.1599999999</v>
      </c>
    </row>
    <row r="10" spans="1:3" x14ac:dyDescent="0.2">
      <c r="A10" t="s">
        <v>775</v>
      </c>
      <c r="B10" s="177">
        <v>1799145.51</v>
      </c>
      <c r="C10" s="177">
        <f>137634.63+353352.17+527220.2</f>
        <v>1018207</v>
      </c>
    </row>
    <row r="11" spans="1:3" x14ac:dyDescent="0.2">
      <c r="A11" t="s">
        <v>776</v>
      </c>
      <c r="B11" s="177">
        <f>36328.68+183463.35</f>
        <v>219792.03</v>
      </c>
      <c r="C11" s="177">
        <f>16814.09+520.83+13542.85</f>
        <v>30877.770000000004</v>
      </c>
    </row>
    <row r="12" spans="1:3" x14ac:dyDescent="0.2">
      <c r="A12" t="s">
        <v>777</v>
      </c>
      <c r="B12" s="177">
        <v>61938.6</v>
      </c>
      <c r="C12" s="177">
        <v>4738.3900000000003</v>
      </c>
    </row>
    <row r="13" spans="1:3" x14ac:dyDescent="0.2">
      <c r="A13" t="str">
        <f>IF(B9=B13,IF(C9=C13,"Check Total OK","Check Total Error"),"Check Total Error")</f>
        <v>Check Total OK</v>
      </c>
      <c r="B13" s="169">
        <f>SUM(B10:B12)</f>
        <v>2080876.1400000001</v>
      </c>
      <c r="C13" s="169">
        <f>SUM(C10:C12)</f>
        <v>1053823.1599999999</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789922.02999999991</v>
      </c>
      <c r="C18" s="167">
        <f>'DOE25'!G199+'DOE25'!G217+'DOE25'!G235+'DOE25'!G278+'DOE25'!G297+'DOE25'!G316</f>
        <v>408214.79000000004</v>
      </c>
    </row>
    <row r="19" spans="1:3" x14ac:dyDescent="0.2">
      <c r="A19" t="s">
        <v>775</v>
      </c>
      <c r="B19" s="177">
        <v>344945.45</v>
      </c>
      <c r="C19" s="177">
        <f>26388.32+67747.28+117444.69</f>
        <v>211580.29</v>
      </c>
    </row>
    <row r="20" spans="1:3" x14ac:dyDescent="0.2">
      <c r="A20" t="s">
        <v>776</v>
      </c>
      <c r="B20" s="177">
        <v>405825.88</v>
      </c>
      <c r="C20" s="177">
        <f>31045.68+6670.14+155923.66</f>
        <v>193639.48</v>
      </c>
    </row>
    <row r="21" spans="1:3" x14ac:dyDescent="0.2">
      <c r="A21" t="s">
        <v>777</v>
      </c>
      <c r="B21" s="177">
        <v>39150.699999999997</v>
      </c>
      <c r="C21" s="177">
        <v>2995.02</v>
      </c>
    </row>
    <row r="22" spans="1:3" x14ac:dyDescent="0.2">
      <c r="A22" t="str">
        <f>IF(B18=B22,IF(C18=C22,"Check Total OK","Check Total Error"),"Check Total Error")</f>
        <v>Check Total OK</v>
      </c>
      <c r="B22" s="169">
        <f>SUM(B19:B21)</f>
        <v>789922.03</v>
      </c>
      <c r="C22" s="169">
        <f>SUM(C19:C21)</f>
        <v>408214.79000000004</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114092.81</v>
      </c>
      <c r="C36" s="173">
        <f>'DOE25'!G201+'DOE25'!G219+'DOE25'!G237+'DOE25'!G280+'DOE25'!G299+'DOE25'!G318</f>
        <v>20070.27</v>
      </c>
    </row>
    <row r="37" spans="1:3" x14ac:dyDescent="0.2">
      <c r="A37" t="s">
        <v>775</v>
      </c>
      <c r="B37" s="177">
        <v>112499.48</v>
      </c>
      <c r="C37" s="177">
        <f>8606.21+11342.17</f>
        <v>19948.379999999997</v>
      </c>
    </row>
    <row r="38" spans="1:3" x14ac:dyDescent="0.2">
      <c r="A38" t="s">
        <v>776</v>
      </c>
      <c r="B38" s="177">
        <v>1593.33</v>
      </c>
      <c r="C38" s="177">
        <v>121.89</v>
      </c>
    </row>
    <row r="39" spans="1:3" x14ac:dyDescent="0.2">
      <c r="A39" t="s">
        <v>777</v>
      </c>
      <c r="B39" s="177"/>
      <c r="C39" s="177"/>
    </row>
    <row r="40" spans="1:3" x14ac:dyDescent="0.2">
      <c r="A40" t="str">
        <f>IF(B36=B40,IF(C36=C40,"Check Total OK","Check Total Error"),"Check Total Error")</f>
        <v>Check Total OK</v>
      </c>
      <c r="B40" s="169">
        <f>SUM(B37:B39)</f>
        <v>114092.81</v>
      </c>
      <c r="C40" s="169">
        <f>SUM(C37:C39)</f>
        <v>20070.269999999997</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30" zoomScaleNormal="130" workbookViewId="0">
      <pane ySplit="4" topLeftCell="A13" activePane="bottomLeft" state="frozen"/>
      <selection activeCell="F46" sqref="F46"/>
      <selection pane="bottomLeft" activeCell="K25" sqref="K2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Gorham Randolph Shelburne Cooperative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5300554.9800000004</v>
      </c>
      <c r="D5" s="19">
        <f>SUM('DOE25'!L198:L201)+SUM('DOE25'!L216:L219)+SUM('DOE25'!L234:L237)-F5-G5-H5</f>
        <v>5205877.71</v>
      </c>
      <c r="E5" s="180"/>
      <c r="F5" s="181">
        <v>18762.45</v>
      </c>
      <c r="G5" s="19">
        <f>SUM('DOE25'!J198:J201)+SUM('DOE25'!J216:J219)+SUM('DOE25'!J234:J237)</f>
        <v>59477.45</v>
      </c>
      <c r="H5" s="19">
        <f>SUM('DOE25'!K198:K201)+SUM('DOE25'!K216:K219)+SUM('DOE25'!K234:K237)</f>
        <v>16437.37</v>
      </c>
      <c r="I5" s="192"/>
    </row>
    <row r="6" spans="1:9" x14ac:dyDescent="0.2">
      <c r="A6" s="31">
        <v>2100</v>
      </c>
      <c r="B6" t="s">
        <v>796</v>
      </c>
      <c r="C6" s="206">
        <f t="shared" si="0"/>
        <v>844826.51</v>
      </c>
      <c r="D6" s="19">
        <f>'DOE25'!L203+'DOE25'!L221+'DOE25'!L239-F6-G6-H6</f>
        <v>765229.27</v>
      </c>
      <c r="E6" s="180"/>
      <c r="F6" s="181">
        <v>76570.27</v>
      </c>
      <c r="G6" s="19">
        <f>'DOE25'!J203+'DOE25'!J221+'DOE25'!J239</f>
        <v>2236.9699999999998</v>
      </c>
      <c r="H6" s="19">
        <f>'DOE25'!K203+'DOE25'!K221+'DOE25'!K239</f>
        <v>790</v>
      </c>
      <c r="I6" s="192"/>
    </row>
    <row r="7" spans="1:9" x14ac:dyDescent="0.2">
      <c r="A7" s="31">
        <v>2200</v>
      </c>
      <c r="B7" t="s">
        <v>820</v>
      </c>
      <c r="C7" s="206">
        <f t="shared" si="0"/>
        <v>261051.41000000003</v>
      </c>
      <c r="D7" s="19">
        <f>'DOE25'!L204+'DOE25'!L222+'DOE25'!L240-F7-G7-H7</f>
        <v>229944.32000000004</v>
      </c>
      <c r="E7" s="180"/>
      <c r="F7" s="181"/>
      <c r="G7" s="19">
        <f>'DOE25'!J204+'DOE25'!J222+'DOE25'!J240</f>
        <v>25963.659999999996</v>
      </c>
      <c r="H7" s="19">
        <f>'DOE25'!K204+'DOE25'!K222+'DOE25'!K240</f>
        <v>5143.4299999999994</v>
      </c>
      <c r="I7" s="192"/>
    </row>
    <row r="8" spans="1:9" x14ac:dyDescent="0.2">
      <c r="A8" s="31">
        <v>2300</v>
      </c>
      <c r="B8" t="s">
        <v>797</v>
      </c>
      <c r="C8" s="206">
        <f t="shared" si="0"/>
        <v>609478.9254812838</v>
      </c>
      <c r="D8" s="180"/>
      <c r="E8" s="19">
        <f>'DOE25'!L205+'DOE25'!L223+'DOE25'!L241-F8-G8-H8-D9-D11</f>
        <v>605452.84852941218</v>
      </c>
      <c r="F8" s="181"/>
      <c r="G8" s="19">
        <f>'DOE25'!J205+'DOE25'!J223+'DOE25'!J241</f>
        <v>0</v>
      </c>
      <c r="H8" s="19">
        <f>'DOE25'!K205+'DOE25'!K223+'DOE25'!K241</f>
        <v>4026.0769518716575</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488957.47</v>
      </c>
      <c r="D12" s="19">
        <f>'DOE25'!L206+'DOE25'!L224+'DOE25'!L242-F12-G12-H12</f>
        <v>473227.27999999997</v>
      </c>
      <c r="E12" s="180"/>
      <c r="F12" s="181"/>
      <c r="G12" s="19">
        <f>'DOE25'!J206+'DOE25'!J224+'DOE25'!J242</f>
        <v>306.19</v>
      </c>
      <c r="H12" s="19">
        <f>'DOE25'!K206+'DOE25'!K224+'DOE25'!K242</f>
        <v>15424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596410.28</v>
      </c>
      <c r="D14" s="19">
        <f>'DOE25'!L208+'DOE25'!L226+'DOE25'!L244-F14-G14-H14</f>
        <v>583244.18000000005</v>
      </c>
      <c r="E14" s="180"/>
      <c r="F14" s="181"/>
      <c r="G14" s="19">
        <f>'DOE25'!J208+'DOE25'!J226+'DOE25'!J244</f>
        <v>13166.1</v>
      </c>
      <c r="H14" s="19">
        <f>'DOE25'!K208+'DOE25'!K226+'DOE25'!K244</f>
        <v>0</v>
      </c>
      <c r="I14" s="192"/>
    </row>
    <row r="15" spans="1:9" x14ac:dyDescent="0.2">
      <c r="A15" s="31">
        <v>2700</v>
      </c>
      <c r="B15" t="s">
        <v>799</v>
      </c>
      <c r="C15" s="206">
        <f t="shared" si="0"/>
        <v>274040.13</v>
      </c>
      <c r="D15" s="19">
        <f>'DOE25'!L209+'DOE25'!L227+'DOE25'!L245-F15-G15-H15</f>
        <v>190520.34</v>
      </c>
      <c r="E15" s="180"/>
      <c r="F15" s="181">
        <v>24484.79</v>
      </c>
      <c r="G15" s="19">
        <f>'DOE25'!J209+'DOE25'!J227+'DOE25'!J245</f>
        <v>58500</v>
      </c>
      <c r="H15" s="19">
        <f>'DOE25'!K209+'DOE25'!K227+'DOE25'!K245</f>
        <v>535</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136706.21000000002</v>
      </c>
      <c r="D29" s="212">
        <f>'DOE25'!L359+'DOE25'!L360+'DOE25'!L361-'DOE25'!I368-F29-G29-H29-F39</f>
        <v>136706.21000000002</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430448.96</v>
      </c>
      <c r="D31" s="19">
        <f>'DOE25'!L291+'DOE25'!L310+'DOE25'!L329+'DOE25'!L334+'DOE25'!L335+'DOE25'!L336-F31-G31-H31</f>
        <v>397692.59</v>
      </c>
      <c r="E31" s="180"/>
      <c r="F31" s="181"/>
      <c r="G31" s="19">
        <f>'DOE25'!J291+'DOE25'!J310+'DOE25'!J329+'DOE25'!J334+'DOE25'!J335+'DOE25'!J336</f>
        <v>27273</v>
      </c>
      <c r="H31" s="19">
        <f>'DOE25'!K291+'DOE25'!K310+'DOE25'!K329+'DOE25'!K334+'DOE25'!K335+'DOE25'!K336</f>
        <v>5483.37</v>
      </c>
      <c r="I31" s="192"/>
    </row>
    <row r="32" spans="1:9" ht="12" thickBot="1" x14ac:dyDescent="0.25">
      <c r="C32" s="207"/>
      <c r="G32" s="188"/>
      <c r="H32" s="188"/>
      <c r="I32" s="194"/>
    </row>
    <row r="33" spans="1:9" ht="12" thickTop="1" x14ac:dyDescent="0.2">
      <c r="B33" t="s">
        <v>809</v>
      </c>
      <c r="D33" s="182">
        <f t="shared" ref="D33:I33" si="1">SUM(D5:D31)</f>
        <v>7982441.9000000004</v>
      </c>
      <c r="E33" s="182">
        <f t="shared" si="1"/>
        <v>605452.84852941218</v>
      </c>
      <c r="F33" s="182">
        <f t="shared" si="1"/>
        <v>119817.51000000001</v>
      </c>
      <c r="G33" s="182">
        <f t="shared" si="1"/>
        <v>186923.37</v>
      </c>
      <c r="H33" s="182">
        <f t="shared" si="1"/>
        <v>47839.246951871661</v>
      </c>
      <c r="I33" s="182">
        <f t="shared" si="1"/>
        <v>0</v>
      </c>
    </row>
    <row r="34" spans="1:9" ht="12" thickBot="1" x14ac:dyDescent="0.25"/>
    <row r="35" spans="1:9" ht="12" thickBot="1" x14ac:dyDescent="0.25">
      <c r="B35" s="188" t="s">
        <v>830</v>
      </c>
      <c r="D35" s="189">
        <f>E33</f>
        <v>605452.84852941218</v>
      </c>
      <c r="E35" s="185"/>
      <c r="F35" s="295" t="s">
        <v>1608</v>
      </c>
      <c r="G35" s="296"/>
      <c r="H35" s="296"/>
      <c r="I35" s="297"/>
    </row>
    <row r="36" spans="1:9" ht="12" thickTop="1" x14ac:dyDescent="0.2">
      <c r="B36" t="s">
        <v>810</v>
      </c>
      <c r="D36" s="19">
        <f>D33</f>
        <v>7982441.9000000004</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110" zoomScaleNormal="110" workbookViewId="0">
      <selection activeCell="F57" sqref="F5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Gorham Randolph Shelburne Cooperative</v>
      </c>
      <c r="B2">
        <f>'DOE25'!B2</f>
        <v>203</v>
      </c>
      <c r="J2" s="224" t="s">
        <v>1808</v>
      </c>
      <c r="K2" s="309">
        <f>SUM('DOE25'!L198:L201)+SUM('DOE25'!L216:L219)+SUM('DOE25'!L234:L237)+SUM('DOE25'!L277:L280)+SUM('DOE25'!L296:L299)+SUM('DOE25'!L315:L318)</f>
        <v>5644774.9800000004</v>
      </c>
      <c r="L2" s="309">
        <f>'DOE25'!L203+'DOE25'!L221+'DOE25'!L239+'DOE25'!L282+'DOE25'!L301+'DOE25'!L320</f>
        <v>844826.51</v>
      </c>
      <c r="M2" s="309">
        <f>'DOE25'!L204+'DOE25'!L222+'DOE25'!L240+'DOE25'!L283+'DOE25'!L302+'DOE25'!L321</f>
        <v>303326.79000000004</v>
      </c>
      <c r="N2" s="309">
        <f>'DOE25'!L206+'DOE25'!L224+'DOE25'!L242+'DOE25'!L285+'DOE25'!L304+'DOE25'!L323</f>
        <v>488957.47</v>
      </c>
      <c r="O2" s="309">
        <f>'Salaries-Benefits'!B10+'Salaries-Benefits'!B12+'Salaries-Benefits'!B19+'Salaries-Benefits'!B21+'Salaries-Benefits'!B28+'Salaries-Benefits'!B30+'Salaries-Benefits'!B37+'Salaries-Benefits'!B39</f>
        <v>2357679.7400000002</v>
      </c>
      <c r="P2" s="309">
        <f>'Salaries-Benefits'!B11+'Salaries-Benefits'!B20+'Salaries-Benefits'!B29+'Salaries-Benefits'!B38</f>
        <v>627211.24</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-5644774.9800000004</v>
      </c>
      <c r="L3" s="311">
        <f t="shared" ref="L3:P3" si="0">L21+L33+L43-L2</f>
        <v>-844826.51</v>
      </c>
      <c r="M3" s="311">
        <f t="shared" si="0"/>
        <v>-303326.79000000004</v>
      </c>
      <c r="N3" s="311">
        <f t="shared" si="0"/>
        <v>-488957.47</v>
      </c>
      <c r="O3" s="311">
        <f t="shared" si="0"/>
        <v>-2357679.7400000002</v>
      </c>
      <c r="P3" s="311">
        <f t="shared" si="0"/>
        <v>-627211.24</v>
      </c>
      <c r="Q3" s="310"/>
      <c r="R3" s="306"/>
      <c r="S3" s="215"/>
      <c r="T3" s="215"/>
      <c r="U3" s="216"/>
    </row>
    <row r="4" spans="1:21" ht="55.5" customHeight="1" thickBot="1" x14ac:dyDescent="0.25">
      <c r="A4" s="224" t="s">
        <v>1522</v>
      </c>
      <c r="B4" s="224" t="s">
        <v>1523</v>
      </c>
      <c r="C4" s="224" t="s">
        <v>896</v>
      </c>
      <c r="D4" s="224" t="s">
        <v>786</v>
      </c>
      <c r="E4" s="224" t="s">
        <v>786</v>
      </c>
      <c r="F4" s="228">
        <f>SUM(F5:F20)</f>
        <v>3703060.3</v>
      </c>
      <c r="G4" s="229">
        <f>'DOE25'!L212+'DOE25'!L291</f>
        <v>3703060.3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Edward Fenn School</v>
      </c>
      <c r="B6" s="230">
        <f>IFERROR(VLOOKUP(A6,'School Tables'!$C$3:$D$365,2,FALSE),"")</f>
        <v>20745</v>
      </c>
      <c r="C6" s="223" t="str">
        <f>IFERROR(INDEX('School Tables'!$B$3:$B$365,MATCH('School Level Expenditures'!B6,'School Tables'!$D$3:$D$365,0)),"")</f>
        <v>Gorham Randolph Shelburne Cooperative</v>
      </c>
      <c r="D6" s="220">
        <v>3417948.79</v>
      </c>
      <c r="E6" s="220">
        <v>285111.51</v>
      </c>
      <c r="F6" s="232">
        <f t="shared" ref="F6:F20" si="1">D6+E6</f>
        <v>3703060.3</v>
      </c>
      <c r="G6" s="223"/>
      <c r="H6" s="223"/>
      <c r="J6" t="str">
        <f>A6</f>
        <v>Edward Fenn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3417948.79</v>
      </c>
      <c r="E21" s="262">
        <f>SUM(E5:E20)</f>
        <v>285111.51</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1749647.2</v>
      </c>
      <c r="G24" s="229">
        <f>'DOE25'!L230+'DOE25'!L310</f>
        <v>1749647.2037967918</v>
      </c>
      <c r="H24" s="264">
        <f>F24-G24</f>
        <v>-3.7967918906360865E-3</v>
      </c>
      <c r="I24" s="313" t="str">
        <f>IF(H24=0,"","ISSUES!! Please review pages 8 and 12 totals in comparison with total on this page")</f>
        <v>ISSUES!! Please review pages 8 and 12 totals in comparison with total on this page</v>
      </c>
      <c r="J24" s="224" t="s">
        <v>1536</v>
      </c>
      <c r="K24" s="224"/>
      <c r="L24" s="224"/>
      <c r="M24" s="224" t="str">
        <f>IF(H24=0,"","ISSUES!! Please review page 8 and 12 totals in comparison with total on this page")</f>
        <v>ISSUES!! Please review page 8 and 12 totals in comparison with total on this page</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Gorham Middle School</v>
      </c>
      <c r="B26" s="230">
        <f>IFERROR(VLOOKUP(A26,'School Tables'!$N$4:$O$75,2,FALSE),"")</f>
        <v>27005</v>
      </c>
      <c r="C26" s="223" t="str">
        <f>IFERROR(INDEX('School Tables'!$M$4:$M$75,MATCH('School Level Expenditures'!A26,'School Tables'!$N$4:$N$75,0)),"")</f>
        <v>Gorham Randolph Shelburne Cooperative</v>
      </c>
      <c r="D26" s="220">
        <v>1667463.42</v>
      </c>
      <c r="E26" s="220">
        <v>82183.78</v>
      </c>
      <c r="F26" s="232">
        <f t="shared" ref="F26:F32" si="4">D26+E26</f>
        <v>1749647.2</v>
      </c>
      <c r="G26" s="223"/>
      <c r="H26" s="223"/>
      <c r="J26" t="str">
        <f t="shared" ref="J26:J32" si="5">A26</f>
        <v>Gorham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1667463.42</v>
      </c>
      <c r="E33" s="262">
        <f>SUM(E25:E32)</f>
        <v>82183.78</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3353061.16</v>
      </c>
      <c r="G36" s="229">
        <f>'DOE25'!L248+'DOE25'!L329</f>
        <v>3353061.1616844926</v>
      </c>
      <c r="H36" s="264">
        <f>F36-G36</f>
        <v>-1.6844924539327621E-3</v>
      </c>
      <c r="I36" s="313" t="str">
        <f>IF(H36=0,"","ISSUES!! Please review pages 9 and 13 totals in comparison with total on this page")</f>
        <v>ISSUES!! Please review pages 9 and 13 totals in comparison with total on this page</v>
      </c>
      <c r="J36" s="224" t="s">
        <v>1538</v>
      </c>
      <c r="K36" s="224"/>
      <c r="L36" s="224"/>
      <c r="M36" s="224" t="str">
        <f>IF(H36=0,"","ISSUES!! Please review page 9 and 13 totals in comparison with total on this page")</f>
        <v>ISSUES!! Please review page 9 and 13 totals in comparison with total on this page</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Gorham High School</v>
      </c>
      <c r="B38" s="230">
        <f>IFERROR(VLOOKUP(A38,'School Tables'!$Y$4:$Z$100,2,FALSE),"")</f>
        <v>20750</v>
      </c>
      <c r="C38" s="223" t="str">
        <f>IFERROR(INDEX('School Tables'!$X$4:$X$100,MATCH('School Level Expenditures'!A38,'School Tables'!$Y$4:$Y$100,0)),"")</f>
        <v>Gorham Randolph Shelburne Cooperative</v>
      </c>
      <c r="D38" s="220">
        <v>3289907.49</v>
      </c>
      <c r="E38" s="220">
        <v>63153.67</v>
      </c>
      <c r="F38" s="232">
        <f t="shared" si="7"/>
        <v>3353061.16</v>
      </c>
      <c r="G38" s="223"/>
      <c r="H38" s="223"/>
      <c r="J38" t="str">
        <f t="shared" ref="J38:J42" si="8">A38</f>
        <v>Gorham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3289907.49</v>
      </c>
      <c r="E43" s="263">
        <f>SUM(E37:E42)</f>
        <v>63153.67</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Gorham Randolph Shelburne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0</v>
      </c>
      <c r="D8" s="73">
        <f>'DOE25'!G9</f>
        <v>0</v>
      </c>
      <c r="E8" s="73">
        <f>'DOE25'!H9</f>
        <v>0</v>
      </c>
      <c r="F8" s="73">
        <f>'DOE25'!I9</f>
        <v>0</v>
      </c>
      <c r="G8" s="73">
        <f>'DOE25'!J9</f>
        <v>0</v>
      </c>
      <c r="H8" s="13">
        <f>SUM(C8:G8)</f>
        <v>0</v>
      </c>
      <c r="I8" s="90"/>
    </row>
    <row r="9" spans="1:9" x14ac:dyDescent="0.2">
      <c r="A9" s="1" t="s">
        <v>140</v>
      </c>
      <c r="B9" s="6">
        <v>110</v>
      </c>
      <c r="C9" s="73">
        <f>'DOE25'!F10</f>
        <v>1427908.74</v>
      </c>
      <c r="D9" s="73">
        <f>'DOE25'!G10</f>
        <v>0</v>
      </c>
      <c r="E9" s="73">
        <f>'DOE25'!H10</f>
        <v>0</v>
      </c>
      <c r="F9" s="73">
        <f>'DOE25'!I10</f>
        <v>0</v>
      </c>
      <c r="G9" s="73">
        <f>'DOE25'!J10</f>
        <v>1304398.1599999999</v>
      </c>
      <c r="H9" s="13">
        <f t="shared" ref="H9:H18" si="0">SUM(C9:G9)</f>
        <v>2732306.9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60000</v>
      </c>
      <c r="D12" s="73">
        <f>'DOE25'!G13</f>
        <v>49786.68</v>
      </c>
      <c r="E12" s="73">
        <f>'DOE25'!H13</f>
        <v>84052.81</v>
      </c>
      <c r="F12" s="73">
        <f>'DOE25'!I13</f>
        <v>0</v>
      </c>
      <c r="G12" s="73">
        <f>'DOE25'!J13</f>
        <v>0</v>
      </c>
      <c r="H12" s="13">
        <f t="shared" si="0"/>
        <v>193839.49</v>
      </c>
      <c r="I12" s="90"/>
    </row>
    <row r="13" spans="1:9" x14ac:dyDescent="0.2">
      <c r="A13" s="1" t="s">
        <v>144</v>
      </c>
      <c r="B13" s="6">
        <v>150</v>
      </c>
      <c r="C13" s="73">
        <f>'DOE25'!F14</f>
        <v>1760.51</v>
      </c>
      <c r="D13" s="73">
        <f>'DOE25'!G14</f>
        <v>18892.04</v>
      </c>
      <c r="E13" s="73">
        <f>'DOE25'!H14</f>
        <v>-264.5</v>
      </c>
      <c r="F13" s="73">
        <f>'DOE25'!I14</f>
        <v>0</v>
      </c>
      <c r="G13" s="73">
        <f>'DOE25'!J14</f>
        <v>0</v>
      </c>
      <c r="H13" s="13">
        <f t="shared" si="0"/>
        <v>20388.05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1489669.25</v>
      </c>
      <c r="D18" s="38">
        <f>SUM(D8:D17)</f>
        <v>68678.720000000001</v>
      </c>
      <c r="E18" s="38">
        <f>SUM(E8:E17)</f>
        <v>83788.31</v>
      </c>
      <c r="F18" s="38">
        <f>SUM(F8:F17)</f>
        <v>0</v>
      </c>
      <c r="G18" s="38">
        <f>SUM(G8:G17)</f>
        <v>1304398.1599999999</v>
      </c>
      <c r="H18" s="38">
        <f t="shared" si="0"/>
        <v>2946534.44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73120.2</v>
      </c>
      <c r="D21" s="73">
        <f>'DOE25'!G22</f>
        <v>7305.38</v>
      </c>
      <c r="E21" s="73">
        <f>'DOE25'!H22</f>
        <v>138617.85</v>
      </c>
      <c r="F21" s="73">
        <f>'DOE25'!I22</f>
        <v>138045.95000000001</v>
      </c>
      <c r="G21" s="73">
        <f>'DOE25'!J22</f>
        <v>0</v>
      </c>
      <c r="H21" s="13">
        <f t="shared" ref="H21:H31" si="1">SUM(C21:G21)</f>
        <v>357089.38</v>
      </c>
      <c r="I21" s="90"/>
    </row>
    <row r="22" spans="1:9" x14ac:dyDescent="0.2">
      <c r="A22" s="1" t="s">
        <v>151</v>
      </c>
      <c r="B22" s="6">
        <v>410</v>
      </c>
      <c r="C22" s="73">
        <f>'DOE25'!F23</f>
        <v>22531.06</v>
      </c>
      <c r="D22" s="73">
        <f>'DOE25'!G23</f>
        <v>0</v>
      </c>
      <c r="E22" s="73">
        <f>'DOE25'!H23</f>
        <v>3451.36</v>
      </c>
      <c r="F22" s="73">
        <f>'DOE25'!I23</f>
        <v>0</v>
      </c>
      <c r="G22" s="73">
        <f>'DOE25'!J23</f>
        <v>0</v>
      </c>
      <c r="H22" s="13">
        <f t="shared" si="1"/>
        <v>25982.420000000002</v>
      </c>
      <c r="I22" s="90"/>
    </row>
    <row r="23" spans="1:9" x14ac:dyDescent="0.2">
      <c r="A23" s="1" t="s">
        <v>152</v>
      </c>
      <c r="B23" s="6">
        <v>420</v>
      </c>
      <c r="C23" s="73">
        <f>'DOE25'!F24</f>
        <v>37588.53</v>
      </c>
      <c r="D23" s="73">
        <f>'DOE25'!G24</f>
        <v>-7305.38</v>
      </c>
      <c r="E23" s="73">
        <f>'DOE25'!H24</f>
        <v>-58280.9</v>
      </c>
      <c r="F23" s="73">
        <f>'DOE25'!I24</f>
        <v>-138045.95000000001</v>
      </c>
      <c r="G23" s="73">
        <f>'DOE25'!J24</f>
        <v>0</v>
      </c>
      <c r="H23" s="13">
        <f t="shared" si="1"/>
        <v>-166043.70000000001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58953.88</v>
      </c>
      <c r="D28" s="73">
        <f>'DOE25'!G29</f>
        <v>0</v>
      </c>
      <c r="E28" s="73">
        <f>'DOE25'!H29</f>
        <v>0</v>
      </c>
      <c r="F28" s="73">
        <f>'DOE25'!I29</f>
        <v>0</v>
      </c>
      <c r="G28" s="23" t="s">
        <v>288</v>
      </c>
      <c r="H28" s="13">
        <f t="shared" si="1"/>
        <v>58953.88</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192193.66999999998</v>
      </c>
      <c r="D31" s="38">
        <f>SUM(D21:D30)</f>
        <v>0</v>
      </c>
      <c r="E31" s="38">
        <f>SUM(E21:E30)</f>
        <v>83788.31</v>
      </c>
      <c r="F31" s="38">
        <f>SUM(F21:F30)</f>
        <v>0</v>
      </c>
      <c r="G31" s="38">
        <f>SUM(G21:G30)</f>
        <v>0</v>
      </c>
      <c r="H31" s="38">
        <f t="shared" si="1"/>
        <v>275981.98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22378.82</v>
      </c>
      <c r="H36" s="13">
        <f t="shared" si="2"/>
        <v>22378.82</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1499.46</v>
      </c>
      <c r="H38" s="13">
        <f t="shared" si="2"/>
        <v>1499.46</v>
      </c>
      <c r="I38" s="90"/>
    </row>
    <row r="39" spans="1:9" x14ac:dyDescent="0.2">
      <c r="A39" s="1" t="s">
        <v>860</v>
      </c>
      <c r="B39" s="6"/>
      <c r="C39" s="23" t="s">
        <v>288</v>
      </c>
      <c r="D39" s="73">
        <f>'DOE25'!G40</f>
        <v>68678.720000000001</v>
      </c>
      <c r="E39" s="23" t="s">
        <v>288</v>
      </c>
      <c r="F39" s="23" t="s">
        <v>288</v>
      </c>
      <c r="G39" s="23" t="s">
        <v>288</v>
      </c>
      <c r="H39" s="13">
        <f t="shared" si="2"/>
        <v>68678.720000000001</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273615.3</v>
      </c>
      <c r="D45" s="23" t="s">
        <v>288</v>
      </c>
      <c r="E45" s="23" t="s">
        <v>288</v>
      </c>
      <c r="F45" s="23" t="s">
        <v>288</v>
      </c>
      <c r="G45" s="23" t="s">
        <v>288</v>
      </c>
      <c r="H45" s="13">
        <f t="shared" si="2"/>
        <v>273615.3</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1280519.8799999999</v>
      </c>
      <c r="H47" s="13">
        <f t="shared" si="2"/>
        <v>1280519.8799999999</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1023860.28</v>
      </c>
      <c r="D49" s="23" t="s">
        <v>288</v>
      </c>
      <c r="E49" s="23" t="s">
        <v>288</v>
      </c>
      <c r="F49" s="23" t="s">
        <v>288</v>
      </c>
      <c r="G49" s="23" t="s">
        <v>288</v>
      </c>
      <c r="H49" s="13">
        <f t="shared" si="2"/>
        <v>1023860.28</v>
      </c>
      <c r="I49" s="90"/>
    </row>
    <row r="50" spans="1:9" ht="12.75" thickTop="1" thickBot="1" x14ac:dyDescent="0.25">
      <c r="A50" s="35" t="s">
        <v>883</v>
      </c>
      <c r="B50" s="44"/>
      <c r="C50" s="38">
        <f>SUM(C34:C49)</f>
        <v>1297475.58</v>
      </c>
      <c r="D50" s="38">
        <f>SUM(D34:D49)</f>
        <v>68678.720000000001</v>
      </c>
      <c r="E50" s="38">
        <f>SUM(E34:E49)</f>
        <v>0</v>
      </c>
      <c r="F50" s="38">
        <f>SUM(F34:F49)</f>
        <v>0</v>
      </c>
      <c r="G50" s="38">
        <f>SUM(G34:G49)</f>
        <v>1304398.1599999999</v>
      </c>
      <c r="H50" s="38">
        <f t="shared" si="2"/>
        <v>2670552.46</v>
      </c>
      <c r="I50" s="90"/>
    </row>
    <row r="51" spans="1:9" ht="12" thickTop="1" x14ac:dyDescent="0.2">
      <c r="A51" s="35" t="s">
        <v>884</v>
      </c>
      <c r="B51" s="2"/>
      <c r="C51" s="38">
        <f>C50+C31</f>
        <v>1489669.25</v>
      </c>
      <c r="D51" s="38">
        <f>D50+D31</f>
        <v>68678.720000000001</v>
      </c>
      <c r="E51" s="38">
        <f>E50+E31</f>
        <v>83788.31</v>
      </c>
      <c r="F51" s="38">
        <f>F50+F31</f>
        <v>0</v>
      </c>
      <c r="G51" s="38">
        <f>G50+G31</f>
        <v>1304398.1599999999</v>
      </c>
      <c r="H51" s="38">
        <f t="shared" si="2"/>
        <v>2946534.44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5501902</v>
      </c>
      <c r="D56" s="73">
        <f>'DOE25'!G60</f>
        <v>0</v>
      </c>
      <c r="E56" s="73">
        <f>'DOE25'!H60</f>
        <v>0</v>
      </c>
      <c r="F56" s="73">
        <f>'DOE25'!I60</f>
        <v>0</v>
      </c>
      <c r="G56" s="73">
        <f>'DOE25'!J60</f>
        <v>0</v>
      </c>
      <c r="H56" s="13">
        <f t="shared" ref="H56:H63" si="3">SUM(C56:G56)</f>
        <v>5501902</v>
      </c>
      <c r="I56"/>
    </row>
    <row r="57" spans="1:9" x14ac:dyDescent="0.2">
      <c r="A57" s="1" t="s">
        <v>164</v>
      </c>
      <c r="B57" s="6" t="s">
        <v>165</v>
      </c>
      <c r="C57" s="73">
        <f>'DOE25'!F79</f>
        <v>205642.23999999999</v>
      </c>
      <c r="D57" s="23" t="s">
        <v>288</v>
      </c>
      <c r="E57" s="73">
        <f>'DOE25'!H79</f>
        <v>0</v>
      </c>
      <c r="F57" s="23" t="s">
        <v>288</v>
      </c>
      <c r="G57" s="23" t="s">
        <v>288</v>
      </c>
      <c r="H57" s="13">
        <f t="shared" si="3"/>
        <v>205642.23999999999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83733.5</v>
      </c>
      <c r="D59" s="73">
        <f>'DOE25'!G96</f>
        <v>0</v>
      </c>
      <c r="E59" s="73">
        <f>'DOE25'!H96</f>
        <v>0</v>
      </c>
      <c r="F59" s="73">
        <f>'DOE25'!I96</f>
        <v>0</v>
      </c>
      <c r="G59" s="73">
        <f>'DOE25'!J96</f>
        <v>174164.61</v>
      </c>
      <c r="H59" s="13">
        <f t="shared" si="3"/>
        <v>257898.11</v>
      </c>
      <c r="I59"/>
    </row>
    <row r="60" spans="1:9" x14ac:dyDescent="0.2">
      <c r="A60" s="1" t="s">
        <v>170</v>
      </c>
      <c r="B60" s="22" t="s">
        <v>171</v>
      </c>
      <c r="C60" s="23" t="s">
        <v>288</v>
      </c>
      <c r="D60" s="73">
        <f>'DOE25'!G97</f>
        <v>121078.44</v>
      </c>
      <c r="E60" s="23" t="s">
        <v>288</v>
      </c>
      <c r="F60" s="23" t="s">
        <v>288</v>
      </c>
      <c r="G60" s="23" t="s">
        <v>288</v>
      </c>
      <c r="H60" s="13">
        <f t="shared" si="3"/>
        <v>121078.44</v>
      </c>
      <c r="I60"/>
    </row>
    <row r="61" spans="1:9" ht="12" thickBot="1" x14ac:dyDescent="0.25">
      <c r="A61" s="1" t="s">
        <v>172</v>
      </c>
      <c r="B61" s="22" t="s">
        <v>173</v>
      </c>
      <c r="C61" s="73">
        <f>SUM('DOE25'!F98:F110)</f>
        <v>43436.63</v>
      </c>
      <c r="D61" s="73">
        <f>SUM('DOE25'!G98:G110)</f>
        <v>0</v>
      </c>
      <c r="E61" s="73">
        <f>SUM('DOE25'!H98:H110)</f>
        <v>0</v>
      </c>
      <c r="F61" s="73">
        <f>SUM('DOE25'!I98:I110)</f>
        <v>0</v>
      </c>
      <c r="G61" s="73">
        <f>SUM('DOE25'!J98:J110)</f>
        <v>0</v>
      </c>
      <c r="H61" s="13">
        <f t="shared" si="3"/>
        <v>43436.63</v>
      </c>
      <c r="I61"/>
    </row>
    <row r="62" spans="1:9" ht="12.75" thickTop="1" thickBot="1" x14ac:dyDescent="0.25">
      <c r="A62" s="28" t="s">
        <v>174</v>
      </c>
      <c r="B62" s="6"/>
      <c r="C62" s="93">
        <f>SUM(C57:C61)</f>
        <v>332812.37</v>
      </c>
      <c r="D62" s="93">
        <f>SUM(D57:D61)</f>
        <v>121078.44</v>
      </c>
      <c r="E62" s="93">
        <f>SUM(E57:E61)</f>
        <v>0</v>
      </c>
      <c r="F62" s="93">
        <f>SUM(F57:F61)</f>
        <v>0</v>
      </c>
      <c r="G62" s="93">
        <f>SUM(G57:G61)</f>
        <v>174164.61</v>
      </c>
      <c r="H62" s="13">
        <f t="shared" si="3"/>
        <v>628055.41999999993</v>
      </c>
      <c r="I62"/>
    </row>
    <row r="63" spans="1:9" ht="12" thickTop="1" x14ac:dyDescent="0.2">
      <c r="A63" s="28" t="s">
        <v>175</v>
      </c>
      <c r="B63" s="6"/>
      <c r="C63" s="21">
        <f>C56+C62</f>
        <v>5834714.3700000001</v>
      </c>
      <c r="D63" s="21">
        <f>D56+D62</f>
        <v>121078.44</v>
      </c>
      <c r="E63" s="21">
        <f>E56+E62</f>
        <v>0</v>
      </c>
      <c r="F63" s="21">
        <f>F56+F62</f>
        <v>0</v>
      </c>
      <c r="G63" s="21">
        <f>G56+G62</f>
        <v>174164.61</v>
      </c>
      <c r="H63" s="13">
        <f t="shared" si="3"/>
        <v>6129957.4200000009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2365113.7199999997</v>
      </c>
      <c r="D66" s="23" t="s">
        <v>288</v>
      </c>
      <c r="E66" s="23" t="s">
        <v>288</v>
      </c>
      <c r="F66" s="23" t="s">
        <v>288</v>
      </c>
      <c r="G66" s="23" t="s">
        <v>288</v>
      </c>
      <c r="H66" s="13">
        <f t="shared" ref="H66:H81" si="4">SUM(C66:G66)</f>
        <v>2365113.7199999997</v>
      </c>
      <c r="I66"/>
    </row>
    <row r="67" spans="1:9" x14ac:dyDescent="0.2">
      <c r="A67" s="1" t="s">
        <v>770</v>
      </c>
      <c r="B67" s="6">
        <v>3112</v>
      </c>
      <c r="C67" s="73">
        <f>'DOE25'!F118</f>
        <v>448277</v>
      </c>
      <c r="D67" s="23"/>
      <c r="E67" s="23"/>
      <c r="F67" s="23"/>
      <c r="G67" s="23"/>
      <c r="H67" s="13">
        <f t="shared" si="4"/>
        <v>448277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8193.3700000000008</v>
      </c>
      <c r="D69" s="73">
        <f>'DOE25'!G120</f>
        <v>0</v>
      </c>
      <c r="E69" s="73">
        <f>'DOE25'!H120</f>
        <v>0</v>
      </c>
      <c r="F69" s="73">
        <f>'DOE25'!I120</f>
        <v>0</v>
      </c>
      <c r="G69" s="73">
        <f>'DOE25'!J120</f>
        <v>0</v>
      </c>
      <c r="H69" s="13">
        <f t="shared" si="4"/>
        <v>8193.3700000000008</v>
      </c>
      <c r="I69"/>
    </row>
    <row r="70" spans="1:9" ht="12" thickTop="1" x14ac:dyDescent="0.2">
      <c r="A70" s="28" t="s">
        <v>252</v>
      </c>
      <c r="B70" s="2"/>
      <c r="C70" s="97">
        <f>SUM(C66:C69)</f>
        <v>2821584.09</v>
      </c>
      <c r="D70" s="97">
        <f>D69</f>
        <v>0</v>
      </c>
      <c r="E70" s="97">
        <f>E69</f>
        <v>0</v>
      </c>
      <c r="F70" s="97">
        <f>F69</f>
        <v>0</v>
      </c>
      <c r="G70" s="97">
        <f>G69</f>
        <v>0</v>
      </c>
      <c r="H70" s="13">
        <f t="shared" si="4"/>
        <v>2821584.09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584055.47</v>
      </c>
      <c r="D75" s="23" t="s">
        <v>288</v>
      </c>
      <c r="E75" s="23" t="s">
        <v>288</v>
      </c>
      <c r="F75" s="23" t="s">
        <v>288</v>
      </c>
      <c r="G75" s="23" t="s">
        <v>288</v>
      </c>
      <c r="H75" s="13">
        <f t="shared" si="4"/>
        <v>584055.47</v>
      </c>
      <c r="I75"/>
    </row>
    <row r="76" spans="1:9" x14ac:dyDescent="0.2">
      <c r="A76" s="1" t="s">
        <v>257</v>
      </c>
      <c r="B76" s="6" t="s">
        <v>179</v>
      </c>
      <c r="C76" s="73">
        <f>SUM('DOE25'!F127:F130)</f>
        <v>4169.2</v>
      </c>
      <c r="D76" s="23" t="s">
        <v>288</v>
      </c>
      <c r="E76" s="73">
        <f>SUM('DOE25'!H127:H130)</f>
        <v>0</v>
      </c>
      <c r="F76" s="73">
        <f>SUM('DOE25'!I127:I130)</f>
        <v>0</v>
      </c>
      <c r="G76" s="23" t="s">
        <v>288</v>
      </c>
      <c r="H76" s="13">
        <f t="shared" si="4"/>
        <v>4169.2</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588224.66999999993</v>
      </c>
      <c r="D78" s="93">
        <f>SUM(D72:D77)</f>
        <v>0</v>
      </c>
      <c r="E78" s="93">
        <f>SUM(E72:E77)</f>
        <v>0</v>
      </c>
      <c r="F78" s="93">
        <f>SUM(F72:F77)</f>
        <v>0</v>
      </c>
      <c r="G78" s="93">
        <f>SUM(G72:G77)</f>
        <v>0</v>
      </c>
      <c r="H78" s="13">
        <f t="shared" si="4"/>
        <v>588224.66999999993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3409808.76</v>
      </c>
      <c r="D81" s="93">
        <f>SUM(D79:D80)+D78+D70</f>
        <v>0</v>
      </c>
      <c r="E81" s="93">
        <f>SUM(E79:E80)+E78+E70</f>
        <v>0</v>
      </c>
      <c r="F81" s="93">
        <f>SUM(F79:F80)+F78+F70</f>
        <v>0</v>
      </c>
      <c r="G81" s="93">
        <f>SUM(G79:G80)+G78+G70</f>
        <v>0</v>
      </c>
      <c r="H81" s="93">
        <f t="shared" si="4"/>
        <v>3409808.76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110089.51</v>
      </c>
      <c r="E88" s="253">
        <f>SUM('DOE25'!H153:H162)</f>
        <v>448943.1</v>
      </c>
      <c r="F88" s="253">
        <f>SUM('DOE25'!I153:I162)</f>
        <v>0</v>
      </c>
      <c r="G88" s="23" t="s">
        <v>288</v>
      </c>
      <c r="H88" s="13">
        <f t="shared" si="5"/>
        <v>559032.61</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29295.3</v>
      </c>
      <c r="D90" s="23" t="s">
        <v>288</v>
      </c>
      <c r="E90" s="23" t="s">
        <v>288</v>
      </c>
      <c r="F90" s="23" t="s">
        <v>288</v>
      </c>
      <c r="G90" s="23" t="s">
        <v>288</v>
      </c>
      <c r="H90" s="13">
        <f t="shared" si="5"/>
        <v>29295.3</v>
      </c>
    </row>
    <row r="91" spans="1:9" ht="12.75" thickTop="1" thickBot="1" x14ac:dyDescent="0.25">
      <c r="A91" s="32" t="s">
        <v>750</v>
      </c>
      <c r="C91" s="94">
        <f>SUM(C85:C90)</f>
        <v>29295.3</v>
      </c>
      <c r="D91" s="94">
        <f>SUM(D85:D90)</f>
        <v>110089.51</v>
      </c>
      <c r="E91" s="94">
        <f>SUM(E85:E90)</f>
        <v>448943.1</v>
      </c>
      <c r="F91" s="94">
        <f>SUM(F85:F90)</f>
        <v>0</v>
      </c>
      <c r="G91" s="23" t="s">
        <v>288</v>
      </c>
      <c r="H91" s="13">
        <f t="shared" si="5"/>
        <v>588327.90999999992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150375</v>
      </c>
      <c r="G93" s="23" t="s">
        <v>288</v>
      </c>
      <c r="H93" s="13">
        <f t="shared" si="5"/>
        <v>150375</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18892.04</v>
      </c>
      <c r="E96" s="73">
        <f>'DOE25'!H180</f>
        <v>0</v>
      </c>
      <c r="F96" s="73">
        <f>'DOE25'!I180</f>
        <v>314025.95</v>
      </c>
      <c r="G96" s="73">
        <f>'DOE25'!J180</f>
        <v>130661</v>
      </c>
      <c r="H96" s="13">
        <f t="shared" si="5"/>
        <v>463578.99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55000</v>
      </c>
      <c r="G99" s="23" t="s">
        <v>288</v>
      </c>
      <c r="H99" s="13">
        <f t="shared" si="5"/>
        <v>55000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18892.04</v>
      </c>
      <c r="E103" s="68">
        <f>SUM(E93:E102)</f>
        <v>0</v>
      </c>
      <c r="F103" s="68">
        <f>SUM(F93:F102)</f>
        <v>519400.95</v>
      </c>
      <c r="G103" s="68">
        <f>SUM(G93:G102)</f>
        <v>130661</v>
      </c>
      <c r="H103" s="68">
        <f t="shared" si="5"/>
        <v>668953.99</v>
      </c>
    </row>
    <row r="104" spans="1:8" ht="12.75" thickTop="1" thickBot="1" x14ac:dyDescent="0.25">
      <c r="A104" s="32" t="s">
        <v>761</v>
      </c>
      <c r="C104" s="68">
        <f>C63+C81+C91+C103</f>
        <v>9273818.4299999997</v>
      </c>
      <c r="D104" s="68">
        <f>D63+D81+D91+D103</f>
        <v>250059.99000000002</v>
      </c>
      <c r="E104" s="68">
        <f>E63+E81+E91+E103</f>
        <v>448943.1</v>
      </c>
      <c r="F104" s="68">
        <f>F63+F81+F91+F103</f>
        <v>519400.95</v>
      </c>
      <c r="G104" s="68">
        <f>G63+G81+G103</f>
        <v>304825.61</v>
      </c>
      <c r="H104" s="68">
        <f t="shared" si="5"/>
        <v>10797048.079999998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3109949.21</v>
      </c>
      <c r="D109" s="23" t="s">
        <v>288</v>
      </c>
      <c r="E109" s="73">
        <f>('DOE25'!L277)+('DOE25'!L296)+('DOE25'!L315)</f>
        <v>253159.12000000002</v>
      </c>
      <c r="F109" s="23" t="s">
        <v>288</v>
      </c>
      <c r="G109" s="23" t="s">
        <v>288</v>
      </c>
      <c r="H109" s="13">
        <f t="shared" ref="H109:H115" si="6">SUM(C109:G109)</f>
        <v>3363108.33</v>
      </c>
    </row>
    <row r="110" spans="1:8" x14ac:dyDescent="0.2">
      <c r="A110" t="s">
        <v>198</v>
      </c>
      <c r="B110" s="31" t="s">
        <v>199</v>
      </c>
      <c r="C110" s="73">
        <f>('DOE25'!L199)+('DOE25'!L217)+('DOE25'!L235)</f>
        <v>1969009.41</v>
      </c>
      <c r="D110" s="23" t="s">
        <v>288</v>
      </c>
      <c r="E110" s="73">
        <f>('DOE25'!L278)+('DOE25'!L297)+('DOE25'!L316)</f>
        <v>79765.599999999991</v>
      </c>
      <c r="F110" s="23" t="s">
        <v>288</v>
      </c>
      <c r="G110" s="23" t="s">
        <v>288</v>
      </c>
      <c r="H110" s="13">
        <f t="shared" si="6"/>
        <v>2048775.01</v>
      </c>
    </row>
    <row r="111" spans="1:8" x14ac:dyDescent="0.2">
      <c r="A111" t="s">
        <v>200</v>
      </c>
      <c r="B111" s="31" t="s">
        <v>165</v>
      </c>
      <c r="C111" s="73">
        <f>('DOE25'!L200)+('DOE25'!L218)+('DOE25'!L236)</f>
        <v>44308.86</v>
      </c>
      <c r="D111" s="23" t="s">
        <v>288</v>
      </c>
      <c r="E111" s="73">
        <f>('DOE25'!L279)+('DOE25'!L298)+('DOE25'!L317)</f>
        <v>0</v>
      </c>
      <c r="F111" s="23" t="s">
        <v>288</v>
      </c>
      <c r="G111" s="23" t="s">
        <v>288</v>
      </c>
      <c r="H111" s="13">
        <f t="shared" si="6"/>
        <v>44308.86</v>
      </c>
    </row>
    <row r="112" spans="1:8" x14ac:dyDescent="0.2">
      <c r="A112" t="s">
        <v>201</v>
      </c>
      <c r="B112" s="31" t="s">
        <v>167</v>
      </c>
      <c r="C112" s="73">
        <f>('DOE25'!L201)+('DOE25'!L219)+('DOE25'!L237)</f>
        <v>177287.5</v>
      </c>
      <c r="D112" s="23" t="s">
        <v>288</v>
      </c>
      <c r="E112" s="73">
        <f>+('DOE25'!L280)+('DOE25'!L299)+('DOE25'!L318)</f>
        <v>11295.279999999999</v>
      </c>
      <c r="F112" s="23" t="s">
        <v>288</v>
      </c>
      <c r="G112" s="23" t="s">
        <v>288</v>
      </c>
      <c r="H112" s="13">
        <f t="shared" si="6"/>
        <v>188582.78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5300554.9800000004</v>
      </c>
      <c r="D115" s="68">
        <f>SUM(D109:D114)</f>
        <v>0</v>
      </c>
      <c r="E115" s="68">
        <f>SUM(E109:E114)</f>
        <v>344220</v>
      </c>
      <c r="F115" s="68">
        <f>SUM(F109:F114)</f>
        <v>0</v>
      </c>
      <c r="G115" s="68">
        <f>SUM(G109:G114)</f>
        <v>0</v>
      </c>
      <c r="H115" s="68">
        <f t="shared" si="6"/>
        <v>5644774.9800000004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844826.51</v>
      </c>
      <c r="D118" s="23" t="s">
        <v>288</v>
      </c>
      <c r="E118" s="73">
        <f>+('DOE25'!L282)+('DOE25'!L301)+('DOE25'!L320)</f>
        <v>0</v>
      </c>
      <c r="F118" s="23" t="s">
        <v>288</v>
      </c>
      <c r="G118" s="23" t="s">
        <v>288</v>
      </c>
      <c r="H118" s="13">
        <f t="shared" ref="H118:H145" si="7">SUM(C118:G118)</f>
        <v>844826.51</v>
      </c>
    </row>
    <row r="119" spans="1:8" x14ac:dyDescent="0.2">
      <c r="A119" t="s">
        <v>208</v>
      </c>
      <c r="B119" s="31" t="s">
        <v>209</v>
      </c>
      <c r="C119" s="73">
        <f>('DOE25'!L204)+('DOE25'!L222)+('DOE25'!L240)</f>
        <v>261051.41000000003</v>
      </c>
      <c r="D119" s="23" t="s">
        <v>288</v>
      </c>
      <c r="E119" s="73">
        <f>+('DOE25'!L283)+('DOE25'!L302)+('DOE25'!L321)</f>
        <v>42275.38</v>
      </c>
      <c r="F119" s="23" t="s">
        <v>288</v>
      </c>
      <c r="G119" s="23" t="s">
        <v>288</v>
      </c>
      <c r="H119" s="13">
        <f t="shared" si="7"/>
        <v>303326.79000000004</v>
      </c>
    </row>
    <row r="120" spans="1:8" x14ac:dyDescent="0.2">
      <c r="A120" t="s">
        <v>210</v>
      </c>
      <c r="B120" s="31" t="s">
        <v>211</v>
      </c>
      <c r="C120" s="73">
        <f>('DOE25'!L205)+('DOE25'!L223)+('DOE25'!L241)</f>
        <v>609478.9254812838</v>
      </c>
      <c r="D120" s="23" t="s">
        <v>288</v>
      </c>
      <c r="E120" s="73">
        <f>+('DOE25'!L284)+('DOE25'!L303)+('DOE25'!L322)</f>
        <v>0</v>
      </c>
      <c r="F120" s="23" t="s">
        <v>288</v>
      </c>
      <c r="G120" s="23" t="s">
        <v>288</v>
      </c>
      <c r="H120" s="13">
        <f t="shared" si="7"/>
        <v>609478.9254812838</v>
      </c>
    </row>
    <row r="121" spans="1:8" x14ac:dyDescent="0.2">
      <c r="A121" t="s">
        <v>212</v>
      </c>
      <c r="B121" s="31" t="s">
        <v>213</v>
      </c>
      <c r="C121" s="73">
        <f>('DOE25'!L206)+('DOE25'!L224)+('DOE25'!L242)</f>
        <v>488957.47</v>
      </c>
      <c r="D121" s="23" t="s">
        <v>288</v>
      </c>
      <c r="E121" s="73">
        <f>+('DOE25'!L285)+('DOE25'!L304)+('DOE25'!L323)</f>
        <v>0</v>
      </c>
      <c r="F121" s="23" t="s">
        <v>288</v>
      </c>
      <c r="G121" s="23" t="s">
        <v>288</v>
      </c>
      <c r="H121" s="13">
        <f t="shared" si="7"/>
        <v>488957.47</v>
      </c>
    </row>
    <row r="122" spans="1:8" x14ac:dyDescent="0.2">
      <c r="A122" t="s">
        <v>214</v>
      </c>
      <c r="B122" s="31" t="s">
        <v>215</v>
      </c>
      <c r="C122" s="73">
        <f>('DOE25'!L207)+('DOE25'!L225)+('DOE25'!L243)</f>
        <v>0</v>
      </c>
      <c r="D122" s="23" t="s">
        <v>288</v>
      </c>
      <c r="E122" s="73">
        <f>+('DOE25'!L286)+('DOE25'!L305)+('DOE25'!L324)</f>
        <v>52.5</v>
      </c>
      <c r="F122" s="23" t="s">
        <v>288</v>
      </c>
      <c r="G122" s="23" t="s">
        <v>288</v>
      </c>
      <c r="H122" s="13">
        <f t="shared" si="7"/>
        <v>52.5</v>
      </c>
    </row>
    <row r="123" spans="1:8" x14ac:dyDescent="0.2">
      <c r="A123" t="s">
        <v>216</v>
      </c>
      <c r="B123" s="31" t="s">
        <v>217</v>
      </c>
      <c r="C123" s="73">
        <f>('DOE25'!L208)+('DOE25'!L226)+('DOE25'!L244)</f>
        <v>596410.28</v>
      </c>
      <c r="D123" s="23" t="s">
        <v>288</v>
      </c>
      <c r="E123" s="73">
        <f>+('DOE25'!L287)+('DOE25'!L306)+('DOE25'!L325)</f>
        <v>43901.08</v>
      </c>
      <c r="F123" s="23" t="s">
        <v>288</v>
      </c>
      <c r="G123" s="23" t="s">
        <v>288</v>
      </c>
      <c r="H123" s="13">
        <f t="shared" si="7"/>
        <v>640311.36</v>
      </c>
    </row>
    <row r="124" spans="1:8" x14ac:dyDescent="0.2">
      <c r="A124" t="s">
        <v>218</v>
      </c>
      <c r="B124" s="31" t="s">
        <v>219</v>
      </c>
      <c r="C124" s="73">
        <f>('DOE25'!L209)+('DOE25'!L227)+('DOE25'!L245+'DOE25'!L255)</f>
        <v>274040.13</v>
      </c>
      <c r="D124" s="23" t="s">
        <v>288</v>
      </c>
      <c r="E124" s="73">
        <f>+('DOE25'!L288)+('DOE25'!L307)+('DOE25'!L326)</f>
        <v>0</v>
      </c>
      <c r="F124" s="23" t="s">
        <v>288</v>
      </c>
      <c r="G124" s="23" t="s">
        <v>288</v>
      </c>
      <c r="H124" s="13">
        <f t="shared" si="7"/>
        <v>274040.13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231167.95</v>
      </c>
      <c r="E127" s="23" t="s">
        <v>288</v>
      </c>
      <c r="F127" s="23" t="s">
        <v>288</v>
      </c>
      <c r="G127" s="23" t="s">
        <v>288</v>
      </c>
      <c r="H127" s="13">
        <f t="shared" si="7"/>
        <v>231167.95</v>
      </c>
    </row>
    <row r="128" spans="1:8" ht="12.75" thickTop="1" thickBot="1" x14ac:dyDescent="0.25">
      <c r="A128" s="32" t="s">
        <v>226</v>
      </c>
      <c r="C128" s="68">
        <f>SUM(C118:C127)</f>
        <v>3074764.7254812839</v>
      </c>
      <c r="D128" s="68">
        <f>SUM(D118:D127)</f>
        <v>231167.95</v>
      </c>
      <c r="E128" s="68">
        <f>SUM(E118:E127)</f>
        <v>86228.959999999992</v>
      </c>
      <c r="F128" s="68">
        <f>SUM(F118:F127)</f>
        <v>0</v>
      </c>
      <c r="G128" s="68">
        <f>SUM(G118:G127)</f>
        <v>0</v>
      </c>
      <c r="H128" s="68">
        <f t="shared" si="7"/>
        <v>3392161.635481284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519400.95</v>
      </c>
      <c r="G130" s="23" t="s">
        <v>288</v>
      </c>
      <c r="H130" s="13">
        <f t="shared" si="7"/>
        <v>519400.95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18892.039999999997</v>
      </c>
      <c r="D135" s="23" t="s">
        <v>288</v>
      </c>
      <c r="E135" s="92">
        <f>'DOE25'!L346</f>
        <v>0</v>
      </c>
      <c r="F135" s="23" t="s">
        <v>288</v>
      </c>
      <c r="G135" s="23" t="s">
        <v>288</v>
      </c>
      <c r="H135" s="13">
        <f t="shared" si="7"/>
        <v>18892.039999999997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314025.95</v>
      </c>
      <c r="D137" s="23" t="s">
        <v>288</v>
      </c>
      <c r="E137" s="92">
        <f>'DOE25'!L347</f>
        <v>0</v>
      </c>
      <c r="F137" s="23" t="s">
        <v>288</v>
      </c>
      <c r="G137" s="23" t="s">
        <v>288</v>
      </c>
      <c r="H137" s="13">
        <f t="shared" si="7"/>
        <v>314025.95</v>
      </c>
    </row>
    <row r="138" spans="1:8" x14ac:dyDescent="0.2">
      <c r="A138" t="s">
        <v>238</v>
      </c>
      <c r="B138" s="31">
        <v>5251</v>
      </c>
      <c r="C138" s="73">
        <f>'DOE25'!L394</f>
        <v>294621.75</v>
      </c>
      <c r="D138" s="23" t="s">
        <v>288</v>
      </c>
      <c r="E138" s="23" t="s">
        <v>288</v>
      </c>
      <c r="F138" s="23" t="s">
        <v>288</v>
      </c>
      <c r="G138" s="23" t="s">
        <v>288</v>
      </c>
      <c r="H138" s="13">
        <f t="shared" si="7"/>
        <v>294621.75</v>
      </c>
    </row>
    <row r="139" spans="1:8" x14ac:dyDescent="0.2">
      <c r="A139" t="s">
        <v>239</v>
      </c>
      <c r="B139" s="31">
        <v>5252</v>
      </c>
      <c r="C139" s="73">
        <f>'DOE25'!L402</f>
        <v>10203.86</v>
      </c>
      <c r="D139" s="23" t="s">
        <v>288</v>
      </c>
      <c r="E139" s="23" t="s">
        <v>288</v>
      </c>
      <c r="F139" s="23" t="s">
        <v>288</v>
      </c>
      <c r="G139" s="23" t="s">
        <v>288</v>
      </c>
      <c r="H139" s="13">
        <f t="shared" si="7"/>
        <v>10203.86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-174164.61</v>
      </c>
      <c r="D141" s="23" t="s">
        <v>288</v>
      </c>
      <c r="E141" s="23" t="s">
        <v>288</v>
      </c>
      <c r="F141" s="23" t="s">
        <v>288</v>
      </c>
      <c r="G141" s="23" t="s">
        <v>288</v>
      </c>
      <c r="H141" s="13">
        <f t="shared" si="7"/>
        <v>-174164.61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18494.14</v>
      </c>
      <c r="F143" s="23" t="s">
        <v>288</v>
      </c>
      <c r="G143" s="23" t="s">
        <v>288</v>
      </c>
      <c r="H143" s="13">
        <f t="shared" si="7"/>
        <v>18494.14</v>
      </c>
    </row>
    <row r="144" spans="1:8" ht="12" thickBot="1" x14ac:dyDescent="0.25">
      <c r="A144" s="32" t="s">
        <v>243</v>
      </c>
      <c r="C144" s="98">
        <f>SUM(C130:C143)</f>
        <v>463578.99</v>
      </c>
      <c r="D144" s="98">
        <f>SUM(D130:D143)</f>
        <v>0</v>
      </c>
      <c r="E144" s="98">
        <f>SUM(E130:E143)</f>
        <v>18494.14</v>
      </c>
      <c r="F144" s="98">
        <f>SUM(F130:F143)</f>
        <v>519400.95</v>
      </c>
      <c r="G144" s="98">
        <f>SUM(G130:G143)</f>
        <v>0</v>
      </c>
      <c r="H144" s="98">
        <f t="shared" si="7"/>
        <v>1001474.0800000001</v>
      </c>
    </row>
    <row r="145" spans="1:9" ht="12.75" thickTop="1" thickBot="1" x14ac:dyDescent="0.25">
      <c r="A145" s="32" t="s">
        <v>244</v>
      </c>
      <c r="C145" s="68">
        <f>(C115+C128+C144)</f>
        <v>8838898.6954812836</v>
      </c>
      <c r="D145" s="68">
        <f>(D115+D128+D144)</f>
        <v>231167.95</v>
      </c>
      <c r="E145" s="68">
        <f>(E115+E128+E144)</f>
        <v>448943.1</v>
      </c>
      <c r="F145" s="68">
        <f>(F115+F128+F144)</f>
        <v>519400.95</v>
      </c>
      <c r="G145" s="68">
        <f>(G115+G128+G144)</f>
        <v>0</v>
      </c>
      <c r="H145" s="68">
        <f t="shared" si="7"/>
        <v>10038410.695481282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Gorham Randolph Shelburne Cooperative</v>
      </c>
    </row>
    <row r="3" spans="1:4" x14ac:dyDescent="0.2">
      <c r="B3" s="137" t="s">
        <v>1799</v>
      </c>
    </row>
    <row r="4" spans="1:4" x14ac:dyDescent="0.2">
      <c r="B4" t="s">
        <v>61</v>
      </c>
      <c r="C4" s="129">
        <f>IF('DOE25'!F666+'DOE25'!F671=0,0,ROUND('DOE25'!F673,0))</f>
        <v>20100</v>
      </c>
    </row>
    <row r="5" spans="1:4" x14ac:dyDescent="0.2">
      <c r="B5" t="s">
        <v>700</v>
      </c>
      <c r="C5" s="129">
        <f>IF('DOE25'!G666+'DOE25'!G671=0,0,ROUND('DOE25'!G673,0))</f>
        <v>17830</v>
      </c>
    </row>
    <row r="6" spans="1:4" x14ac:dyDescent="0.2">
      <c r="B6" t="s">
        <v>62</v>
      </c>
      <c r="C6" s="129">
        <f>IF('DOE25'!H666+'DOE25'!H671=0,0,ROUND('DOE25'!H673,0))</f>
        <v>22757</v>
      </c>
    </row>
    <row r="7" spans="1:4" x14ac:dyDescent="0.2">
      <c r="B7" t="s">
        <v>701</v>
      </c>
      <c r="C7" s="129">
        <f>IF('DOE25'!I666+'DOE25'!I671=0,0,ROUND('DOE25'!I673,0))</f>
        <v>20441</v>
      </c>
    </row>
    <row r="9" spans="1:4" x14ac:dyDescent="0.2">
      <c r="A9" s="136" t="s">
        <v>94</v>
      </c>
      <c r="B9" s="137" t="s">
        <v>1800</v>
      </c>
      <c r="C9" s="131" t="s">
        <v>720</v>
      </c>
      <c r="D9" s="131" t="s">
        <v>721</v>
      </c>
    </row>
    <row r="10" spans="1:4" x14ac:dyDescent="0.2">
      <c r="A10">
        <v>1100</v>
      </c>
      <c r="B10" t="s">
        <v>702</v>
      </c>
      <c r="C10" s="129">
        <f>ROUND('DOE25'!L198+'DOE25'!L216+'DOE25'!L234+'DOE25'!L277+'DOE25'!L296+'DOE25'!L315,0)</f>
        <v>3363108</v>
      </c>
      <c r="D10" s="132">
        <f>ROUND((C10/$C$28)*100,1)</f>
        <v>37.6</v>
      </c>
    </row>
    <row r="11" spans="1:4" x14ac:dyDescent="0.2">
      <c r="A11">
        <v>1200</v>
      </c>
      <c r="B11" t="s">
        <v>703</v>
      </c>
      <c r="C11" s="129">
        <f>ROUND('DOE25'!L199+'DOE25'!L217+'DOE25'!L235+'DOE25'!L278+'DOE25'!L297+'DOE25'!L316,0)</f>
        <v>2048775</v>
      </c>
      <c r="D11" s="132">
        <f>ROUND((C11/$C$28)*100,1)</f>
        <v>22.9</v>
      </c>
    </row>
    <row r="12" spans="1:4" x14ac:dyDescent="0.2">
      <c r="A12">
        <v>1300</v>
      </c>
      <c r="B12" t="s">
        <v>704</v>
      </c>
      <c r="C12" s="129">
        <f>ROUND('DOE25'!L200+'DOE25'!L218+'DOE25'!L236+'DOE25'!L279+'DOE25'!L298+'DOE25'!L317,0)</f>
        <v>44309</v>
      </c>
      <c r="D12" s="132">
        <f>ROUND((C12/$C$28)*100,1)</f>
        <v>0.5</v>
      </c>
    </row>
    <row r="13" spans="1:4" x14ac:dyDescent="0.2">
      <c r="A13">
        <v>1400</v>
      </c>
      <c r="B13" t="s">
        <v>705</v>
      </c>
      <c r="C13" s="129">
        <f>ROUND('DOE25'!L201+'DOE25'!L219+'DOE25'!L237+'DOE25'!L280+'DOE25'!L299+'DOE25'!L318,0)</f>
        <v>188583</v>
      </c>
      <c r="D13" s="132">
        <f>ROUND((C13/$C$28)*100,1)</f>
        <v>2.1</v>
      </c>
    </row>
    <row r="14" spans="1:4" x14ac:dyDescent="0.2">
      <c r="D14" s="132"/>
    </row>
    <row r="15" spans="1:4" x14ac:dyDescent="0.2">
      <c r="A15">
        <v>2100</v>
      </c>
      <c r="B15" t="s">
        <v>706</v>
      </c>
      <c r="C15" s="129">
        <f>ROUND('DOE25'!L203+'DOE25'!L221+'DOE25'!L239+'DOE25'!L282+'DOE25'!L301+'DOE25'!L320,0)</f>
        <v>844827</v>
      </c>
      <c r="D15" s="132">
        <f t="shared" ref="D15:D27" si="0">ROUND((C15/$C$28)*100,1)</f>
        <v>9.5</v>
      </c>
    </row>
    <row r="16" spans="1:4" x14ac:dyDescent="0.2">
      <c r="A16">
        <v>2200</v>
      </c>
      <c r="B16" t="s">
        <v>707</v>
      </c>
      <c r="C16" s="129">
        <f>ROUND('DOE25'!L204+'DOE25'!L222+'DOE25'!L240+'DOE25'!L283+'DOE25'!L302+'DOE25'!L321,0)</f>
        <v>303327</v>
      </c>
      <c r="D16" s="132">
        <f t="shared" si="0"/>
        <v>3.4</v>
      </c>
    </row>
    <row r="17" spans="1:4" x14ac:dyDescent="0.2">
      <c r="A17" s="133" t="s">
        <v>723</v>
      </c>
      <c r="B17" t="s">
        <v>738</v>
      </c>
      <c r="C17" s="129">
        <f>ROUND('DOE25'!L205+'DOE25'!L210+'DOE25'!L223+'DOE25'!L228+'DOE25'!L241+'DOE25'!L246+'DOE25'!L284+'DOE25'!L289+'DOE25'!L303+'DOE25'!L308+'DOE25'!L322+'DOE25'!L327,0)</f>
        <v>609479</v>
      </c>
      <c r="D17" s="132">
        <f t="shared" si="0"/>
        <v>6.8</v>
      </c>
    </row>
    <row r="18" spans="1:4" x14ac:dyDescent="0.2">
      <c r="A18">
        <v>2400</v>
      </c>
      <c r="B18" t="s">
        <v>711</v>
      </c>
      <c r="C18" s="129">
        <f>ROUND('DOE25'!L206+'DOE25'!L224+'DOE25'!L242+'DOE25'!L285+'DOE25'!L304+'DOE25'!L323,0)</f>
        <v>488957</v>
      </c>
      <c r="D18" s="132">
        <f t="shared" si="0"/>
        <v>5.5</v>
      </c>
    </row>
    <row r="19" spans="1:4" x14ac:dyDescent="0.2">
      <c r="A19">
        <v>2500</v>
      </c>
      <c r="B19" t="s">
        <v>708</v>
      </c>
      <c r="C19" s="129">
        <f>ROUND('DOE25'!L207+'DOE25'!L225+'DOE25'!L243+'DOE25'!L286+'DOE25'!L305+'DOE25'!L324,0)</f>
        <v>53</v>
      </c>
      <c r="D19" s="132">
        <f t="shared" si="0"/>
        <v>0</v>
      </c>
    </row>
    <row r="20" spans="1:4" x14ac:dyDescent="0.2">
      <c r="A20">
        <v>2600</v>
      </c>
      <c r="B20" t="s">
        <v>709</v>
      </c>
      <c r="C20" s="129">
        <f>ROUND('DOE25'!L208+'DOE25'!L226+'DOE25'!L244+'DOE25'!L287+'DOE25'!L306+'DOE25'!L325,0)</f>
        <v>640311</v>
      </c>
      <c r="D20" s="132">
        <f t="shared" si="0"/>
        <v>7.2</v>
      </c>
    </row>
    <row r="21" spans="1:4" x14ac:dyDescent="0.2">
      <c r="A21">
        <v>2700</v>
      </c>
      <c r="B21" t="s">
        <v>710</v>
      </c>
      <c r="C21" s="129">
        <f>ROUND('DOE25'!L209+'DOE25'!L227+'DOE25'!L245+'DOE25'!L288+'DOE25'!L307+'DOE25'!L326,0)</f>
        <v>274040</v>
      </c>
      <c r="D21" s="132">
        <f t="shared" si="0"/>
        <v>3.1</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18494.14</v>
      </c>
      <c r="D26" s="132">
        <f t="shared" si="0"/>
        <v>0.2</v>
      </c>
    </row>
    <row r="27" spans="1:4" x14ac:dyDescent="0.2">
      <c r="A27">
        <v>3100</v>
      </c>
      <c r="B27" t="s">
        <v>11</v>
      </c>
      <c r="C27" s="129">
        <f>ROUND('DOE25'!L363-'DOE25'!L362,0)-SUM('DOE25'!G97:G110)</f>
        <v>110089.56</v>
      </c>
      <c r="D27" s="132">
        <f t="shared" si="0"/>
        <v>1.2</v>
      </c>
    </row>
    <row r="28" spans="1:4" x14ac:dyDescent="0.2">
      <c r="B28" s="136" t="s">
        <v>719</v>
      </c>
      <c r="C28" s="130">
        <f>SUM(C10:C27)</f>
        <v>8934352.7000000011</v>
      </c>
      <c r="D28" s="134">
        <f>ROUND(SUM(D10:D27),0)</f>
        <v>100</v>
      </c>
    </row>
    <row r="29" spans="1:4" x14ac:dyDescent="0.2">
      <c r="A29">
        <v>4000</v>
      </c>
      <c r="B29" t="s">
        <v>724</v>
      </c>
      <c r="C29" s="129">
        <f>ROUND('DOE25'!L256+'DOE25'!L337+'DOE25'!L375+'DOE25'!L376+'DOE25'!L377+'DOE25'!L378+'DOE25'!L379+'DOE25'!L380+'DOE25'!L381,0)</f>
        <v>519401</v>
      </c>
    </row>
    <row r="30" spans="1:4" x14ac:dyDescent="0.2">
      <c r="B30" s="136" t="s">
        <v>725</v>
      </c>
      <c r="C30" s="130">
        <f>SUM(C28:C29)</f>
        <v>9453753.7000000011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5501902</v>
      </c>
      <c r="D35" s="132">
        <f t="shared" ref="D35:D40" si="1">ROUND((C35/$C$41)*100,1)</f>
        <v>55</v>
      </c>
    </row>
    <row r="36" spans="1:4" x14ac:dyDescent="0.2">
      <c r="B36" s="71" t="s">
        <v>739</v>
      </c>
      <c r="C36" s="129">
        <f>SUM('DOE25'!F112:J112)-SUM('DOE25'!G97:G110)+('DOE25'!F175+'DOE25'!F176+'DOE25'!I175+'DOE25'!I176)-C35</f>
        <v>506976.98000000045</v>
      </c>
      <c r="D36" s="132">
        <f t="shared" si="1"/>
        <v>5.0999999999999996</v>
      </c>
    </row>
    <row r="37" spans="1:4" x14ac:dyDescent="0.2">
      <c r="A37" s="133" t="s">
        <v>834</v>
      </c>
      <c r="B37" s="71" t="s">
        <v>728</v>
      </c>
      <c r="C37" s="129">
        <f>ROUND('DOE25'!F117+'DOE25'!F118,0)</f>
        <v>2813391</v>
      </c>
      <c r="D37" s="132">
        <f t="shared" si="1"/>
        <v>28.1</v>
      </c>
    </row>
    <row r="38" spans="1:4" x14ac:dyDescent="0.2">
      <c r="A38" s="133" t="s">
        <v>734</v>
      </c>
      <c r="B38" s="71" t="s">
        <v>729</v>
      </c>
      <c r="C38" s="129">
        <f>ROUND(SUM('DOE25'!F140:J140)-SUM('DOE25'!F117:F119),0)</f>
        <v>596418</v>
      </c>
      <c r="D38" s="132">
        <f t="shared" si="1"/>
        <v>6</v>
      </c>
    </row>
    <row r="39" spans="1:4" x14ac:dyDescent="0.2">
      <c r="A39">
        <v>4000</v>
      </c>
      <c r="B39" s="71" t="s">
        <v>730</v>
      </c>
      <c r="C39" s="129">
        <f>ROUND('DOE25'!F170+'DOE25'!G170+'DOE25'!H170+'DOE25'!I170,0)</f>
        <v>588328</v>
      </c>
      <c r="D39" s="132">
        <f t="shared" si="1"/>
        <v>5.9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10007015.98</v>
      </c>
      <c r="D41" s="134">
        <f>SUM(D35:D40)</f>
        <v>100.10000000000001</v>
      </c>
    </row>
    <row r="42" spans="1:4" x14ac:dyDescent="0.2">
      <c r="A42" s="133" t="s">
        <v>737</v>
      </c>
      <c r="B42" s="71" t="s">
        <v>733</v>
      </c>
      <c r="C42" s="129">
        <f>ROUND('DOE25'!F174+'DOE25'!I174+'DOE25'!F177+'DOE25'!I177,0)</f>
        <v>150375</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Gorham Randolph Shelburne Cooperative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19</v>
      </c>
      <c r="B4" s="150">
        <v>3</v>
      </c>
      <c r="C4" s="327" t="s">
        <v>1812</v>
      </c>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74</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18</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25</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f>IF('School Level Expenditures'!$B$2='School Tables'!L21,'School Tables'!S21,"")</f>
        <v>18</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f>IF('School Level Expenditures'!$B$2='School Tables'!W28,'School Tables'!AD28,"")</f>
        <v>25</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f>IF('School Level Expenditures'!$B$2=A77,'School Tables'!H77,"")</f>
        <v>74</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2023-10-03T13:53:17Z</cp:lastPrinted>
  <dcterms:created xsi:type="dcterms:W3CDTF">1997-12-04T19:04:30Z</dcterms:created>
  <dcterms:modified xsi:type="dcterms:W3CDTF">2023-12-28T16:56:57Z</dcterms:modified>
</cp:coreProperties>
</file>