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C86162F6-7D22-4AF1-8AF2-5FDDFED61FB4}"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58" i="1" l="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F111" i="1"/>
  <c r="G111" i="1"/>
  <c r="H79" i="1"/>
  <c r="H94" i="1"/>
  <c r="H111" i="1"/>
  <c r="I111" i="1"/>
  <c r="I112" i="1" s="1"/>
  <c r="J111" i="1"/>
  <c r="F121" i="1"/>
  <c r="F136" i="1"/>
  <c r="G121" i="1"/>
  <c r="G136" i="1"/>
  <c r="H121" i="1"/>
  <c r="H136" i="1"/>
  <c r="I121" i="1"/>
  <c r="I136" i="1"/>
  <c r="J121" i="1"/>
  <c r="J136" i="1"/>
  <c r="F147" i="1"/>
  <c r="C85" i="2" s="1"/>
  <c r="G147" i="1"/>
  <c r="D85" i="2" s="1"/>
  <c r="H147" i="1"/>
  <c r="H170" i="1" s="1"/>
  <c r="I147" i="1"/>
  <c r="I170" i="1" s="1"/>
  <c r="L251" i="1"/>
  <c r="C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46" i="1"/>
  <c r="H653" i="1"/>
  <c r="G654" i="1"/>
  <c r="H654" i="1"/>
  <c r="H655" i="1"/>
  <c r="H656" i="1"/>
  <c r="E120" i="2" l="1"/>
  <c r="E124" i="2"/>
  <c r="G663" i="1"/>
  <c r="D18" i="13"/>
  <c r="C18" i="13" s="1"/>
  <c r="F85" i="2"/>
  <c r="C32" i="10"/>
  <c r="H140" i="1"/>
  <c r="H26" i="2"/>
  <c r="H35" i="2"/>
  <c r="F170" i="1"/>
  <c r="E125" i="2"/>
  <c r="E112" i="2"/>
  <c r="E111" i="2"/>
  <c r="C112" i="2"/>
  <c r="H112" i="2" s="1"/>
  <c r="C125" i="2"/>
  <c r="H15" i="2"/>
  <c r="J140" i="1"/>
  <c r="H58" i="2"/>
  <c r="C110" i="2"/>
  <c r="H73" i="2"/>
  <c r="H102" i="2"/>
  <c r="H98" i="2"/>
  <c r="F409" i="1"/>
  <c r="H644" i="1" s="1"/>
  <c r="J644" i="1" s="1"/>
  <c r="G62" i="2"/>
  <c r="G63" i="2" s="1"/>
  <c r="H100" i="2"/>
  <c r="H93" i="2"/>
  <c r="H23" i="2"/>
  <c r="H11" i="2"/>
  <c r="G477" i="1"/>
  <c r="H624" i="1" s="1"/>
  <c r="J624" i="1" s="1"/>
  <c r="J652" i="1"/>
  <c r="G662" i="1"/>
  <c r="M2" i="14"/>
  <c r="M3" i="14" s="1"/>
  <c r="D144" i="2"/>
  <c r="H13" i="2"/>
  <c r="H9" i="2"/>
  <c r="H89" i="2"/>
  <c r="H34" i="2"/>
  <c r="A40" i="12"/>
  <c r="D29" i="13"/>
  <c r="C29" i="13" s="1"/>
  <c r="E13" i="13"/>
  <c r="C13" i="13" s="1"/>
  <c r="G409" i="1"/>
  <c r="H646" i="1" s="1"/>
  <c r="J646" i="1" s="1"/>
  <c r="H69" i="2"/>
  <c r="H30" i="2"/>
  <c r="H28" i="2"/>
  <c r="H25" i="2"/>
  <c r="H17" i="2"/>
  <c r="H38" i="2"/>
  <c r="H43" i="2"/>
  <c r="H47" i="2"/>
  <c r="H96" i="2"/>
  <c r="H80" i="2"/>
  <c r="H94" i="2"/>
  <c r="H113" i="2"/>
  <c r="H477" i="1"/>
  <c r="H625" i="1" s="1"/>
  <c r="J625" i="1" s="1"/>
  <c r="H101" i="2"/>
  <c r="H99" i="2"/>
  <c r="H79" i="2"/>
  <c r="H76" i="2"/>
  <c r="C13" i="10"/>
  <c r="J112" i="1"/>
  <c r="E121" i="2"/>
  <c r="N2" i="14"/>
  <c r="N3" i="14" s="1"/>
  <c r="H135" i="2"/>
  <c r="H77" i="2"/>
  <c r="H72" i="2"/>
  <c r="H59" i="2"/>
  <c r="C12" i="10"/>
  <c r="H29" i="2"/>
  <c r="H27" i="2"/>
  <c r="H24" i="2"/>
  <c r="H12" i="2"/>
  <c r="H8" i="2"/>
  <c r="H132" i="2"/>
  <c r="H36" i="2"/>
  <c r="H44" i="2"/>
  <c r="H48" i="2"/>
  <c r="I409" i="1"/>
  <c r="H97" i="2"/>
  <c r="H87" i="2"/>
  <c r="H61" i="2"/>
  <c r="H22" i="2"/>
  <c r="G651" i="1"/>
  <c r="D15" i="13"/>
  <c r="C15" i="13" s="1"/>
  <c r="C121" i="2"/>
  <c r="H121" i="2" s="1"/>
  <c r="C120" i="2"/>
  <c r="H120" i="2" s="1"/>
  <c r="C119" i="2"/>
  <c r="D6" i="13"/>
  <c r="C6" i="13" s="1"/>
  <c r="L2" i="14"/>
  <c r="L3" i="14" s="1"/>
  <c r="K2" i="14"/>
  <c r="K3" i="14" s="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H123" i="2" l="1"/>
  <c r="H114" i="2"/>
  <c r="H125" i="2"/>
  <c r="H110" i="2"/>
  <c r="G24" i="14"/>
  <c r="H24" i="14" s="1"/>
  <c r="I24" i="14" s="1"/>
  <c r="H111" i="2"/>
  <c r="B33" i="16"/>
  <c r="E51" i="2"/>
  <c r="H21" i="2"/>
  <c r="H31" i="2"/>
  <c r="H91" i="2"/>
  <c r="I663" i="1"/>
  <c r="H118" i="2"/>
  <c r="H122" i="2"/>
  <c r="E128" i="2"/>
  <c r="H18" i="2"/>
  <c r="H50" i="2"/>
  <c r="I662" i="1"/>
  <c r="H119" i="2"/>
  <c r="H62" i="2"/>
  <c r="L572" i="1"/>
  <c r="H134" i="2"/>
  <c r="H42" i="2"/>
  <c r="D128" i="2"/>
  <c r="D145" i="2" s="1"/>
  <c r="H127" i="2"/>
  <c r="D51" i="2"/>
  <c r="H16" i="2"/>
  <c r="H57" i="2"/>
  <c r="H103" i="2"/>
  <c r="H85" i="2"/>
  <c r="C81" i="2"/>
  <c r="H81" i="2" s="1"/>
  <c r="H78" i="2"/>
  <c r="F194" i="1"/>
  <c r="G628" i="1" s="1"/>
  <c r="J628" i="1" s="1"/>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M24" i="14" l="1"/>
  <c r="H128" i="2"/>
  <c r="H51" i="2"/>
  <c r="C144" i="2"/>
  <c r="C145" i="2" s="1"/>
  <c r="H141" i="2"/>
  <c r="C104" i="2"/>
  <c r="H104" i="2" s="1"/>
  <c r="H63"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H657" i="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rgb="FF000000"/>
            <rFont val="Tahoma"/>
            <family val="2"/>
          </rPr>
          <t xml:space="preserve">Only report the amount raise locally to support education.  Do not report the amount raise from the Statewide Property Tax.  That amount should be reported on  Page 4.
</t>
        </r>
        <r>
          <rPr>
            <sz val="8"/>
            <color rgb="FF000000"/>
            <rFont val="Tahoma"/>
            <family val="2"/>
          </rPr>
          <t xml:space="preserve">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rgb="FF000000"/>
            <rFont val="Tahoma"/>
            <family val="2"/>
          </rPr>
          <t xml:space="preserve">Only report the state’s share of the revenue on this page.  Do not lump sum the state and federal revenues.
</t>
        </r>
        <r>
          <rPr>
            <sz val="8"/>
            <color rgb="FF000000"/>
            <rFont val="Tahoma"/>
            <family val="2"/>
          </rPr>
          <t xml:space="preserve">
</t>
        </r>
      </text>
    </comment>
    <comment ref="G158" authorId="0" shapeId="0" xr:uid="{00000000-0006-0000-0000-000008000000}">
      <text>
        <r>
          <rPr>
            <sz val="8"/>
            <color rgb="FF000000"/>
            <rFont val="Tahoma"/>
            <family val="2"/>
          </rPr>
          <t xml:space="preserve">Only report the federal share of the revenue on this page.  Do not lump sum the 
</t>
        </r>
        <r>
          <rPr>
            <sz val="8"/>
            <color rgb="FF000000"/>
            <rFont val="Tahoma"/>
            <family val="2"/>
          </rPr>
          <t xml:space="preserve"> federal and state revenues. 
</t>
        </r>
        <r>
          <rPr>
            <sz val="8"/>
            <color rgb="FF000000"/>
            <rFont val="Tahoma"/>
            <family val="2"/>
          </rPr>
          <t xml:space="preserve">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rgb="FF000000"/>
            <rFont val="Tahoma"/>
            <family val="2"/>
          </rPr>
          <t xml:space="preserve">The total reported here must agree with the total transportation expenditures reported on Pages 7, 8, and 9.
</t>
        </r>
      </text>
    </comment>
    <comment ref="K606" authorId="0" shapeId="0" xr:uid="{00000000-0006-0000-0000-00000B000000}">
      <text>
        <r>
          <rPr>
            <sz val="8"/>
            <color rgb="FF000000"/>
            <rFont val="Tahoma"/>
            <family val="2"/>
          </rPr>
          <t xml:space="preserve">The total reported here must agree with the total reported on Pages 10 and 14  minus Function 4000 (Facilities Acquisition) for 
</t>
        </r>
        <r>
          <rPr>
            <sz val="8"/>
            <color rgb="FF000000"/>
            <rFont val="Tahoma"/>
            <family val="2"/>
          </rPr>
          <t xml:space="preserve"> property.
</t>
        </r>
        <r>
          <rPr>
            <sz val="8"/>
            <color rgb="FF000000"/>
            <rFont val="Tahoma"/>
            <family val="2"/>
          </rPr>
          <t xml:space="preserve">
</t>
        </r>
      </text>
    </comment>
    <comment ref="J618" authorId="1" shapeId="0" xr:uid="{00000000-0006-0000-0000-00000C000000}">
      <text>
        <r>
          <rPr>
            <b/>
            <sz val="9"/>
            <color rgb="FF000000"/>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rgb="FF000000"/>
            <rFont val="Tahoma"/>
            <family val="2"/>
          </rPr>
          <t>Total Current Assets equal Total Liabilities &amp; Equity for All Other Special Revenue Fund 22</t>
        </r>
        <r>
          <rPr>
            <sz val="9"/>
            <color rgb="FF000000"/>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rgb="FF000000"/>
            <rFont val="Tahoma"/>
            <family val="2"/>
          </rPr>
          <t>Total Current Assets equal Total Liabilities &amp; Equity for Trust Agency Fund 70</t>
        </r>
        <r>
          <rPr>
            <sz val="9"/>
            <color rgb="FF000000"/>
            <rFont val="Tahoma"/>
            <family val="2"/>
          </rPr>
          <t xml:space="preserve">
</t>
        </r>
      </text>
    </comment>
    <comment ref="J623" authorId="1" shapeId="0" xr:uid="{00000000-0006-0000-0000-000011000000}">
      <text>
        <r>
          <rPr>
            <b/>
            <sz val="9"/>
            <color rgb="FF000000"/>
            <rFont val="Tahoma"/>
            <family val="2"/>
          </rPr>
          <t>Total Fund Equity on Balance Sheet equals ending fund balance on page 19 for General Fund 10</t>
        </r>
        <r>
          <rPr>
            <sz val="9"/>
            <color rgb="FF000000"/>
            <rFont val="Tahoma"/>
            <family val="2"/>
          </rPr>
          <t xml:space="preserve">
</t>
        </r>
      </text>
    </comment>
    <comment ref="J624" authorId="1" shapeId="0" xr:uid="{00000000-0006-0000-0000-000012000000}">
      <text>
        <r>
          <rPr>
            <b/>
            <sz val="9"/>
            <color rgb="FF000000"/>
            <rFont val="Tahoma"/>
            <family val="2"/>
          </rPr>
          <t>Total Fund Equity on Balance Sheet equals ending fund balance on page 19 for Food Service Fund 21</t>
        </r>
        <r>
          <rPr>
            <sz val="9"/>
            <color rgb="FF000000"/>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rgb="FF000000"/>
            <rFont val="Tahoma"/>
            <family val="2"/>
          </rPr>
          <t>Total Fund Equity on Balance Sheet equals ending fund balance on page 19 for Capital Projects Fund 30</t>
        </r>
      </text>
    </comment>
    <comment ref="J627" authorId="1" shapeId="0" xr:uid="{00000000-0006-0000-0000-000015000000}">
      <text>
        <r>
          <rPr>
            <b/>
            <sz val="9"/>
            <color rgb="FF000000"/>
            <rFont val="Tahoma"/>
            <family val="2"/>
          </rPr>
          <t>Total Fund Equity on Balance Sheet equals ending fund balance on page 19 for Trust Agency Fund 70</t>
        </r>
        <r>
          <rPr>
            <sz val="9"/>
            <color rgb="FF000000"/>
            <rFont val="Tahoma"/>
            <family val="2"/>
          </rPr>
          <t xml:space="preserve">
</t>
        </r>
      </text>
    </comment>
    <comment ref="J628" authorId="1" shapeId="0" xr:uid="{00000000-0006-0000-0000-000016000000}">
      <text>
        <r>
          <rPr>
            <b/>
            <sz val="9"/>
            <color rgb="FF000000"/>
            <rFont val="Tahoma"/>
            <family val="2"/>
          </rPr>
          <t>Total Revenue &amp; Other Financing Sources on Page 6 equals Revenue reported on Page 19 for General Fund 10</t>
        </r>
        <r>
          <rPr>
            <sz val="9"/>
            <color rgb="FF000000"/>
            <rFont val="Tahoma"/>
            <family val="2"/>
          </rPr>
          <t xml:space="preserve">
</t>
        </r>
      </text>
    </comment>
    <comment ref="J629" authorId="1" shapeId="0" xr:uid="{00000000-0006-0000-0000-000017000000}">
      <text>
        <r>
          <rPr>
            <b/>
            <sz val="9"/>
            <color rgb="FF000000"/>
            <rFont val="Tahoma"/>
            <family val="2"/>
          </rPr>
          <t>Total Revenue &amp; Other Financing Sources on Page 6 equals Revenue reported on Page 19 for Food Service Fund 21</t>
        </r>
        <r>
          <rPr>
            <sz val="9"/>
            <color rgb="FF000000"/>
            <rFont val="Tahoma"/>
            <family val="2"/>
          </rPr>
          <t xml:space="preserve">
</t>
        </r>
      </text>
    </comment>
    <comment ref="J630" authorId="1" shapeId="0" xr:uid="{00000000-0006-0000-0000-000018000000}">
      <text>
        <r>
          <rPr>
            <b/>
            <sz val="9"/>
            <color rgb="FF000000"/>
            <rFont val="Tahoma"/>
            <family val="2"/>
          </rPr>
          <t>Total Revenue &amp; Other Financing Sources on Page 6 equals Revenue reported on Page 19 for All Other Special Revenue Fund 22</t>
        </r>
      </text>
    </comment>
    <comment ref="J631" authorId="1" shapeId="0" xr:uid="{00000000-0006-0000-0000-000019000000}">
      <text>
        <r>
          <rPr>
            <b/>
            <sz val="9"/>
            <color rgb="FF000000"/>
            <rFont val="Tahoma"/>
            <family val="2"/>
          </rPr>
          <t>Total Revenue &amp; Other Financing Sources on Page 6 equals Revenue reported on Page 19 for Capital Projects Fund 30</t>
        </r>
        <r>
          <rPr>
            <sz val="9"/>
            <color rgb="FF000000"/>
            <rFont val="Tahoma"/>
            <family val="2"/>
          </rPr>
          <t xml:space="preserve">
</t>
        </r>
      </text>
    </comment>
    <comment ref="J632" authorId="1" shapeId="0" xr:uid="{00000000-0006-0000-0000-00001A000000}">
      <text>
        <r>
          <rPr>
            <b/>
            <sz val="9"/>
            <color rgb="FF000000"/>
            <rFont val="Tahoma"/>
            <family val="2"/>
          </rPr>
          <t>Total Revenue &amp; Other Financing Sources on Page 6 equals Revenue reported on Page 19 for Trust Agency Fund 70</t>
        </r>
        <r>
          <rPr>
            <sz val="9"/>
            <color rgb="FF000000"/>
            <rFont val="Tahoma"/>
            <family val="2"/>
          </rPr>
          <t xml:space="preserve">
</t>
        </r>
      </text>
    </comment>
    <comment ref="J633" authorId="1" shapeId="0" xr:uid="{00000000-0006-0000-0000-00001B000000}">
      <text>
        <r>
          <rPr>
            <b/>
            <sz val="9"/>
            <color rgb="FF000000"/>
            <rFont val="Tahoma"/>
            <family val="2"/>
          </rPr>
          <t>Total Expenditures &amp; Other Financing Uses on Page 10 equals Expenditures reported on Page 19 for General Fund 10</t>
        </r>
        <r>
          <rPr>
            <sz val="9"/>
            <color rgb="FF000000"/>
            <rFont val="Tahoma"/>
            <family val="2"/>
          </rPr>
          <t xml:space="preserve">
</t>
        </r>
      </text>
    </comment>
    <comment ref="J634" authorId="1" shapeId="0" xr:uid="{00000000-0006-0000-0000-00001C000000}">
      <text>
        <r>
          <rPr>
            <b/>
            <sz val="9"/>
            <color rgb="FF000000"/>
            <rFont val="Tahoma"/>
            <family val="2"/>
          </rPr>
          <t>Total Expenditures &amp; Other Financing Uses on Page 14 equals Expenditures reported on Page 19 for Special Revenue Fund 22</t>
        </r>
        <r>
          <rPr>
            <sz val="9"/>
            <color rgb="FF000000"/>
            <rFont val="Tahoma"/>
            <family val="2"/>
          </rPr>
          <t xml:space="preserve">
</t>
        </r>
      </text>
    </comment>
    <comment ref="J635" authorId="1" shapeId="0" xr:uid="{00000000-0006-0000-0000-00001D000000}">
      <text>
        <r>
          <rPr>
            <b/>
            <sz val="9"/>
            <color rgb="FF000000"/>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rgb="FF000000"/>
            <rFont val="Tahoma"/>
            <family val="2"/>
          </rPr>
          <t>Total Food Service Expenditures on Page 15, line 5 equals Expenditures reported on Page 19 for Food Service Fund 22</t>
        </r>
        <r>
          <rPr>
            <sz val="9"/>
            <color rgb="FF000000"/>
            <rFont val="Tahoma"/>
            <family val="2"/>
          </rPr>
          <t xml:space="preserve">
</t>
        </r>
      </text>
    </comment>
    <comment ref="J637" authorId="1" shapeId="0" xr:uid="{00000000-0006-0000-0000-00001F000000}">
      <text>
        <r>
          <rPr>
            <b/>
            <sz val="9"/>
            <color rgb="FF000000"/>
            <rFont val="Tahoma"/>
            <family val="2"/>
          </rPr>
          <t>Total Expenditures for Page 15 line 17 equals page 19 Expenditures for Capital Fund 30</t>
        </r>
        <r>
          <rPr>
            <sz val="9"/>
            <color rgb="FF000000"/>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rgb="FF000000"/>
            <rFont val="Tahoma"/>
            <family val="2"/>
          </rPr>
          <t>Total Trust Fund Expenditures on page 17, line 20 equals Expenditures reported on Page 19 for Trust Agency Fund 70</t>
        </r>
        <r>
          <rPr>
            <sz val="9"/>
            <color rgb="FF000000"/>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rgb="FF000000"/>
            <rFont val="Tahoma"/>
            <family val="2"/>
          </rPr>
          <t>Total Current Trust Assets equal Total Liabilities and Equity on Page 18, column 4 for Total Trust</t>
        </r>
        <r>
          <rPr>
            <sz val="9"/>
            <color rgb="FF000000"/>
            <rFont val="Tahoma"/>
            <family val="2"/>
          </rPr>
          <t xml:space="preserve">
</t>
        </r>
      </text>
    </comment>
    <comment ref="J644" authorId="1" shapeId="0" xr:uid="{00000000-0006-0000-0000-000026000000}">
      <text>
        <r>
          <rPr>
            <b/>
            <sz val="9"/>
            <color rgb="FF000000"/>
            <rFont val="Tahoma"/>
            <family val="2"/>
          </rPr>
          <t xml:space="preserve">Total Appropriation for Trust Fund Page 2, Column 5 equals Page 16, column 1 line 20 Total Appropriations </t>
        </r>
        <r>
          <rPr>
            <sz val="9"/>
            <color rgb="FF000000"/>
            <rFont val="Tahoma"/>
            <family val="2"/>
          </rPr>
          <t xml:space="preserve">
</t>
        </r>
      </text>
    </comment>
    <comment ref="J645" authorId="1" shapeId="0" xr:uid="{00000000-0006-0000-0000-000027000000}">
      <text>
        <r>
          <rPr>
            <b/>
            <sz val="9"/>
            <color rgb="FF000000"/>
            <rFont val="Tahoma"/>
            <family val="2"/>
          </rPr>
          <t xml:space="preserve">Total Earnings on Investments Page 3, Column 5 equals Page 16, column 3 line 20 Total Interest Earned </t>
        </r>
        <r>
          <rPr>
            <sz val="9"/>
            <color rgb="FF000000"/>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rgb="FF000000"/>
            <rFont val="Tahoma"/>
            <family val="2"/>
          </rPr>
          <t>Total Revenue &amp; Other Financing Sources Page 6 line 19 Fund 70 equals Total Trust Fund Revenue on Page 16 line 20 column 7</t>
        </r>
        <r>
          <rPr>
            <sz val="9"/>
            <color rgb="FF000000"/>
            <rFont val="Tahoma"/>
            <family val="2"/>
          </rPr>
          <t xml:space="preserve">
</t>
        </r>
      </text>
    </comment>
    <comment ref="J648" authorId="1" shapeId="0" xr:uid="{00000000-0006-0000-0000-00002A000000}">
      <text>
        <r>
          <rPr>
            <b/>
            <sz val="9"/>
            <color rgb="FF000000"/>
            <rFont val="Tahoma"/>
            <family val="2"/>
          </rPr>
          <t>Total transportation expenses on Page 23 line 8 equals total transportation reported on Pages 7, 8, and 9 on line 11 for each page</t>
        </r>
        <r>
          <rPr>
            <sz val="9"/>
            <color rgb="FF000000"/>
            <rFont val="Tahoma"/>
            <family val="2"/>
          </rPr>
          <t xml:space="preserve">
</t>
        </r>
      </text>
    </comment>
    <comment ref="J649" authorId="1" shapeId="0" xr:uid="{CA6F5639-ABA1-4718-B3BA-61E88993E3C8}">
      <text>
        <r>
          <rPr>
            <b/>
            <sz val="9"/>
            <color rgb="FF000000"/>
            <rFont val="Tahoma"/>
            <family val="2"/>
          </rPr>
          <t>Welch, Matthew:</t>
        </r>
        <r>
          <rPr>
            <sz val="9"/>
            <color rgb="FF000000"/>
            <rFont val="Tahoma"/>
            <family val="2"/>
          </rPr>
          <t xml:space="preserve">
</t>
        </r>
        <r>
          <rPr>
            <sz val="9"/>
            <color rgb="FF000000"/>
            <rFont val="Tahoma"/>
            <family val="2"/>
          </rPr>
          <t>Total Capital Items on page 23 equal total property items on pages 7/8/9/10/11/12/13/14</t>
        </r>
      </text>
    </comment>
    <comment ref="J650" authorId="1" shapeId="0" xr:uid="{325AE138-A1E8-49B2-A29E-45BF7ABB66F6}">
      <text>
        <r>
          <rPr>
            <b/>
            <sz val="9"/>
            <color rgb="FF000000"/>
            <rFont val="Tahoma"/>
            <family val="2"/>
          </rPr>
          <t>Welch, Matthew:</t>
        </r>
        <r>
          <rPr>
            <sz val="9"/>
            <color rgb="FF000000"/>
            <rFont val="Tahoma"/>
            <family val="2"/>
          </rPr>
          <t xml:space="preserve">
</t>
        </r>
        <r>
          <rPr>
            <sz val="9"/>
            <color rgb="FF000000"/>
            <rFont val="Tahoma"/>
            <family val="2"/>
          </rPr>
          <t>Elementary transportation on page 7 equals elementary transportation reported on page 23</t>
        </r>
      </text>
    </comment>
    <comment ref="J651" authorId="1" shapeId="0" xr:uid="{5B16850A-2864-437C-88AA-CE9B9C52C64A}">
      <text>
        <r>
          <rPr>
            <b/>
            <sz val="9"/>
            <color rgb="FF000000"/>
            <rFont val="Tahoma"/>
            <family val="2"/>
          </rPr>
          <t>Welch, Matthew:</t>
        </r>
        <r>
          <rPr>
            <sz val="9"/>
            <color rgb="FF000000"/>
            <rFont val="Tahoma"/>
            <family val="2"/>
          </rPr>
          <t xml:space="preserve">
</t>
        </r>
        <r>
          <rPr>
            <sz val="9"/>
            <color rgb="FF000000"/>
            <rFont val="Tahoma"/>
            <family val="2"/>
          </rPr>
          <t>Middle/Jr. High  transportation on page 8 equals middle/Jr. High transportation reported on page 23</t>
        </r>
      </text>
    </comment>
    <comment ref="J652" authorId="1" shapeId="0" xr:uid="{612EE53A-9F19-4587-833A-7C7ED04AC7CA}">
      <text>
        <r>
          <rPr>
            <b/>
            <sz val="9"/>
            <color rgb="FF000000"/>
            <rFont val="Tahoma"/>
            <family val="2"/>
          </rPr>
          <t>Welch, Matthew:</t>
        </r>
        <r>
          <rPr>
            <sz val="9"/>
            <color rgb="FF000000"/>
            <rFont val="Tahoma"/>
            <family val="2"/>
          </rPr>
          <t xml:space="preserve">
</t>
        </r>
        <r>
          <rPr>
            <sz val="9"/>
            <color rgb="FF000000"/>
            <rFont val="Tahoma"/>
            <family val="2"/>
          </rPr>
          <t>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<sst xmlns="http://schemas.openxmlformats.org/spreadsheetml/2006/main" count="6561" uniqueCount="1816">
  <si>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</si>
  <si>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</si>
  <si>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</si>
  <si>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</si>
  <si>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</si>
  <si>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</si>
  <si>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</si>
  <si>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</si>
  <si>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</si>
  <si>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</si>
  <si>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</si>
  <si>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</si>
  <si>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</si>
  <si>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</si>
  <si>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</si>
  <si>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</si>
  <si>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</si>
  <si>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</si>
  <si>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</si>
  <si>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</si>
  <si>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</si>
  <si>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</si>
  <si>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</si>
  <si>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</si>
  <si>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</si>
  <si>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</si>
  <si>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</si>
  <si>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</si>
  <si>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</si>
  <si>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</si>
  <si>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</si>
  <si>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</si>
  <si>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</si>
  <si>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</si>
  <si>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</si>
  <si>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</si>
  <si>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</si>
  <si>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</si>
  <si>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</si>
  <si>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</si>
  <si>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</si>
  <si>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</si>
  <si>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</si>
  <si>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</si>
  <si>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</si>
  <si>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</si>
  <si>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</si>
  <si>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</si>
  <si>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</si>
  <si>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</si>
  <si>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</si>
  <si>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</si>
  <si>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</si>
  <si>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</si>
  <si>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</si>
  <si>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</si>
  <si>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</si>
  <si>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</si>
  <si>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</si>
  <si>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</si>
  <si>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</si>
  <si>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</si>
  <si>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</si>
  <si>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</si>
  <si>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</si>
  <si>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</si>
  <si>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</si>
  <si>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</si>
  <si>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</si>
  <si>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</si>
  <si>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</si>
  <si>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</si>
  <si>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</si>
  <si>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</si>
  <si>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</si>
  <si>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</si>
  <si>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</si>
  <si>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</si>
  <si>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</si>
  <si>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</si>
  <si>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</si>
  <si>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</si>
  <si>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</si>
  <si>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</si>
  <si>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</si>
  <si>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</si>
  <si>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</si>
  <si>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</si>
  <si>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</si>
  <si>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</si>
  <si>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</si>
  <si>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</si>
  <si>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</si>
  <si>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</si>
  <si>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</si>
  <si>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</si>
  <si>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</si>
  <si>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</si>
  <si>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</si>
  <si>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</si>
  <si>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</si>
  <si>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</si>
  <si>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</si>
  <si>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</si>
  <si>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</si>
  <si>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</si>
  <si>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</si>
  <si>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</si>
  <si>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</si>
  <si>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</si>
  <si>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</si>
  <si>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</si>
  <si>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</si>
  <si>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</si>
  <si>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</si>
  <si>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</si>
  <si>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</si>
  <si>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</si>
  <si>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</si>
  <si>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</si>
  <si>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</si>
  <si>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</si>
  <si>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</si>
  <si>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</si>
  <si>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</si>
  <si>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</si>
  <si>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</si>
  <si>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</si>
  <si>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</si>
  <si>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</si>
  <si>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</si>
  <si>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</si>
  <si>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</si>
  <si>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</si>
  <si>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</si>
  <si>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</si>
  <si>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</si>
  <si>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</si>
  <si>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</si>
  <si>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</si>
  <si>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</si>
  <si>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</si>
  <si>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</si>
  <si>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</si>
  <si>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</si>
  <si>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</si>
  <si>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</si>
  <si>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</si>
  <si>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</si>
  <si>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</si>
  <si>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</si>
  <si>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</si>
  <si>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</si>
  <si>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</si>
  <si>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</si>
  <si>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</si>
  <si>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</si>
  <si>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</si>
  <si>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</si>
  <si>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</si>
  <si>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</si>
  <si>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</si>
  <si>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</si>
  <si>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</si>
  <si>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</si>
  <si>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</si>
  <si>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</si>
  <si>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</si>
  <si>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</si>
  <si>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</si>
  <si>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</si>
  <si>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</si>
  <si>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</si>
  <si>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</si>
  <si>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</si>
  <si>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</si>
  <si>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</si>
  <si>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</si>
  <si>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</si>
  <si>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</si>
  <si>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</si>
  <si>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</si>
  <si>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</si>
  <si>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</si>
  <si>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</si>
  <si>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</si>
  <si>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</si>
  <si>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</si>
  <si>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</si>
  <si>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</si>
  <si>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</si>
  <si>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</si>
  <si>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</si>
  <si>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</si>
  <si>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</si>
  <si>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</si>
  <si>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</si>
  <si>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</si>
  <si>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</si>
  <si>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</si>
  <si>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</si>
  <si>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</si>
  <si>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</si>
  <si>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</si>
  <si>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</si>
  <si>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</si>
  <si>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</si>
  <si>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</si>
  <si>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</si>
  <si>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</si>
  <si>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</si>
  <si>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</si>
  <si>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</si>
  <si>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</si>
  <si>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</si>
  <si>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</si>
  <si>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</si>
  <si>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</si>
  <si>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</si>
  <si>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</si>
  <si>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</si>
  <si>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</si>
  <si>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</si>
  <si>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</si>
  <si>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</si>
  <si>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</si>
  <si>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</si>
  <si>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</si>
  <si>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</si>
  <si>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</si>
  <si>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</si>
  <si>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</si>
  <si>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</si>
  <si>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</si>
  <si>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</si>
  <si>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</si>
  <si>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</si>
  <si>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</si>
  <si>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</si>
  <si>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</si>
  <si>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</si>
  <si>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</si>
  <si>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</si>
  <si>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</si>
  <si>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</si>
  <si>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</si>
  <si>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</si>
  <si>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</si>
  <si>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</si>
  <si>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</si>
  <si>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</si>
  <si>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</si>
  <si>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</si>
  <si>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</si>
  <si>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</si>
  <si>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</si>
  <si>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</si>
  <si>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</si>
  <si>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</si>
  <si>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</si>
  <si>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</si>
  <si>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</si>
  <si>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</si>
  <si>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</si>
  <si>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</si>
  <si>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</si>
  <si>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</si>
  <si>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</si>
  <si>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</si>
  <si>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</si>
  <si>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</si>
  <si>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</si>
  <si>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</si>
  <si>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</si>
  <si>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</si>
  <si>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</si>
  <si>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</si>
  <si>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</si>
  <si>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</si>
  <si>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</si>
  <si>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</si>
  <si>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</si>
  <si>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</si>
  <si>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</si>
  <si>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</si>
  <si>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</si>
  <si>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</si>
  <si>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</si>
  <si>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</si>
  <si>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</si>
  <si>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</si>
  <si>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</si>
  <si>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</si>
  <si>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</si>
  <si>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</si>
  <si>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</si>
  <si>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</si>
  <si>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</si>
  <si>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</si>
  <si>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</si>
  <si>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</si>
  <si>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</si>
  <si>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</si>
  <si>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</si>
  <si>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</si>
  <si>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</si>
  <si>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</si>
  <si>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</si>
  <si>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</si>
  <si>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</si>
  <si>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</si>
  <si>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</si>
  <si>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</si>
  <si>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</si>
  <si>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</si>
  <si>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</si>
  <si>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</si>
  <si>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</si>
  <si>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</si>
  <si>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</si>
  <si>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</si>
  <si>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</si>
  <si>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</si>
  <si>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</si>
  <si>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</si>
  <si>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</si>
  <si>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</si>
  <si>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</si>
  <si>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</si>
  <si>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</si>
  <si>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</si>
  <si>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</si>
  <si>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</si>
  <si>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</si>
  <si>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</si>
  <si>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</si>
  <si>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</si>
  <si>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</si>
  <si>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</si>
  <si>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</si>
  <si>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</si>
  <si>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</si>
  <si>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</si>
  <si>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</si>
  <si>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</si>
  <si>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</si>
  <si>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</si>
  <si>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</si>
  <si>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</si>
  <si>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</si>
  <si>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</si>
  <si>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</si>
  <si>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</si>
  <si>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</si>
  <si>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</si>
  <si>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</si>
  <si>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</si>
  <si>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</si>
  <si>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</si>
  <si>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</si>
  <si>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</si>
  <si>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</si>
  <si>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</si>
  <si>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</si>
  <si>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</si>
  <si>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</si>
  <si>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</si>
  <si>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</si>
  <si>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</si>
  <si>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</si>
  <si>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</si>
  <si>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</si>
  <si>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</si>
  <si>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</si>
  <si>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</si>
  <si>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</si>
  <si>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</si>
  <si>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</si>
  <si>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</si>
  <si>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</si>
  <si>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</si>
  <si>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</si>
  <si>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</si>
  <si>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</si>
  <si>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</si>
  <si>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</si>
  <si>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</si>
  <si>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</si>
  <si>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</si>
  <si>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</si>
  <si>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</si>
  <si>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</si>
  <si>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</si>
  <si>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</si>
  <si>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</si>
  <si>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</si>
  <si>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</si>
  <si>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</si>
  <si>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</si>
  <si>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</si>
  <si>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</si>
  <si>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</si>
  <si>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</si>
  <si>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</si>
  <si>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</si>
  <si>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</si>
  <si>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</si>
  <si>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</si>
  <si>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</si>
  <si>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</si>
  <si>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</si>
  <si>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</si>
  <si>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</si>
  <si>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</si>
  <si>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</si>
  <si>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</si>
  <si>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</si>
  <si>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</si>
  <si>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</si>
  <si>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</si>
  <si>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</si>
  <si>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</si>
  <si>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</si>
  <si>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</si>
  <si>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</si>
  <si>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</si>
  <si>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</si>
  <si>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</si>
  <si>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</si>
  <si>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</si>
  <si>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</si>
  <si>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</si>
  <si>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</si>
  <si>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</si>
  <si>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</si>
  <si>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</si>
  <si>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</si>
  <si>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</si>
  <si>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</si>
  <si>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</si>
  <si>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</si>
  <si>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</si>
  <si>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</si>
  <si>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</si>
  <si>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</si>
  <si>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</si>
  <si>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</si>
  <si>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</si>
  <si>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</si>
  <si>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</si>
  <si>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</si>
  <si>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</si>
  <si>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</si>
  <si>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</si>
  <si>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</si>
  <si>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</si>
  <si>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</si>
  <si>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</si>
  <si>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</si>
  <si>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</si>
  <si>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</si>
  <si>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</si>
  <si>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</si>
  <si>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</si>
  <si>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</si>
  <si>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</si>
  <si>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</si>
  <si>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</si>
  <si>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</si>
  <si>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</si>
  <si>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</si>
  <si>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</si>
  <si>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</si>
  <si>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</si>
  <si>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</si>
  <si>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</si>
  <si>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</si>
  <si>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</si>
  <si>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</si>
  <si>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</si>
  <si>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</si>
  <si>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</si>
  <si>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</si>
  <si>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</si>
  <si>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</si>
  <si>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</si>
  <si>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</si>
  <si>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</si>
  <si>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</si>
  <si>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</si>
  <si>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</si>
  <si>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</si>
  <si>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</si>
  <si>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</si>
  <si>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</si>
  <si>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</si>
  <si>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</si>
  <si>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</si>
  <si>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</si>
  <si>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</si>
  <si>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</si>
  <si>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</si>
  <si>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</si>
  <si>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</si>
  <si>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</si>
  <si>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</si>
  <si>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</si>
  <si>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</si>
  <si>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</si>
  <si>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</si>
  <si>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</si>
  <si>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</si>
  <si>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</si>
  <si>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</si>
  <si>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</si>
  <si>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</si>
  <si>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</si>
  <si>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</si>
  <si>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</si>
  <si>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</si>
  <si>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</si>
  <si>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</si>
  <si>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</si>
  <si>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</si>
  <si>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</si>
  <si>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</si>
  <si>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</si>
  <si>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</si>
  <si>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</si>
  <si>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</si>
  <si>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</si>
  <si>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</si>
  <si>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</si>
  <si>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</si>
  <si>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</si>
  <si>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</si>
  <si>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</si>
  <si>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</si>
  <si>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</si>
  <si>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</si>
  <si>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</si>
  <si>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</si>
  <si>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</si>
  <si>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</si>
  <si>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</si>
  <si>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</si>
  <si>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</si>
  <si>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</si>
  <si>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</si>
  <si>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</si>
  <si>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</si>
  <si>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</si>
  <si>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</si>
  <si>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</si>
  <si>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</si>
  <si>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</si>
  <si>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</si>
  <si>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</si>
  <si>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</si>
  <si>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</si>
  <si>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</si>
  <si>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</si>
  <si>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</si>
  <si>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</si>
  <si>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</si>
  <si>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</si>
  <si>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</si>
  <si>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</si>
  <si>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</si>
  <si>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</si>
  <si>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</si>
  <si>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</si>
  <si>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</si>
  <si>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</si>
  <si>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</si>
  <si>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</si>
  <si>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</si>
  <si>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</si>
  <si>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</si>
  <si>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</si>
  <si>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</si>
  <si>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</si>
  <si>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</si>
  <si>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</si>
  <si>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</si>
  <si>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</si>
  <si>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</si>
  <si>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</si>
  <si>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</si>
  <si>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</si>
  <si>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</si>
  <si>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</si>
  <si>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</si>
  <si>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</si>
  <si>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</si>
  <si>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</si>
  <si>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</si>
  <si>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</si>
  <si>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</si>
  <si>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</si>
  <si>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</si>
  <si>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</si>
  <si>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</si>
  <si>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</si>
  <si>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</si>
  <si>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</si>
  <si>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</si>
  <si>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</si>
  <si>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</si>
  <si>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</si>
  <si>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</si>
  <si>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</si>
  <si>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</si>
  <si>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</si>
  <si>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</si>
  <si>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</si>
  <si>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</si>
  <si>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</si>
  <si>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</si>
  <si>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</si>
  <si>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</si>
  <si>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</si>
  <si>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</si>
  <si>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</si>
  <si>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</si>
  <si>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</si>
  <si>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</si>
  <si>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</si>
  <si>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</si>
  <si>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</si>
  <si>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</si>
  <si>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</si>
  <si>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</si>
  <si>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</si>
  <si>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</si>
  <si>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</si>
  <si>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</si>
  <si>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</si>
  <si>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</si>
  <si>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</si>
  <si>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</si>
  <si>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</si>
  <si>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</si>
  <si>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</si>
  <si>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</si>
  <si>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</si>
  <si>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</si>
  <si>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</si>
  <si>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</si>
  <si>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</si>
  <si>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</si>
  <si>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</si>
  <si>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</si>
  <si>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</si>
  <si>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</si>
  <si>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</si>
  <si>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</si>
  <si>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</si>
  <si>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</si>
  <si>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</si>
  <si>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</si>
  <si>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</si>
  <si>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</si>
  <si>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</si>
  <si>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</si>
  <si>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</si>
  <si>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</si>
  <si>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</si>
  <si>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</si>
  <si>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</si>
  <si>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</si>
  <si>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</si>
  <si>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</si>
  <si>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</si>
  <si>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</si>
  <si>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</si>
  <si>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</si>
  <si>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</si>
  <si>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</si>
  <si>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</si>
  <si>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</si>
  <si>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</si>
  <si>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</si>
  <si>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</si>
  <si>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</si>
  <si>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</si>
  <si>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</si>
  <si>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</si>
  <si>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</si>
  <si>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</si>
  <si>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</si>
  <si>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</si>
  <si>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</si>
  <si>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</si>
  <si>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</si>
  <si>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</si>
  <si>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</si>
  <si>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</si>
  <si>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</si>
  <si>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</si>
  <si>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</si>
  <si>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</si>
  <si>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</si>
  <si>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</si>
  <si>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</si>
  <si>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</si>
  <si>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</si>
  <si>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</si>
  <si>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</si>
  <si>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</si>
  <si>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</si>
  <si>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</si>
  <si>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</si>
  <si>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</si>
  <si>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</si>
  <si>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</si>
  <si>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</si>
  <si>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</si>
  <si>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</si>
  <si>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</si>
  <si>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</si>
  <si>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</si>
  <si>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</si>
  <si>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</si>
  <si>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</si>
  <si>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</si>
  <si>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</si>
  <si>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</si>
  <si>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</si>
  <si>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</si>
  <si>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</si>
  <si>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</si>
  <si>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</si>
  <si>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</si>
  <si>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</si>
  <si>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</si>
  <si>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</si>
  <si>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</si>
  <si>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</si>
  <si>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</si>
  <si>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</si>
  <si>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</si>
  <si>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</si>
  <si>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</si>
  <si>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</si>
  <si>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</si>
  <si>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</si>
  <si>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</si>
  <si>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</si>
  <si>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</si>
  <si>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</si>
  <si>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</si>
  <si>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</si>
  <si>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</si>
  <si>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</si>
  <si>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</si>
  <si>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</si>
  <si>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</si>
  <si>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</si>
  <si>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</si>
  <si>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</si>
  <si>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</si>
  <si>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</si>
  <si>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</si>
  <si>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</si>
  <si>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</si>
  <si>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</si>
  <si>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</si>
  <si>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</si>
  <si>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</si>
  <si>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</si>
  <si>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</si>
  <si>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</si>
  <si>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</si>
  <si>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</si>
  <si>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</si>
  <si>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</si>
  <si>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</si>
  <si>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</si>
  <si>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</si>
  <si>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</si>
  <si>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</si>
  <si>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</si>
  <si>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</si>
  <si>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</si>
  <si>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</si>
  <si>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</si>
  <si>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</si>
  <si>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</si>
  <si>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</si>
  <si>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</si>
  <si>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</si>
  <si>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</si>
  <si>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</si>
  <si>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</si>
  <si>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</si>
  <si>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</si>
  <si>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</si>
  <si>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</si>
  <si>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</si>
  <si>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</si>
  <si>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</si>
  <si>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</si>
  <si>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</si>
  <si>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</si>
  <si>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</si>
  <si>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</si>
  <si>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</si>
  <si>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</si>
  <si>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</si>
  <si>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</si>
  <si>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</si>
  <si>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</si>
  <si>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</si>
  <si>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</si>
  <si>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</si>
  <si>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</si>
  <si>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</si>
  <si>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</si>
  <si>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</si>
  <si>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</si>
  <si>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</si>
  <si>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</si>
  <si>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</si>
  <si>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</si>
  <si>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</si>
  <si>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</si>
  <si>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</si>
  <si>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</si>
  <si>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</si>
  <si>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</si>
  <si>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</si>
  <si>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</si>
  <si>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</si>
  <si>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</si>
  <si>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</si>
  <si>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</si>
  <si>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</si>
  <si>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</si>
  <si>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</si>
  <si>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</si>
  <si>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</si>
  <si>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</si>
  <si>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</si>
  <si>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</si>
  <si>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</si>
  <si>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</si>
  <si>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</si>
  <si>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</si>
  <si>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</si>
  <si>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</si>
  <si>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</si>
  <si>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</si>
  <si>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</si>
  <si>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</si>
  <si>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</si>
  <si>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</si>
  <si>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</si>
  <si>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</si>
  <si>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</si>
  <si>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</si>
  <si>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</si>
  <si>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</si>
  <si>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</si>
  <si>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</si>
  <si>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</si>
  <si>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</si>
  <si>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</si>
  <si>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</si>
  <si>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</si>
  <si>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</si>
  <si>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</si>
  <si>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</si>
  <si>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</si>
  <si>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</si>
  <si>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</si>
  <si>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</si>
  <si>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</si>
  <si>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</si>
  <si>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</si>
  <si>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</si>
  <si>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</si>
  <si>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</si>
  <si>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</si>
  <si>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</si>
  <si>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</si>
  <si>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</si>
  <si>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</si>
  <si>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</si>
  <si>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</si>
  <si>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</si>
  <si>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</si>
  <si>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</si>
  <si>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</si>
  <si>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</si>
  <si>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</si>
  <si>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</si>
  <si>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</si>
  <si>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</si>
  <si>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</si>
  <si>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</si>
  <si>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</si>
  <si>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</si>
  <si>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</si>
  <si>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</si>
  <si>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</si>
  <si>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</si>
  <si>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</si>
  <si>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</si>
  <si>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</si>
  <si>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</si>
  <si>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</si>
  <si>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</si>
  <si>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</si>
  <si>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</si>
  <si>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</si>
  <si>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</si>
  <si>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</si>
  <si>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</si>
  <si>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</si>
  <si>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</si>
  <si>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</si>
  <si>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</si>
  <si>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</si>
  <si>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</si>
  <si>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</si>
  <si>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</si>
  <si>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</si>
  <si>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</si>
  <si>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</si>
  <si>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</si>
  <si>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</si>
  <si>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</si>
  <si>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</si>
  <si>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</si>
  <si>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</si>
  <si>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</si>
  <si>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</si>
  <si>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</si>
  <si>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</si>
  <si>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</si>
  <si>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</si>
  <si>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</si>
  <si>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</si>
  <si>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</si>
  <si>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</si>
  <si>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</si>
  <si>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</si>
  <si>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</si>
  <si>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</si>
  <si>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</si>
  <si>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</si>
  <si>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</si>
  <si>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</si>
  <si>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</si>
  <si>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</si>
  <si>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</si>
  <si>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</si>
  <si>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</si>
  <si>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</si>
  <si>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</si>
  <si>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</si>
  <si>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</si>
  <si>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</si>
  <si>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</si>
  <si>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</si>
  <si>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</si>
  <si>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</si>
  <si>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</si>
  <si>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</si>
  <si>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</si>
  <si>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</si>
  <si>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</si>
  <si>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</si>
  <si>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</si>
  <si>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</si>
  <si>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</si>
  <si>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</si>
  <si>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</si>
  <si>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</si>
  <si>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</si>
  <si>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</si>
  <si>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</si>
  <si>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</si>
  <si>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</si>
  <si>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</si>
  <si>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</si>
  <si>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</si>
  <si>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</si>
  <si>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</si>
  <si>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</si>
  <si>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</si>
  <si>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</si>
  <si>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</si>
  <si>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</si>
  <si>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</si>
  <si>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</si>
  <si>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</si>
  <si>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</si>
  <si>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</si>
  <si>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</si>
  <si>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</si>
  <si>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</si>
  <si>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</si>
  <si>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</si>
  <si>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</si>
  <si>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</si>
  <si>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</si>
  <si>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</si>
  <si>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</si>
  <si>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</si>
  <si>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</si>
  <si>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</si>
  <si>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</si>
  <si>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</si>
  <si>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</si>
  <si>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</si>
  <si>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</si>
  <si>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</si>
  <si>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</si>
  <si>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</si>
  <si>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</si>
  <si>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</si>
  <si>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</si>
  <si>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</si>
  <si>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</si>
  <si>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</si>
  <si>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</si>
  <si>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</si>
  <si>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</si>
  <si>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</si>
  <si>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</si>
  <si>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</si>
  <si>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</si>
  <si>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</si>
  <si>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</si>
  <si>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</si>
  <si>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</si>
  <si>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</si>
  <si>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</si>
  <si>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</si>
  <si>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</si>
  <si>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</si>
  <si>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</si>
  <si>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</si>
  <si>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</si>
  <si>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</si>
  <si>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</si>
  <si>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</si>
  <si>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</si>
  <si>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</si>
  <si>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</si>
  <si>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</si>
  <si>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</si>
  <si>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</si>
  <si>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</si>
  <si>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</si>
  <si>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</si>
  <si>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</si>
  <si>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</si>
  <si>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</si>
  <si>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</si>
  <si>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</si>
  <si>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</si>
  <si>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</si>
  <si>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</si>
  <si>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</si>
  <si>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</si>
  <si>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</si>
  <si>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</si>
  <si>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</si>
  <si>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</si>
  <si>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</si>
  <si>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</si>
  <si>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</si>
  <si>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</si>
  <si>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</si>
  <si>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</si>
  <si>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</si>
  <si>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</si>
  <si>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</si>
  <si>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</si>
  <si>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</si>
  <si>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</si>
  <si>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</si>
  <si>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</si>
  <si>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</si>
  <si>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</si>
  <si>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</si>
  <si>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</si>
  <si>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</si>
  <si>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</si>
  <si>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</si>
  <si>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</si>
  <si>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</si>
  <si>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</si>
  <si>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</si>
  <si>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</si>
  <si>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</si>
  <si>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</si>
  <si>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</si>
  <si>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</si>
  <si>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</si>
  <si>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</si>
  <si>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</si>
  <si>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</si>
  <si>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</si>
  <si>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</si>
  <si>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</si>
  <si>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</si>
  <si>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</si>
  <si>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</si>
  <si>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</si>
  <si>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</si>
  <si>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</si>
  <si>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</si>
  <si>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</si>
  <si>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</si>
  <si>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</si>
  <si>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</si>
  <si>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</si>
  <si>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</si>
  <si>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</si>
  <si>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</si>
  <si>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</si>
  <si>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</si>
  <si>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</si>
  <si>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</si>
  <si>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</si>
  <si>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</si>
  <si>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</si>
  <si>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</si>
  <si>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</si>
  <si>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</si>
  <si>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</si>
  <si>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</si>
  <si>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</si>
  <si>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</si>
  <si>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</si>
  <si>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</si>
  <si>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</si>
  <si>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</si>
  <si>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</si>
  <si>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</si>
  <si>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</si>
  <si>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</si>
  <si>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</si>
  <si>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</si>
  <si>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</si>
  <si>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</si>
  <si>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</si>
  <si>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</si>
  <si>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</si>
  <si>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</si>
  <si>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</si>
  <si>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</si>
  <si>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</si>
  <si>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</si>
  <si>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</si>
  <si>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</si>
  <si>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</si>
  <si>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</si>
  <si>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</si>
  <si>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</si>
  <si>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</si>
  <si>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</si>
  <si>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</si>
  <si>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</si>
  <si>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</si>
  <si>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</si>
  <si>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</si>
  <si>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</si>
  <si>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</si>
  <si>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</si>
  <si>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</si>
  <si>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</si>
  <si>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</si>
  <si>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</si>
  <si>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</si>
  <si>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</si>
  <si>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</si>
  <si>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</si>
  <si>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</si>
  <si>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</si>
  <si>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</si>
  <si>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</si>
  <si>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</si>
  <si>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</si>
  <si>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</si>
  <si>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</si>
  <si>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</si>
  <si>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</si>
  <si>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</si>
  <si>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</si>
  <si>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</si>
  <si>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</si>
  <si>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</si>
  <si>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</si>
  <si>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</si>
  <si>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</si>
  <si>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</si>
  <si>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</si>
  <si>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</si>
  <si>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</si>
  <si>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</si>
  <si>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</si>
  <si>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</si>
  <si>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</si>
  <si>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</si>
  <si>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</si>
  <si>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</si>
  <si>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</si>
  <si>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</si>
  <si>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</si>
  <si>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</si>
  <si>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</si>
  <si>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</si>
  <si>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</si>
  <si>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</si>
  <si>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</si>
  <si>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</si>
  <si>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</si>
  <si>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</si>
  <si>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</si>
  <si>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</si>
  <si>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</si>
  <si>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</si>
  <si>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</si>
  <si>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</si>
  <si>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</si>
  <si>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</si>
  <si>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</si>
  <si>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</si>
  <si>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</si>
  <si>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</si>
  <si>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</si>
  <si>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</si>
  <si>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</si>
  <si>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</si>
  <si>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</si>
  <si>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</si>
  <si>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</si>
  <si>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</si>
  <si>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</si>
  <si>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</si>
  <si>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</si>
  <si>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</si>
  <si>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</si>
  <si>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</si>
  <si>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</si>
  <si>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</si>
  <si>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</si>
  <si>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</si>
  <si>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</si>
  <si>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</si>
  <si>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</si>
  <si>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</si>
  <si>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</si>
  <si>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</si>
  <si>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</si>
  <si>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</si>
  <si>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</si>
  <si>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</si>
  <si>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</si>
  <si>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</si>
  <si>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</si>
  <si>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</si>
  <si>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</si>
  <si>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</si>
  <si>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</si>
  <si>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</si>
  <si>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</si>
  <si>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</si>
  <si>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</si>
  <si>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</si>
  <si>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</si>
  <si>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</si>
  <si>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</si>
  <si>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</si>
  <si>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</si>
  <si>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</si>
  <si>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</si>
  <si>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</si>
  <si>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</si>
  <si>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</si>
  <si>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</si>
  <si>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</si>
  <si>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</si>
  <si>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</si>
  <si>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</si>
  <si>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</si>
  <si>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</si>
  <si>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</si>
  <si>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</si>
  <si>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</si>
  <si>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</si>
  <si>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</si>
  <si>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</si>
  <si>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</si>
  <si>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</si>
  <si>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</si>
  <si>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</si>
  <si>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</si>
  <si>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</si>
  <si>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</si>
  <si>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</si>
  <si>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</si>
  <si>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</si>
  <si>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</si>
  <si>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</si>
  <si>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</si>
  <si>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</si>
  <si>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</si>
  <si>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</si>
  <si>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</si>
  <si>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</si>
  <si>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</si>
  <si>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</si>
  <si>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</si>
  <si>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</si>
  <si>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</si>
  <si>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</si>
  <si>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</si>
  <si>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</si>
  <si>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</si>
  <si>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</si>
  <si>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</si>
  <si>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</si>
  <si>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</si>
  <si>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</si>
  <si>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</si>
  <si>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</si>
  <si>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</si>
  <si>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</si>
  <si>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</si>
  <si>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</si>
  <si>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</si>
  <si>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</si>
  <si>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</si>
  <si>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</si>
  <si>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</si>
  <si>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</si>
  <si>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</si>
  <si>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</si>
  <si>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</si>
  <si>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</si>
  <si>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</si>
  <si>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</si>
  <si>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</si>
  <si>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</si>
  <si>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</si>
  <si>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</si>
  <si>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</si>
  <si>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</si>
  <si>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</si>
  <si>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</si>
  <si>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</si>
  <si>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</si>
  <si>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</si>
  <si>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</si>
  <si>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</si>
  <si>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</si>
  <si>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</si>
  <si>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</si>
  <si>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</si>
  <si>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</si>
  <si>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</si>
  <si>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</si>
  <si>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</si>
  <si>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</si>
  <si>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</si>
  <si>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</si>
  <si>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</si>
  <si>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</si>
  <si>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</si>
  <si>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</si>
  <si>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</si>
  <si>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</si>
  <si>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</si>
  <si>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</si>
  <si>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</si>
  <si>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</si>
  <si>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</si>
  <si>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</si>
  <si>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</si>
  <si>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</si>
  <si>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</si>
  <si>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</si>
  <si>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</si>
  <si>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</si>
  <si>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</si>
  <si>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</si>
  <si>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</si>
  <si>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</si>
  <si>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</si>
  <si>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</si>
  <si>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</si>
  <si>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</si>
  <si>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</si>
  <si>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</si>
  <si>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</si>
  <si>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</si>
  <si>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</si>
  <si>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</si>
  <si>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</si>
  <si>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</si>
  <si>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</si>
  <si>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</si>
  <si>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</si>
  <si>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</si>
  <si>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</si>
  <si>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</si>
  <si>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</si>
  <si>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</si>
  <si>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</si>
  <si>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</si>
  <si>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</si>
  <si>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</si>
  <si>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</si>
  <si>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</si>
  <si>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</si>
  <si>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</si>
  <si>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</si>
  <si>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</si>
  <si>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</si>
  <si>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</si>
  <si>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</si>
  <si>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</si>
  <si>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</si>
  <si>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</si>
  <si>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</si>
  <si>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</si>
  <si>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</si>
  <si>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</si>
  <si>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</si>
  <si>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</si>
  <si>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</si>
  <si>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</si>
  <si>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</si>
  <si>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</si>
  <si>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</si>
  <si>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</si>
  <si>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</si>
  <si>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</si>
  <si>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</si>
  <si>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</si>
  <si>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</si>
  <si>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</si>
  <si>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</si>
  <si>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</si>
  <si>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</si>
  <si>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</si>
  <si>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</si>
  <si>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</si>
  <si>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</si>
  <si>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</si>
  <si>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</si>
  <si>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</si>
  <si>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</si>
  <si>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</si>
  <si>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</si>
  <si>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</si>
  <si>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</si>
  <si>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</si>
  <si>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</si>
  <si>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</si>
  <si>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</si>
  <si>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</si>
  <si>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</si>
  <si>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</si>
  <si>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</si>
  <si>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</si>
  <si>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</si>
  <si>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</si>
  <si>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</si>
  <si>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</si>
  <si>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</si>
  <si>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</si>
  <si>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</si>
  <si>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</si>
  <si>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</si>
  <si>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</si>
  <si>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</si>
  <si>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</si>
  <si>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</si>
  <si>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</si>
  <si>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</si>
  <si>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</si>
  <si>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</si>
  <si>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</si>
  <si>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</si>
  <si>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</si>
  <si>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</si>
  <si>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</si>
  <si>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</si>
  <si>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</si>
  <si>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</si>
  <si>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</si>
  <si>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</si>
  <si>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</si>
  <si>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</si>
  <si>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</si>
  <si>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</si>
  <si>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</si>
  <si>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</si>
  <si>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</si>
  <si>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</si>
  <si>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</si>
  <si>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</si>
  <si>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</si>
  <si>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</si>
  <si>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</si>
  <si>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</si>
  <si>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</si>
  <si>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</si>
  <si>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</si>
  <si>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</si>
  <si>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</si>
  <si>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</si>
  <si>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</si>
  <si>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</si>
  <si>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</si>
  <si>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</si>
  <si>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</si>
  <si>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</si>
  <si>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</si>
  <si>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</si>
  <si>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</si>
  <si>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</si>
  <si>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</si>
  <si>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</si>
  <si>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</si>
  <si>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</si>
  <si>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</si>
  <si>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</si>
  <si>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</si>
  <si>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</si>
  <si>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</si>
  <si>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</si>
  <si>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</si>
  <si>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</si>
  <si>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</si>
  <si>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</si>
  <si>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</si>
  <si>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</si>
  <si>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</si>
  <si>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</si>
  <si>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</si>
  <si>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</si>
  <si>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</si>
  <si>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</si>
  <si>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</si>
  <si>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</si>
  <si>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</si>
  <si>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</si>
  <si>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</si>
  <si>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</si>
  <si>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</si>
  <si>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</si>
  <si>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</si>
  <si>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</si>
  <si>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</si>
  <si>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</si>
  <si>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</si>
  <si>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</si>
  <si>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</si>
  <si>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</si>
  <si>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</si>
  <si>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</si>
  <si>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</si>
  <si>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</si>
  <si>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</si>
  <si>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</si>
  <si>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</si>
  <si>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</si>
  <si>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</si>
  <si>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</si>
  <si>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</si>
  <si>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</si>
  <si>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</si>
  <si>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</si>
  <si>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</si>
  <si>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</si>
  <si>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</si>
  <si>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</si>
  <si>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</si>
  <si>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</si>
  <si>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</si>
  <si>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</si>
  <si>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</si>
  <si>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</si>
  <si>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</si>
  <si>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</si>
  <si>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</si>
  <si>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</si>
  <si>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</si>
  <si>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</si>
  <si>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</si>
  <si>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</si>
  <si>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</si>
  <si>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</si>
  <si>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</si>
  <si>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</si>
  <si>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</si>
  <si>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</si>
  <si>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</si>
  <si>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</si>
  <si>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</si>
  <si>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</si>
  <si>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</si>
  <si>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</si>
  <si>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</si>
  <si>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</si>
  <si>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</si>
  <si>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</si>
  <si>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</si>
  <si>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</si>
  <si>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</si>
  <si>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</si>
  <si>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</si>
  <si>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</si>
  <si>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</si>
  <si>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</si>
  <si>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</si>
  <si>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</si>
  <si>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</si>
  <si>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</si>
  <si>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</si>
  <si>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</si>
  <si>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</si>
  <si>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</si>
  <si>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</si>
  <si>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</si>
  <si>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</si>
  <si>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</si>
  <si>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</si>
  <si>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</si>
  <si>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</si>
  <si>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</si>
  <si>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</si>
  <si>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</si>
  <si>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</si>
  <si>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</si>
  <si>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</si>
  <si>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</si>
  <si>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</si>
  <si>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</si>
  <si>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</si>
  <si>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</si>
  <si>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</si>
  <si>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</si>
  <si>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</si>
  <si>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</si>
  <si>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</si>
  <si>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</si>
  <si>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</si>
  <si>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</si>
  <si>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</si>
  <si>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</si>
  <si>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</si>
  <si>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</si>
  <si>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</si>
  <si>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</si>
  <si>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</si>
  <si>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</si>
  <si>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</si>
  <si>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</si>
  <si>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</si>
  <si>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</si>
  <si>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</si>
  <si>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</si>
  <si>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</si>
  <si>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</si>
  <si>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</si>
  <si>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</si>
  <si>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</si>
  <si>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</si>
  <si>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</si>
  <si>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</si>
  <si>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</si>
  <si>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</si>
  <si>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</si>
  <si>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</si>
  <si>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</si>
  <si>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</si>
  <si>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</si>
  <si>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</si>
  <si>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</si>
  <si>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</si>
  <si>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</si>
  <si>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</si>
  <si>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</si>
  <si>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</si>
  <si>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</si>
  <si>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</si>
  <si>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</si>
  <si>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</si>
  <si>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</si>
  <si>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</si>
  <si>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</si>
  <si>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</si>
  <si>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</si>
  <si>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</si>
  <si>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</si>
  <si>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</si>
  <si>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</si>
  <si>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</si>
  <si>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</si>
  <si>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</si>
  <si>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</si>
  <si>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</si>
  <si>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</si>
  <si>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</si>
  <si>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</si>
  <si>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</si>
  <si>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</si>
  <si>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</si>
  <si>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</si>
  <si>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</si>
  <si>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</si>
  <si>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</si>
  <si>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</si>
  <si>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</si>
  <si>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</si>
  <si>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</si>
  <si>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</si>
  <si>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</si>
  <si>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</si>
  <si>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</si>
  <si>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</si>
  <si>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</si>
  <si>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</si>
  <si>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</si>
  <si>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</si>
  <si>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</si>
  <si>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</si>
  <si>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</si>
  <si>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</si>
  <si>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</si>
  <si>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</si>
  <si>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</si>
  <si>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</si>
  <si>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</si>
  <si>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</si>
  <si>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</si>
  <si>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</si>
  <si>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</si>
  <si>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</si>
  <si>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</si>
  <si>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</si>
  <si>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</si>
  <si>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</si>
  <si>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</si>
  <si>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</si>
  <si>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</si>
  <si>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</si>
  <si>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</si>
  <si>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</si>
  <si>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</si>
  <si>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</si>
  <si>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</si>
  <si>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</si>
  <si>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</si>
  <si>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</si>
  <si>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</si>
  <si>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</si>
  <si>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</si>
  <si>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</si>
  <si>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</si>
  <si>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</si>
  <si>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</si>
  <si>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</si>
  <si>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</si>
  <si>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</si>
  <si>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</si>
  <si>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</si>
  <si>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</si>
  <si>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</si>
  <si>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</si>
  <si>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</si>
  <si>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</si>
  <si>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</si>
  <si>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</si>
  <si>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</si>
  <si>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</si>
  <si>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</si>
  <si>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</si>
  <si>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</si>
  <si>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</si>
  <si>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</si>
  <si>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</si>
  <si>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</si>
  <si>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</si>
  <si>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</si>
  <si>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</si>
  <si>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</si>
  <si>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</si>
  <si>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</si>
  <si>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</si>
  <si>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</si>
  <si>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</si>
  <si>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</si>
  <si>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</si>
  <si>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</si>
  <si>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</si>
  <si>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</si>
  <si>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</si>
  <si>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</si>
  <si>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</si>
  <si>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</si>
  <si>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</si>
  <si>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</si>
  <si>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12/08</t>
  </si>
  <si>
    <t>01/29</t>
  </si>
  <si>
    <t>07/22</t>
  </si>
  <si>
    <t>08/32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</si>
</sst>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6"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
      <sz val="8"/>
      <color rgb="FF000000"/>
      <name val="Tahoma"/>
      <family val="2"/>
    </font>
    <font>
      <b/>
      <sz val="9"/>
      <color rgb="FF000000"/>
      <name val="Tahoma"/>
      <family val="2"/>
    </font>
    <font>
      <sz val="9"/>
      <color rgb="FF000000"/>
      <name val="Tahoma"/>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55" zoomScale="162" zoomScaleNormal="162" workbookViewId="0">
      <selection activeCell="F667" sqref="F667"/>
    </sheetView>
  </sheetViews>
  <sheetFormatPr defaultColWidth="8.6640625" defaultRowHeight="12.2" customHeight="1" x14ac:dyDescent="0.2"/>
  <cols>
    <col min="1" max="1" width="45.1640625" customWidth="1"/>
    <col min="2" max="2" width="5.1640625" customWidth="1"/>
    <col min="3" max="3" width="5" customWidth="1"/>
    <col min="4" max="4" width="3.6640625" hidden="1" customWidth="1"/>
    <col min="5" max="5" width="6.6640625" bestFit="1" customWidth="1"/>
    <col min="6" max="6" width="17" style="19" customWidth="1"/>
    <col min="7" max="8" width="17.1640625" style="19" customWidth="1"/>
    <col min="9" max="9" width="18.66406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1073</v>
      </c>
      <c r="B2">
        <f>INDEX('School Tables'!$AH$3:$AH$209,MATCH('DOE25'!A2,'School Tables'!$AJ$3:$AJ$209,0))</f>
        <v>211</v>
      </c>
      <c r="C2">
        <f>INDEX('School Tables'!$AI$3:$AI$209,MATCH('DOE25'!A2,'School Tables'!$AJ$3:$AJ$209,0))</f>
        <v>211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899803.82</v>
      </c>
      <c r="G9" s="18"/>
      <c r="H9" s="18"/>
      <c r="I9" s="18"/>
      <c r="J9" s="13">
        <f>SUM(I440)</f>
        <v>700725.11</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v>18186.310000000001</v>
      </c>
      <c r="H12" s="18"/>
      <c r="I12" s="18">
        <v>616652.30000000005</v>
      </c>
      <c r="J12" s="13">
        <f>SUM(I442)</f>
        <v>0</v>
      </c>
      <c r="K12" s="23" t="s">
        <v>288</v>
      </c>
      <c r="L12" s="23" t="s">
        <v>288</v>
      </c>
      <c r="M12" s="8"/>
      <c r="N12" s="165"/>
    </row>
    <row r="13" spans="1:14" s="3" customFormat="1" ht="12.2" customHeight="1" x14ac:dyDescent="0.15">
      <c r="A13" s="1" t="s">
        <v>604</v>
      </c>
      <c r="B13" s="2" t="s">
        <v>289</v>
      </c>
      <c r="C13" s="6">
        <v>5</v>
      </c>
      <c r="D13" s="2" t="s">
        <v>428</v>
      </c>
      <c r="E13" s="6">
        <v>140</v>
      </c>
      <c r="F13" s="18">
        <v>15048.3</v>
      </c>
      <c r="G13" s="18">
        <v>9124.86</v>
      </c>
      <c r="H13" s="18">
        <v>89271.84</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908.8</v>
      </c>
      <c r="G14" s="18">
        <v>811.2</v>
      </c>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122335.48</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1038096.4</v>
      </c>
      <c r="G19" s="38">
        <f>SUM(G9:G18)</f>
        <v>28122.370000000003</v>
      </c>
      <c r="H19" s="38">
        <f>SUM(H9:H18)</f>
        <v>89271.84</v>
      </c>
      <c r="I19" s="38">
        <f>SUM(I9:I18)</f>
        <v>616652.30000000005</v>
      </c>
      <c r="J19" s="38">
        <f>SUM(J9:J18)</f>
        <v>700725.11</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557258.56000000006</v>
      </c>
      <c r="G22" s="18"/>
      <c r="H22" s="18">
        <v>86439.88</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58991.839999999997</v>
      </c>
      <c r="G24" s="18">
        <v>1266</v>
      </c>
      <c r="H24" s="18"/>
      <c r="I24" s="18">
        <v>60591.6</v>
      </c>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4332.91</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15757.07</v>
      </c>
      <c r="H30" s="18">
        <v>2831.96</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620583.31000000006</v>
      </c>
      <c r="G32" s="38">
        <f>SUM(G22:G31)</f>
        <v>17023.07</v>
      </c>
      <c r="H32" s="38">
        <f>SUM(H22:H31)</f>
        <v>89271.840000000011</v>
      </c>
      <c r="I32" s="38">
        <f>SUM(I22:I31)</f>
        <v>60591.6</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v>11099.3</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v>554096.80000000005</v>
      </c>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v>1963.9</v>
      </c>
      <c r="J48" s="13">
        <f>SUM(I460)</f>
        <v>700725.11</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417513.09</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417513.09</v>
      </c>
      <c r="G51" s="38">
        <f>SUM(G35:G50)</f>
        <v>11099.3</v>
      </c>
      <c r="H51" s="38">
        <f>SUM(H35:H50)</f>
        <v>0</v>
      </c>
      <c r="I51" s="38">
        <f>SUM(I35:I50)</f>
        <v>556060.70000000007</v>
      </c>
      <c r="J51" s="38">
        <f>SUM(J35:J50)</f>
        <v>700725.11</v>
      </c>
      <c r="K51" s="42" t="s">
        <v>288</v>
      </c>
      <c r="L51" s="42" t="s">
        <v>288</v>
      </c>
      <c r="N51" s="131"/>
    </row>
    <row r="52" spans="1:14" s="3" customFormat="1" ht="12.2" customHeight="1" thickTop="1" x14ac:dyDescent="0.15">
      <c r="A52" s="35" t="s">
        <v>455</v>
      </c>
      <c r="B52" s="36" t="s">
        <v>289</v>
      </c>
      <c r="C52" s="6">
        <v>37</v>
      </c>
      <c r="D52" s="36" t="s">
        <v>653</v>
      </c>
      <c r="E52" s="36"/>
      <c r="F52" s="38">
        <f>F51+F32</f>
        <v>1038096.4000000001</v>
      </c>
      <c r="G52" s="38">
        <f>G51+G32</f>
        <v>28122.37</v>
      </c>
      <c r="H52" s="38">
        <f>H51+H32</f>
        <v>89271.840000000011</v>
      </c>
      <c r="I52" s="38">
        <f>I51+I32</f>
        <v>616652.30000000005</v>
      </c>
      <c r="J52" s="38">
        <f>J51+J32</f>
        <v>700725.11</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7571564</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7571564</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17651.2</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17651.2</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2012.54</v>
      </c>
      <c r="G96" s="18"/>
      <c r="H96" s="18"/>
      <c r="I96" s="18">
        <v>12415.51</v>
      </c>
      <c r="J96" s="18">
        <v>12107.5</v>
      </c>
      <c r="K96" s="23" t="s">
        <v>288</v>
      </c>
      <c r="L96" s="23" t="s">
        <v>288</v>
      </c>
      <c r="M96" s="8"/>
      <c r="N96" s="165"/>
    </row>
    <row r="97" spans="1:14" s="3" customFormat="1" ht="12.2" customHeight="1" x14ac:dyDescent="0.15">
      <c r="A97" s="1" t="s">
        <v>503</v>
      </c>
      <c r="B97" s="2" t="s">
        <v>315</v>
      </c>
      <c r="C97" s="6">
        <v>12</v>
      </c>
      <c r="D97" s="2" t="s">
        <v>430</v>
      </c>
      <c r="E97" s="6">
        <v>1600</v>
      </c>
      <c r="F97" s="23" t="s">
        <v>288</v>
      </c>
      <c r="G97" s="18">
        <v>86442.91</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v>5228.04</v>
      </c>
      <c r="I102" s="18">
        <v>2112.15</v>
      </c>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v>9948.4</v>
      </c>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1204</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1777</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4993.54</v>
      </c>
      <c r="G111" s="38">
        <f>SUM(G96:G110)</f>
        <v>96391.31</v>
      </c>
      <c r="H111" s="38">
        <f>SUM(H96:H110)</f>
        <v>5228.04</v>
      </c>
      <c r="I111" s="38">
        <f>SUM(I96:I110)</f>
        <v>14527.66</v>
      </c>
      <c r="J111" s="38">
        <f>SUM(J96:J110)</f>
        <v>12107.5</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7594208.7400000002</v>
      </c>
      <c r="G112" s="38">
        <f>G60+G111</f>
        <v>96391.31</v>
      </c>
      <c r="H112" s="38">
        <f>H60+H79+H94+H111</f>
        <v>5228.04</v>
      </c>
      <c r="I112" s="38">
        <f>I60+I111</f>
        <v>14527.66</v>
      </c>
      <c r="J112" s="38">
        <f>J60+J111</f>
        <v>12107.5</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1185544.5900000001</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695379</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38199.97</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1919123.56</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107513.08</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126778.12</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1290.08</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234291.20000000001</v>
      </c>
      <c r="G136" s="38">
        <f>SUM(G123:G135)</f>
        <v>1290.08</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2153414.7600000002</v>
      </c>
      <c r="G140" s="38">
        <f>G121+SUM(G136:G137)</f>
        <v>1290.08</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14016</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34147.089999999997</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29217.54</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31030.83+10843.38</f>
        <v>41874.21</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92260.73</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17154.04</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7771.53</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52837.52</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17154.04</v>
      </c>
      <c r="G163" s="38">
        <f>SUM(G150:G162)</f>
        <v>41874.21</v>
      </c>
      <c r="H163" s="38">
        <f>SUM(H150:H162)</f>
        <v>230250.40999999997</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17154.04</v>
      </c>
      <c r="G170" s="38">
        <f>G147+G163+SUM(G164:G169)</f>
        <v>41874.21</v>
      </c>
      <c r="H170" s="38">
        <f>H147+H163+SUM(H164:H169)</f>
        <v>230250.40999999997</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v>700000</v>
      </c>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700000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v>100000</v>
      </c>
      <c r="G187" s="18"/>
      <c r="H187" s="18"/>
      <c r="I187" s="18">
        <v>50000</v>
      </c>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100000</v>
      </c>
      <c r="G189" s="38">
        <f>SUM(G186:G188)</f>
        <v>0</v>
      </c>
      <c r="H189" s="38">
        <f>SUM(H186:H188)</f>
        <v>0</v>
      </c>
      <c r="I189" s="38">
        <f>SUM(I186:I188)</f>
        <v>50000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100000</v>
      </c>
      <c r="G193" s="38">
        <f>G184+SUM(G189:G192)</f>
        <v>0</v>
      </c>
      <c r="H193" s="38">
        <f>+H184+SUM(H189:H192)</f>
        <v>0</v>
      </c>
      <c r="I193" s="38">
        <f>I178+I184+SUM(I189:I192)</f>
        <v>750000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9864777.5399999991</v>
      </c>
      <c r="G194" s="38">
        <f>G112+G140+G170+G193</f>
        <v>139555.6</v>
      </c>
      <c r="H194" s="38">
        <f>H112+H140+H170+H193</f>
        <v>235478.44999999998</v>
      </c>
      <c r="I194" s="38">
        <f>I112+I140+I170+I193</f>
        <v>764527.66</v>
      </c>
      <c r="J194" s="38">
        <f>J112+J140+J193</f>
        <v>12107.5</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1363630.22</v>
      </c>
      <c r="G198" s="18">
        <v>724393.05</v>
      </c>
      <c r="H198" s="18">
        <v>23062.69</v>
      </c>
      <c r="I198" s="18">
        <v>55886.82</v>
      </c>
      <c r="J198" s="18">
        <v>2162.7399999999998</v>
      </c>
      <c r="K198" s="18"/>
      <c r="L198" s="13">
        <f>SUM(F198:K198)</f>
        <v>2169135.52</v>
      </c>
      <c r="M198" s="8"/>
      <c r="N198" s="165"/>
    </row>
    <row r="199" spans="1:14" s="3" customFormat="1" ht="12.2" customHeight="1" x14ac:dyDescent="0.15">
      <c r="A199" s="1" t="s">
        <v>439</v>
      </c>
      <c r="B199" s="2" t="s">
        <v>341</v>
      </c>
      <c r="C199" s="2" t="s">
        <v>291</v>
      </c>
      <c r="D199" s="2" t="s">
        <v>431</v>
      </c>
      <c r="E199" s="6">
        <v>1200</v>
      </c>
      <c r="F199" s="18">
        <v>771373.97</v>
      </c>
      <c r="G199" s="18">
        <v>464473.66</v>
      </c>
      <c r="H199" s="18">
        <v>54802.91</v>
      </c>
      <c r="I199" s="18">
        <v>8280.92</v>
      </c>
      <c r="J199" s="18">
        <v>1991.98</v>
      </c>
      <c r="K199" s="18">
        <v>1555</v>
      </c>
      <c r="L199" s="13">
        <f>SUM(F199:K199)</f>
        <v>1302478.4399999997</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232272.18</v>
      </c>
      <c r="G203" s="18">
        <v>59084.15</v>
      </c>
      <c r="H203" s="18">
        <v>273046.61</v>
      </c>
      <c r="I203" s="18">
        <v>4531.34</v>
      </c>
      <c r="J203" s="18"/>
      <c r="K203" s="18">
        <v>150</v>
      </c>
      <c r="L203" s="13">
        <f t="shared" ref="L203:L209" si="0">SUM(F203:K203)</f>
        <v>569084.27999999991</v>
      </c>
      <c r="M203" s="8"/>
      <c r="N203" s="165"/>
    </row>
    <row r="204" spans="1:14" s="3" customFormat="1" ht="12.2" customHeight="1" x14ac:dyDescent="0.15">
      <c r="A204" s="1" t="s">
        <v>443</v>
      </c>
      <c r="B204" s="2" t="s">
        <v>341</v>
      </c>
      <c r="C204" s="2" t="s">
        <v>295</v>
      </c>
      <c r="D204" s="2" t="s">
        <v>431</v>
      </c>
      <c r="E204" s="6">
        <v>2200</v>
      </c>
      <c r="F204" s="18">
        <v>150805</v>
      </c>
      <c r="G204" s="18">
        <v>70305.320000000007</v>
      </c>
      <c r="H204" s="18">
        <v>39959.550000000003</v>
      </c>
      <c r="I204" s="18">
        <v>16233.28</v>
      </c>
      <c r="J204" s="18">
        <v>37259.35</v>
      </c>
      <c r="K204" s="18"/>
      <c r="L204" s="13">
        <f t="shared" si="0"/>
        <v>314562.5</v>
      </c>
      <c r="M204" s="8"/>
      <c r="N204" s="165"/>
    </row>
    <row r="205" spans="1:14" s="3" customFormat="1" ht="12.2" customHeight="1" x14ac:dyDescent="0.15">
      <c r="A205" s="1" t="s">
        <v>444</v>
      </c>
      <c r="B205" s="2" t="s">
        <v>341</v>
      </c>
      <c r="C205" s="2" t="s">
        <v>296</v>
      </c>
      <c r="D205" s="2" t="s">
        <v>431</v>
      </c>
      <c r="E205" s="6">
        <v>2300</v>
      </c>
      <c r="F205" s="18">
        <v>242047</v>
      </c>
      <c r="G205" s="18">
        <v>105066.51</v>
      </c>
      <c r="H205" s="18">
        <v>76935.42</v>
      </c>
      <c r="I205" s="18">
        <v>20478.97</v>
      </c>
      <c r="J205" s="18"/>
      <c r="K205" s="18">
        <v>5874.25</v>
      </c>
      <c r="L205" s="13">
        <f t="shared" si="0"/>
        <v>450402.15</v>
      </c>
      <c r="M205" s="8"/>
      <c r="N205" s="165"/>
    </row>
    <row r="206" spans="1:14" s="3" customFormat="1" ht="12.2" customHeight="1" x14ac:dyDescent="0.15">
      <c r="A206" s="1" t="s">
        <v>445</v>
      </c>
      <c r="B206" s="2" t="s">
        <v>341</v>
      </c>
      <c r="C206" s="2" t="s">
        <v>297</v>
      </c>
      <c r="D206" s="2" t="s">
        <v>431</v>
      </c>
      <c r="E206" s="6">
        <v>2400</v>
      </c>
      <c r="F206" s="18">
        <v>185012.65</v>
      </c>
      <c r="G206" s="18">
        <v>50731.21</v>
      </c>
      <c r="H206" s="18">
        <v>21176.86</v>
      </c>
      <c r="I206" s="18">
        <v>6233.7</v>
      </c>
      <c r="J206" s="18">
        <v>3534</v>
      </c>
      <c r="K206" s="18">
        <v>819</v>
      </c>
      <c r="L206" s="13">
        <f t="shared" si="0"/>
        <v>267507.42</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162047.39000000001</v>
      </c>
      <c r="G208" s="18">
        <v>88267.42</v>
      </c>
      <c r="H208" s="18">
        <v>163581.95000000001</v>
      </c>
      <c r="I208" s="18">
        <v>129537.95</v>
      </c>
      <c r="J208" s="18">
        <v>37188.15</v>
      </c>
      <c r="K208" s="18"/>
      <c r="L208" s="13">
        <f t="shared" si="0"/>
        <v>580622.86</v>
      </c>
      <c r="M208" s="8"/>
      <c r="N208" s="165"/>
    </row>
    <row r="209" spans="1:14" s="3" customFormat="1" ht="12.2" customHeight="1" x14ac:dyDescent="0.15">
      <c r="A209" s="1" t="s">
        <v>448</v>
      </c>
      <c r="B209" s="2" t="s">
        <v>341</v>
      </c>
      <c r="C209" s="2" t="s">
        <v>300</v>
      </c>
      <c r="D209" s="2" t="s">
        <v>431</v>
      </c>
      <c r="E209" s="6">
        <v>2700</v>
      </c>
      <c r="F209" s="18"/>
      <c r="G209" s="18"/>
      <c r="H209" s="18">
        <v>203005.4</v>
      </c>
      <c r="I209" s="18"/>
      <c r="J209" s="18"/>
      <c r="K209" s="18"/>
      <c r="L209" s="13">
        <f t="shared" si="0"/>
        <v>203005.4</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3107188.41</v>
      </c>
      <c r="G212" s="38">
        <f t="shared" si="1"/>
        <v>1562321.3199999998</v>
      </c>
      <c r="H212" s="38">
        <f t="shared" si="1"/>
        <v>855571.39</v>
      </c>
      <c r="I212" s="38">
        <f t="shared" si="1"/>
        <v>241182.97999999998</v>
      </c>
      <c r="J212" s="38">
        <f t="shared" si="1"/>
        <v>82136.22</v>
      </c>
      <c r="K212" s="38">
        <f t="shared" si="1"/>
        <v>8398.25</v>
      </c>
      <c r="L212" s="38">
        <f t="shared" si="1"/>
        <v>5856798.5700000012</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v>1044603.78</v>
      </c>
      <c r="I216" s="18"/>
      <c r="J216" s="18"/>
      <c r="K216" s="18"/>
      <c r="L216" s="13">
        <f>SUM(F216:K216)</f>
        <v>1044603.78</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v>34117.300000000003</v>
      </c>
      <c r="I227" s="18"/>
      <c r="J227" s="18"/>
      <c r="K227" s="18"/>
      <c r="L227" s="13">
        <f t="shared" si="2"/>
        <v>34117.300000000003</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1078721.08</v>
      </c>
      <c r="I230" s="38">
        <f>SUM(I216:I229)</f>
        <v>0</v>
      </c>
      <c r="J230" s="38">
        <f>SUM(J216:J229)</f>
        <v>0</v>
      </c>
      <c r="K230" s="38">
        <f t="shared" si="3"/>
        <v>0</v>
      </c>
      <c r="L230" s="38">
        <f t="shared" si="3"/>
        <v>1078721.08</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2313555.06</v>
      </c>
      <c r="I234" s="18"/>
      <c r="J234" s="18"/>
      <c r="K234" s="18"/>
      <c r="L234" s="13">
        <f>SUM(F234:K234)</f>
        <v>2313555.06</v>
      </c>
      <c r="M234" s="8"/>
      <c r="N234" s="165"/>
    </row>
    <row r="235" spans="1:14" s="3" customFormat="1" ht="12.2" customHeight="1" x14ac:dyDescent="0.15">
      <c r="A235" s="1" t="s">
        <v>439</v>
      </c>
      <c r="B235" s="2" t="s">
        <v>350</v>
      </c>
      <c r="C235" s="2" t="s">
        <v>291</v>
      </c>
      <c r="D235" s="2" t="s">
        <v>431</v>
      </c>
      <c r="E235" s="6">
        <v>1200</v>
      </c>
      <c r="F235" s="18"/>
      <c r="G235" s="18"/>
      <c r="H235" s="18">
        <v>121000</v>
      </c>
      <c r="I235" s="18"/>
      <c r="J235" s="18"/>
      <c r="K235" s="18"/>
      <c r="L235" s="13">
        <f>SUM(F235:K235)</f>
        <v>121000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v>84097.4</v>
      </c>
      <c r="I245" s="18"/>
      <c r="J245" s="18"/>
      <c r="K245" s="18"/>
      <c r="L245" s="13">
        <f t="shared" si="4"/>
        <v>84097.4</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2518652.46</v>
      </c>
      <c r="I248" s="38">
        <f t="shared" si="5"/>
        <v>0</v>
      </c>
      <c r="J248" s="38">
        <f t="shared" si="5"/>
        <v>0</v>
      </c>
      <c r="K248" s="38">
        <f t="shared" si="5"/>
        <v>0</v>
      </c>
      <c r="L248" s="38">
        <f t="shared" si="5"/>
        <v>2518652.46</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3107188.41</v>
      </c>
      <c r="G258" s="38">
        <f t="shared" si="8"/>
        <v>1562321.3199999998</v>
      </c>
      <c r="H258" s="38">
        <f t="shared" si="8"/>
        <v>4452944.93</v>
      </c>
      <c r="I258" s="38">
        <f t="shared" si="8"/>
        <v>241182.97999999998</v>
      </c>
      <c r="J258" s="38">
        <f t="shared" si="8"/>
        <v>82136.22</v>
      </c>
      <c r="K258" s="38">
        <f t="shared" si="8"/>
        <v>8398.25</v>
      </c>
      <c r="L258" s="38">
        <f t="shared" si="8"/>
        <v>9454172.1100000013</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355000</v>
      </c>
      <c r="L261" s="13">
        <f>SUM(F261:K261)</f>
        <v>355000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125111.5</v>
      </c>
      <c r="L262" s="13">
        <f>SUM(F262:K262)</f>
        <v>125111.5</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480111.5</v>
      </c>
      <c r="L271" s="38">
        <f t="shared" si="9"/>
        <v>480111.5</v>
      </c>
      <c r="M271" s="8"/>
      <c r="N271" s="165"/>
    </row>
    <row r="272" spans="1:14" s="33" customFormat="1" ht="12.2" customHeight="1" thickTop="1" x14ac:dyDescent="0.2">
      <c r="A272" s="40" t="s">
        <v>464</v>
      </c>
      <c r="B272" s="37">
        <v>10</v>
      </c>
      <c r="C272" s="37">
        <v>18</v>
      </c>
      <c r="D272" s="36" t="s">
        <v>431</v>
      </c>
      <c r="E272" s="37"/>
      <c r="F272" s="39">
        <f t="shared" ref="F272:L272" si="11">F258+F271</f>
        <v>3107188.41</v>
      </c>
      <c r="G272" s="39">
        <f t="shared" si="11"/>
        <v>1562321.3199999998</v>
      </c>
      <c r="H272" s="39">
        <f t="shared" si="11"/>
        <v>4452944.93</v>
      </c>
      <c r="I272" s="39">
        <f t="shared" si="11"/>
        <v>241182.97999999998</v>
      </c>
      <c r="J272" s="39">
        <f t="shared" si="11"/>
        <v>82136.22</v>
      </c>
      <c r="K272" s="39">
        <f t="shared" si="11"/>
        <v>488509.75</v>
      </c>
      <c r="L272" s="39">
        <f t="shared" si="11"/>
        <v>9934283.6100000013</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48855.33</v>
      </c>
      <c r="G277" s="18">
        <v>3737.27</v>
      </c>
      <c r="H277" s="18">
        <v>3223</v>
      </c>
      <c r="I277" s="18">
        <v>20223.75</v>
      </c>
      <c r="J277" s="18"/>
      <c r="K277" s="18"/>
      <c r="L277" s="13">
        <f>SUM(F277:K277)</f>
        <v>76039.350000000006</v>
      </c>
      <c r="M277" s="8"/>
      <c r="N277" s="165"/>
    </row>
    <row r="278" spans="1:14" s="3" customFormat="1" ht="12.2" customHeight="1" x14ac:dyDescent="0.15">
      <c r="A278" s="1" t="s">
        <v>439</v>
      </c>
      <c r="B278" s="2" t="s">
        <v>357</v>
      </c>
      <c r="C278" s="2" t="s">
        <v>291</v>
      </c>
      <c r="D278" s="2" t="s">
        <v>431</v>
      </c>
      <c r="E278" s="6">
        <v>1200</v>
      </c>
      <c r="F278" s="18">
        <v>50645.77</v>
      </c>
      <c r="G278" s="18">
        <v>3629.81</v>
      </c>
      <c r="H278" s="18">
        <v>37533.760000000002</v>
      </c>
      <c r="I278" s="18">
        <v>451.39</v>
      </c>
      <c r="J278" s="18"/>
      <c r="K278" s="18"/>
      <c r="L278" s="13">
        <f>SUM(F278:K278)</f>
        <v>92260.73</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v>800</v>
      </c>
      <c r="J280" s="18"/>
      <c r="K280" s="18"/>
      <c r="L280" s="13">
        <f>SUM(F280:K280)</f>
        <v>800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20583.95</v>
      </c>
      <c r="G282" s="18">
        <v>1489.83</v>
      </c>
      <c r="H282" s="18"/>
      <c r="I282" s="18"/>
      <c r="J282" s="18"/>
      <c r="K282" s="18"/>
      <c r="L282" s="13">
        <f t="shared" ref="L282:L288" si="12">SUM(F282:K282)</f>
        <v>22073.78</v>
      </c>
      <c r="M282" s="8"/>
      <c r="N282" s="165"/>
    </row>
    <row r="283" spans="1:14" s="3" customFormat="1" ht="12.2" customHeight="1" x14ac:dyDescent="0.15">
      <c r="A283" s="1" t="s">
        <v>443</v>
      </c>
      <c r="B283" s="2" t="s">
        <v>357</v>
      </c>
      <c r="C283" s="2" t="s">
        <v>295</v>
      </c>
      <c r="D283" s="2" t="s">
        <v>431</v>
      </c>
      <c r="E283" s="6">
        <v>2200</v>
      </c>
      <c r="F283" s="18">
        <v>5873.38</v>
      </c>
      <c r="G283" s="18">
        <v>1266.51</v>
      </c>
      <c r="H283" s="18">
        <v>13950.51</v>
      </c>
      <c r="I283" s="18">
        <v>2501.9699999999998</v>
      </c>
      <c r="J283" s="18">
        <v>3579.5</v>
      </c>
      <c r="K283" s="18"/>
      <c r="L283" s="13">
        <f t="shared" si="12"/>
        <v>27171.870000000003</v>
      </c>
      <c r="M283" s="8"/>
      <c r="N283" s="165"/>
    </row>
    <row r="284" spans="1:14" s="3" customFormat="1" ht="12.2" customHeight="1" x14ac:dyDescent="0.15">
      <c r="A284" s="1" t="s">
        <v>444</v>
      </c>
      <c r="B284" s="2" t="s">
        <v>357</v>
      </c>
      <c r="C284" s="2" t="s">
        <v>296</v>
      </c>
      <c r="D284" s="2" t="s">
        <v>431</v>
      </c>
      <c r="E284" s="6">
        <v>2300</v>
      </c>
      <c r="F284" s="18"/>
      <c r="G284" s="18"/>
      <c r="H284" s="18"/>
      <c r="I284" s="18">
        <v>3279.84</v>
      </c>
      <c r="J284" s="18"/>
      <c r="K284" s="18"/>
      <c r="L284" s="13">
        <f t="shared" si="12"/>
        <v>3279.84</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v>13501.53</v>
      </c>
      <c r="I287" s="18">
        <v>351.35</v>
      </c>
      <c r="J287" s="18"/>
      <c r="K287" s="18"/>
      <c r="L287" s="13">
        <f t="shared" si="12"/>
        <v>13852.880000000001</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125958.43000000001</v>
      </c>
      <c r="G291" s="39">
        <f t="shared" si="13"/>
        <v>10123.42</v>
      </c>
      <c r="H291" s="39">
        <f t="shared" si="13"/>
        <v>68208.800000000003</v>
      </c>
      <c r="I291" s="39">
        <f t="shared" si="13"/>
        <v>27608.3</v>
      </c>
      <c r="J291" s="39">
        <f t="shared" si="13"/>
        <v>3579.5</v>
      </c>
      <c r="K291" s="39">
        <f t="shared" si="13"/>
        <v>0</v>
      </c>
      <c r="L291" s="38">
        <f t="shared" si="13"/>
        <v>235478.45</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125958.43000000001</v>
      </c>
      <c r="G339" s="38">
        <f t="shared" si="20"/>
        <v>10123.42</v>
      </c>
      <c r="H339" s="38">
        <f t="shared" si="20"/>
        <v>68208.800000000003</v>
      </c>
      <c r="I339" s="38">
        <f t="shared" si="20"/>
        <v>27608.3</v>
      </c>
      <c r="J339" s="38">
        <f t="shared" si="20"/>
        <v>3579.5</v>
      </c>
      <c r="K339" s="38">
        <f t="shared" si="20"/>
        <v>0</v>
      </c>
      <c r="L339" s="38">
        <f t="shared" si="20"/>
        <v>235478.45</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125958.43000000001</v>
      </c>
      <c r="G353" s="38">
        <f>G339</f>
        <v>10123.42</v>
      </c>
      <c r="H353" s="38">
        <f>H339</f>
        <v>68208.800000000003</v>
      </c>
      <c r="I353" s="38">
        <f>I339</f>
        <v>27608.3</v>
      </c>
      <c r="J353" s="38">
        <f>J339</f>
        <v>3579.5</v>
      </c>
      <c r="K353" s="38">
        <f>K339+K352</f>
        <v>0</v>
      </c>
      <c r="L353" s="38">
        <f>L339+L352</f>
        <v>235478.45</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51080.76</v>
      </c>
      <c r="G359" s="18">
        <v>29329.360000000001</v>
      </c>
      <c r="H359" s="18"/>
      <c r="I359" s="18">
        <v>47759.37</v>
      </c>
      <c r="J359" s="18">
        <v>286.81</v>
      </c>
      <c r="K359" s="18"/>
      <c r="L359" s="13">
        <f>SUM(F359:K359)</f>
        <v>128456.29999999999</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51080.76</v>
      </c>
      <c r="G363" s="38">
        <f t="shared" si="22"/>
        <v>29329.360000000001</v>
      </c>
      <c r="H363" s="38">
        <f t="shared" si="22"/>
        <v>0</v>
      </c>
      <c r="I363" s="38">
        <f t="shared" si="22"/>
        <v>47759.37</v>
      </c>
      <c r="J363" s="38">
        <f t="shared" si="22"/>
        <v>286.81</v>
      </c>
      <c r="K363" s="38">
        <f t="shared" si="22"/>
        <v>0</v>
      </c>
      <c r="L363" s="38">
        <f t="shared" si="22"/>
        <v>128456.29999999999</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45990.99</v>
      </c>
      <c r="G368" s="18"/>
      <c r="H368" s="18"/>
      <c r="I368" s="13">
        <f>SUM(F368:H368)</f>
        <v>45990.99</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1768.38</v>
      </c>
      <c r="G369" s="53"/>
      <c r="H369" s="53"/>
      <c r="I369" s="13">
        <f>SUM(F369:H369)</f>
        <v>1768.38</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47759.369999999995</v>
      </c>
      <c r="G370" s="38">
        <f>SUM(G368:G369)</f>
        <v>0</v>
      </c>
      <c r="H370" s="38">
        <f>SUM(H368:H369)</f>
        <v>0</v>
      </c>
      <c r="I370" s="38">
        <f>SUM(I368:I369)</f>
        <v>47759.369999999995</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v>900</v>
      </c>
      <c r="I376" s="18">
        <v>64</v>
      </c>
      <c r="J376" s="18">
        <v>127356.61</v>
      </c>
      <c r="K376" s="18">
        <v>8660</v>
      </c>
      <c r="L376" s="13">
        <f t="shared" ref="L376:L382" si="23">SUM(F376:K376)</f>
        <v>136980.60999999999</v>
      </c>
      <c r="M376" s="8"/>
      <c r="N376" s="165"/>
    </row>
    <row r="377" spans="1:14" s="3" customFormat="1" ht="12.2" customHeight="1" x14ac:dyDescent="0.15">
      <c r="A377" s="1" t="s">
        <v>546</v>
      </c>
      <c r="B377" s="2" t="s">
        <v>366</v>
      </c>
      <c r="C377" s="2" t="s">
        <v>300</v>
      </c>
      <c r="D377" s="2" t="s">
        <v>431</v>
      </c>
      <c r="E377" s="6">
        <v>4300</v>
      </c>
      <c r="F377" s="18"/>
      <c r="G377" s="18"/>
      <c r="H377" s="18">
        <v>71486.350000000006</v>
      </c>
      <c r="I377" s="18"/>
      <c r="J377" s="18"/>
      <c r="K377" s="18"/>
      <c r="L377" s="13">
        <f t="shared" si="23"/>
        <v>71486.350000000006</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72386.350000000006</v>
      </c>
      <c r="I383" s="38">
        <f t="shared" si="24"/>
        <v>64</v>
      </c>
      <c r="J383" s="38">
        <f t="shared" si="24"/>
        <v>127356.61</v>
      </c>
      <c r="K383" s="38">
        <f t="shared" si="24"/>
        <v>8660</v>
      </c>
      <c r="L383" s="38">
        <f t="shared" si="24"/>
        <v>208466.96</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v>1153.97</v>
      </c>
      <c r="I389" s="18"/>
      <c r="J389" s="23" t="s">
        <v>288</v>
      </c>
      <c r="K389" s="23" t="s">
        <v>288</v>
      </c>
      <c r="L389" s="13">
        <f t="shared" si="25"/>
        <v>1153.97</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1153.97</v>
      </c>
      <c r="I394" s="54">
        <f>SUM(I388:I393)</f>
        <v>0</v>
      </c>
      <c r="J394" s="42" t="s">
        <v>288</v>
      </c>
      <c r="K394" s="42" t="s">
        <v>288</v>
      </c>
      <c r="L394" s="38">
        <f>SUM(L388:L393)</f>
        <v>1153.97</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v>1214.1300000000001</v>
      </c>
      <c r="I397" s="18"/>
      <c r="J397" s="23" t="s">
        <v>288</v>
      </c>
      <c r="K397" s="23" t="s">
        <v>288</v>
      </c>
      <c r="L397" s="13">
        <f t="shared" si="26"/>
        <v>1214.1300000000001</v>
      </c>
      <c r="M397" s="8"/>
      <c r="N397" s="165"/>
    </row>
    <row r="398" spans="1:14" s="3" customFormat="1" ht="12.2" customHeight="1" x14ac:dyDescent="0.15">
      <c r="A398" s="62" t="s">
        <v>515</v>
      </c>
      <c r="B398" s="2" t="s">
        <v>381</v>
      </c>
      <c r="C398" s="6">
        <v>10</v>
      </c>
      <c r="D398" s="2" t="s">
        <v>432</v>
      </c>
      <c r="E398" s="6"/>
      <c r="F398" s="18"/>
      <c r="G398" s="18"/>
      <c r="H398" s="18">
        <v>5901.44</v>
      </c>
      <c r="I398" s="18"/>
      <c r="J398" s="23" t="s">
        <v>288</v>
      </c>
      <c r="K398" s="23" t="s">
        <v>288</v>
      </c>
      <c r="L398" s="13">
        <f t="shared" si="26"/>
        <v>5901.44</v>
      </c>
      <c r="M398" s="8"/>
      <c r="N398" s="165"/>
    </row>
    <row r="399" spans="1:14" s="3" customFormat="1" ht="12.2" customHeight="1" x14ac:dyDescent="0.15">
      <c r="A399" s="62" t="s">
        <v>558</v>
      </c>
      <c r="B399" s="2" t="s">
        <v>381</v>
      </c>
      <c r="C399" s="6">
        <v>11</v>
      </c>
      <c r="D399" s="2" t="s">
        <v>432</v>
      </c>
      <c r="E399" s="6"/>
      <c r="F399" s="18"/>
      <c r="G399" s="18"/>
      <c r="H399" s="18">
        <v>2237.9</v>
      </c>
      <c r="I399" s="18"/>
      <c r="J399" s="23" t="s">
        <v>288</v>
      </c>
      <c r="K399" s="23" t="s">
        <v>288</v>
      </c>
      <c r="L399" s="13">
        <f t="shared" si="26"/>
        <v>2237.9</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v>1600.06</v>
      </c>
      <c r="I401" s="18"/>
      <c r="J401" s="23" t="s">
        <v>288</v>
      </c>
      <c r="K401" s="23" t="s">
        <v>288</v>
      </c>
      <c r="L401" s="13">
        <f t="shared" si="26"/>
        <v>1600.06</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10953.529999999999</v>
      </c>
      <c r="I402" s="38">
        <f>SUM(I396:I401)</f>
        <v>0</v>
      </c>
      <c r="J402" s="42" t="s">
        <v>288</v>
      </c>
      <c r="K402" s="42" t="s">
        <v>288</v>
      </c>
      <c r="L402" s="38">
        <f>SUM(L396:L401)</f>
        <v>10953.529999999999</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12107.499999999998</v>
      </c>
      <c r="I409" s="38">
        <f>I394+I402+I408</f>
        <v>0</v>
      </c>
      <c r="J409" s="23" t="s">
        <v>288</v>
      </c>
      <c r="K409" s="23" t="s">
        <v>288</v>
      </c>
      <c r="L409" s="38">
        <f>L394+L402+L408</f>
        <v>12107.499999999998</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v>100000</v>
      </c>
      <c r="I424" s="18"/>
      <c r="J424" s="18"/>
      <c r="K424" s="18"/>
      <c r="L424" s="13">
        <f t="shared" si="29"/>
        <v>100000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v>50600</v>
      </c>
      <c r="I427" s="18"/>
      <c r="J427" s="18"/>
      <c r="K427" s="18"/>
      <c r="L427" s="13">
        <f t="shared" si="29"/>
        <v>50600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150600</v>
      </c>
      <c r="I428" s="38">
        <f t="shared" si="30"/>
        <v>0</v>
      </c>
      <c r="J428" s="38">
        <f t="shared" si="30"/>
        <v>0</v>
      </c>
      <c r="K428" s="38">
        <f t="shared" si="30"/>
        <v>0</v>
      </c>
      <c r="L428" s="38">
        <f t="shared" si="30"/>
        <v>150600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150600</v>
      </c>
      <c r="I435" s="38">
        <f t="shared" si="32"/>
        <v>0</v>
      </c>
      <c r="J435" s="38">
        <f t="shared" si="32"/>
        <v>0</v>
      </c>
      <c r="K435" s="38">
        <f t="shared" si="32"/>
        <v>0</v>
      </c>
      <c r="L435" s="38">
        <f t="shared" si="32"/>
        <v>150600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80900.41</v>
      </c>
      <c r="G440" s="18">
        <v>619824.69999999995</v>
      </c>
      <c r="H440" s="18"/>
      <c r="I440" s="13">
        <f t="shared" ref="I440:I446" si="33">SUM(F440:H440)</f>
        <v>700725.11</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80900.41</v>
      </c>
      <c r="G447" s="13">
        <f>SUM(G440:G446)</f>
        <v>619824.69999999995</v>
      </c>
      <c r="H447" s="13">
        <f>SUM(H440:H446)</f>
        <v>0</v>
      </c>
      <c r="I447" s="13">
        <f>SUM(I440:I446)</f>
        <v>700725.11</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80900.41</v>
      </c>
      <c r="G460" s="18">
        <v>619824.69999999995</v>
      </c>
      <c r="H460" s="18"/>
      <c r="I460" s="13">
        <f t="shared" si="34"/>
        <v>700725.11</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80900.41</v>
      </c>
      <c r="G461" s="65">
        <f>SUM(G455:G460)</f>
        <v>619824.69999999995</v>
      </c>
      <c r="H461" s="65">
        <f>SUM(H455:H460)</f>
        <v>0</v>
      </c>
      <c r="I461" s="65">
        <f>SUM(I455:I460)</f>
        <v>700725.11</v>
      </c>
      <c r="J461" s="23" t="s">
        <v>288</v>
      </c>
      <c r="K461" s="23" t="s">
        <v>288</v>
      </c>
      <c r="L461" s="23" t="s">
        <v>288</v>
      </c>
      <c r="N461" s="131"/>
    </row>
    <row r="462" spans="1:86" ht="12.2" customHeight="1" thickTop="1" x14ac:dyDescent="0.2">
      <c r="A462" s="40" t="s">
        <v>424</v>
      </c>
      <c r="B462" s="41">
        <v>18</v>
      </c>
      <c r="C462" s="64">
        <v>21</v>
      </c>
      <c r="D462" s="114" t="s">
        <v>432</v>
      </c>
      <c r="E462" s="64"/>
      <c r="F462" s="39">
        <f>F453+F461</f>
        <v>80900.41</v>
      </c>
      <c r="G462" s="39">
        <f>G453+G461</f>
        <v>619824.69999999995</v>
      </c>
      <c r="H462" s="39">
        <f>H453+H461</f>
        <v>0</v>
      </c>
      <c r="I462" s="39">
        <f>I453+I461</f>
        <v>700725.11</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487019.16</v>
      </c>
      <c r="G466" s="18"/>
      <c r="H466" s="18"/>
      <c r="I466" s="18"/>
      <c r="J466" s="18">
        <v>839217.61</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9864777.5399999991</v>
      </c>
      <c r="G469" s="18">
        <v>139555.6</v>
      </c>
      <c r="H469" s="18">
        <v>235478.45</v>
      </c>
      <c r="I469" s="18">
        <v>764527.66</v>
      </c>
      <c r="J469" s="18">
        <v>12107.5</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9864777.5399999991</v>
      </c>
      <c r="G471" s="19">
        <f>SUM(G469:G470)</f>
        <v>139555.6</v>
      </c>
      <c r="H471" s="19">
        <f>SUM(H469:H470)</f>
        <v>235478.45</v>
      </c>
      <c r="I471" s="19">
        <f>SUM(I469:I470)</f>
        <v>764527.66</v>
      </c>
      <c r="J471" s="19">
        <f>SUM(J469:J470)</f>
        <v>12107.5</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9934283.6099999994</v>
      </c>
      <c r="G473" s="18">
        <v>128456.3</v>
      </c>
      <c r="H473" s="18">
        <v>235478.45</v>
      </c>
      <c r="I473" s="18">
        <v>208466.96</v>
      </c>
      <c r="J473" s="18">
        <v>150600</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9934283.6099999994</v>
      </c>
      <c r="G475" s="19">
        <f>SUM(G473:G474)</f>
        <v>128456.3</v>
      </c>
      <c r="H475" s="19">
        <f>SUM(H473:H474)</f>
        <v>235478.45</v>
      </c>
      <c r="I475" s="19">
        <f>SUM(I473:I474)</f>
        <v>208466.96</v>
      </c>
      <c r="J475" s="19">
        <f>SUM(J473:J474)</f>
        <v>150600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417513.08999999985</v>
      </c>
      <c r="G477" s="19">
        <f>(G466+G471)- G475</f>
        <v>11099.300000000003</v>
      </c>
      <c r="H477" s="19">
        <f>(H466+H471)- H475</f>
        <v>0</v>
      </c>
      <c r="I477" s="19">
        <f>(I466+I471)- I475</f>
        <v>556060.70000000007</v>
      </c>
      <c r="J477" s="19">
        <f>(J466+J471)- J475</f>
        <v>700725.11</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v>10</v>
      </c>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t="s">
        <v>1814</v>
      </c>
      <c r="H492" s="111"/>
      <c r="I492" s="111"/>
      <c r="J492" s="111"/>
      <c r="K492" s="23" t="s">
        <v>288</v>
      </c>
      <c r="L492" s="23" t="s">
        <v>288</v>
      </c>
      <c r="N492" s="131"/>
    </row>
    <row r="493" spans="1:14" ht="12.2" customHeight="1" x14ac:dyDescent="0.2">
      <c r="A493" s="21" t="s">
        <v>616</v>
      </c>
      <c r="B493" s="22">
        <v>20</v>
      </c>
      <c r="C493" s="22">
        <v>3</v>
      </c>
      <c r="D493" s="2" t="s">
        <v>432</v>
      </c>
      <c r="E493" s="22"/>
      <c r="F493" s="112" t="s">
        <v>1813</v>
      </c>
      <c r="G493" s="112" t="s">
        <v>1815</v>
      </c>
      <c r="H493" s="111"/>
      <c r="I493" s="111"/>
      <c r="J493" s="111"/>
      <c r="K493" s="23" t="s">
        <v>288</v>
      </c>
      <c r="L493" s="23" t="s">
        <v>288</v>
      </c>
      <c r="N493" s="131"/>
    </row>
    <row r="494" spans="1:14" ht="12.2" customHeight="1" x14ac:dyDescent="0.2">
      <c r="A494" s="21" t="s">
        <v>617</v>
      </c>
      <c r="B494" s="22">
        <v>20</v>
      </c>
      <c r="C494" s="22">
        <v>4</v>
      </c>
      <c r="D494" s="2" t="s">
        <v>432</v>
      </c>
      <c r="E494" s="22"/>
      <c r="F494" s="18">
        <v>7150000</v>
      </c>
      <c r="G494" s="18">
        <v>700000</v>
      </c>
      <c r="H494" s="18"/>
      <c r="I494" s="18"/>
      <c r="J494" s="18"/>
      <c r="K494" s="23" t="s">
        <v>288</v>
      </c>
      <c r="L494" s="23" t="s">
        <v>288</v>
      </c>
      <c r="N494" s="131"/>
    </row>
    <row r="495" spans="1:14" ht="12.2" customHeight="1" x14ac:dyDescent="0.2">
      <c r="A495" s="21" t="s">
        <v>618</v>
      </c>
      <c r="B495" s="22">
        <v>20</v>
      </c>
      <c r="C495" s="22">
        <v>5</v>
      </c>
      <c r="D495" s="2" t="s">
        <v>432</v>
      </c>
      <c r="E495" s="22"/>
      <c r="F495" s="18">
        <v>5.25</v>
      </c>
      <c r="G495" s="18">
        <v>2.63</v>
      </c>
      <c r="H495" s="18"/>
      <c r="I495" s="18"/>
      <c r="J495" s="18"/>
      <c r="K495" s="23" t="s">
        <v>288</v>
      </c>
      <c r="L495" s="23" t="s">
        <v>288</v>
      </c>
      <c r="N495" s="131"/>
    </row>
    <row r="496" spans="1:14" ht="12.2" customHeight="1" x14ac:dyDescent="0.2">
      <c r="A496" s="21" t="s">
        <v>619</v>
      </c>
      <c r="B496" s="22">
        <v>20</v>
      </c>
      <c r="C496" s="22">
        <v>6</v>
      </c>
      <c r="D496" s="2" t="s">
        <v>432</v>
      </c>
      <c r="E496" s="22"/>
      <c r="F496" s="18">
        <v>2480000</v>
      </c>
      <c r="G496" s="18">
        <v>622200</v>
      </c>
      <c r="H496" s="18"/>
      <c r="I496" s="18"/>
      <c r="J496" s="18"/>
      <c r="K496" s="19">
        <f>SUM(F496:J496)</f>
        <v>3102200</v>
      </c>
      <c r="L496" s="23" t="s">
        <v>288</v>
      </c>
      <c r="N496" s="131"/>
    </row>
    <row r="497" spans="1:14" ht="12.2" customHeight="1" x14ac:dyDescent="0.2">
      <c r="A497" s="21" t="s">
        <v>620</v>
      </c>
      <c r="B497" s="22">
        <v>20</v>
      </c>
      <c r="C497" s="22">
        <v>7</v>
      </c>
      <c r="D497" s="2" t="s">
        <v>432</v>
      </c>
      <c r="E497" s="22"/>
      <c r="F497" s="18">
        <v>0</v>
      </c>
      <c r="G497" s="18">
        <v>0</v>
      </c>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355000</v>
      </c>
      <c r="G498" s="18">
        <v>0</v>
      </c>
      <c r="H498" s="18"/>
      <c r="I498" s="18"/>
      <c r="J498" s="18"/>
      <c r="K498" s="19">
        <f t="shared" si="35"/>
        <v>355000</v>
      </c>
      <c r="L498" s="23" t="s">
        <v>288</v>
      </c>
      <c r="N498" s="131"/>
    </row>
    <row r="499" spans="1:14" ht="12.2" customHeight="1" x14ac:dyDescent="0.2">
      <c r="A499" s="144" t="s">
        <v>622</v>
      </c>
      <c r="B499" s="145">
        <v>20</v>
      </c>
      <c r="C499" s="145">
        <v>9</v>
      </c>
      <c r="D499" s="146" t="s">
        <v>432</v>
      </c>
      <c r="E499" s="145"/>
      <c r="F499" s="147">
        <v>2125000</v>
      </c>
      <c r="G499" s="147">
        <v>622200</v>
      </c>
      <c r="H499" s="147"/>
      <c r="I499" s="147"/>
      <c r="J499" s="147"/>
      <c r="K499" s="148">
        <f t="shared" si="35"/>
        <v>2747200</v>
      </c>
      <c r="L499" s="149" t="s">
        <v>288</v>
      </c>
      <c r="N499" s="131"/>
    </row>
    <row r="500" spans="1:14" ht="12.2" customHeight="1" thickBot="1" x14ac:dyDescent="0.25">
      <c r="A500" s="21" t="s">
        <v>623</v>
      </c>
      <c r="B500" s="22">
        <v>20</v>
      </c>
      <c r="C500" s="22">
        <v>10</v>
      </c>
      <c r="D500" s="2" t="s">
        <v>432</v>
      </c>
      <c r="E500" s="22"/>
      <c r="F500" s="18">
        <v>299510.78000000003</v>
      </c>
      <c r="G500" s="18">
        <v>158620.20000000001</v>
      </c>
      <c r="H500" s="18"/>
      <c r="I500" s="18"/>
      <c r="J500" s="18"/>
      <c r="K500" s="19">
        <f t="shared" si="35"/>
        <v>458130.98000000004</v>
      </c>
      <c r="L500" s="23" t="s">
        <v>288</v>
      </c>
      <c r="N500" s="131"/>
    </row>
    <row r="501" spans="1:14" ht="12.2" customHeight="1" thickTop="1" x14ac:dyDescent="0.2">
      <c r="A501" s="97" t="s">
        <v>624</v>
      </c>
      <c r="B501" s="41">
        <v>20</v>
      </c>
      <c r="C501" s="41">
        <v>11</v>
      </c>
      <c r="D501" s="36" t="s">
        <v>432</v>
      </c>
      <c r="E501" s="41"/>
      <c r="F501" s="39">
        <f>SUM(F499:F500)</f>
        <v>2424510.7800000003</v>
      </c>
      <c r="G501" s="39">
        <f>SUM(G499:G500)</f>
        <v>780820.2</v>
      </c>
      <c r="H501" s="39">
        <f>SUM(H499:H500)</f>
        <v>0</v>
      </c>
      <c r="I501" s="39">
        <f>SUM(I499:I500)</f>
        <v>0</v>
      </c>
      <c r="J501" s="39">
        <f>SUM(J499:J500)</f>
        <v>0</v>
      </c>
      <c r="K501" s="39">
        <f t="shared" si="35"/>
        <v>3205330.9800000004</v>
      </c>
      <c r="L501" s="42" t="s">
        <v>288</v>
      </c>
      <c r="N501" s="131"/>
    </row>
    <row r="502" spans="1:14" ht="12.2" customHeight="1" x14ac:dyDescent="0.2">
      <c r="A502" s="144" t="s">
        <v>651</v>
      </c>
      <c r="B502" s="145">
        <v>20</v>
      </c>
      <c r="C502" s="145">
        <v>12</v>
      </c>
      <c r="D502" s="146" t="s">
        <v>432</v>
      </c>
      <c r="E502" s="145"/>
      <c r="F502" s="147">
        <v>355000</v>
      </c>
      <c r="G502" s="147">
        <v>62300</v>
      </c>
      <c r="H502" s="147"/>
      <c r="I502" s="147"/>
      <c r="J502" s="147"/>
      <c r="K502" s="148">
        <f t="shared" si="35"/>
        <v>417300</v>
      </c>
      <c r="L502" s="149" t="s">
        <v>288</v>
      </c>
      <c r="N502" s="131"/>
    </row>
    <row r="503" spans="1:14" ht="12.2" customHeight="1" thickBot="1" x14ac:dyDescent="0.25">
      <c r="A503" s="21" t="s">
        <v>625</v>
      </c>
      <c r="B503" s="22">
        <v>20</v>
      </c>
      <c r="C503" s="22">
        <v>13</v>
      </c>
      <c r="D503" s="2" t="s">
        <v>432</v>
      </c>
      <c r="E503" s="22"/>
      <c r="F503" s="18">
        <v>88338.76</v>
      </c>
      <c r="G503" s="18">
        <v>30143.55</v>
      </c>
      <c r="H503" s="18"/>
      <c r="I503" s="18"/>
      <c r="J503" s="18"/>
      <c r="K503" s="19">
        <f t="shared" si="35"/>
        <v>118482.31</v>
      </c>
      <c r="L503" s="23" t="s">
        <v>288</v>
      </c>
      <c r="N503" s="131"/>
    </row>
    <row r="504" spans="1:14" ht="12.2" customHeight="1" thickTop="1" x14ac:dyDescent="0.2">
      <c r="A504" s="97" t="s">
        <v>626</v>
      </c>
      <c r="B504" s="41">
        <v>20</v>
      </c>
      <c r="C504" s="41">
        <v>14</v>
      </c>
      <c r="D504" s="36" t="s">
        <v>432</v>
      </c>
      <c r="E504" s="41"/>
      <c r="F504" s="39">
        <f>SUM(F502:F503)</f>
        <v>443338.76</v>
      </c>
      <c r="G504" s="39">
        <f>SUM(G502:G503)</f>
        <v>92443.55</v>
      </c>
      <c r="H504" s="39">
        <f>SUM(H502:H503)</f>
        <v>0</v>
      </c>
      <c r="I504" s="39">
        <f>SUM(I502:I503)</f>
        <v>0</v>
      </c>
      <c r="J504" s="39">
        <f>SUM(J502:J503)</f>
        <v>0</v>
      </c>
      <c r="K504" s="39">
        <f t="shared" si="35"/>
        <v>535782.31000000006</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636500.5</v>
      </c>
      <c r="G522" s="18">
        <v>374532.78</v>
      </c>
      <c r="H522" s="18">
        <v>138279.35999999999</v>
      </c>
      <c r="I522" s="18">
        <v>4032.56</v>
      </c>
      <c r="J522" s="18">
        <v>1991.98</v>
      </c>
      <c r="K522" s="18">
        <v>1555</v>
      </c>
      <c r="L522" s="69">
        <f>SUM(F522:K522)</f>
        <v>1156892.1800000002</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636500.5</v>
      </c>
      <c r="G525" s="81">
        <f t="shared" ref="G525:L525" si="36">SUM(G522:G524)</f>
        <v>374532.78</v>
      </c>
      <c r="H525" s="81">
        <f t="shared" si="36"/>
        <v>138279.35999999999</v>
      </c>
      <c r="I525" s="81">
        <f t="shared" si="36"/>
        <v>4032.56</v>
      </c>
      <c r="J525" s="81">
        <f t="shared" si="36"/>
        <v>1991.98</v>
      </c>
      <c r="K525" s="81">
        <f t="shared" si="36"/>
        <v>1555</v>
      </c>
      <c r="L525" s="70">
        <f t="shared" si="36"/>
        <v>1156892.1800000002</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134836.37</v>
      </c>
      <c r="G527" s="18">
        <v>54871.59</v>
      </c>
      <c r="H527" s="18">
        <v>342653.58</v>
      </c>
      <c r="I527" s="18">
        <v>1273.6300000000001</v>
      </c>
      <c r="J527" s="18"/>
      <c r="K527" s="18"/>
      <c r="L527" s="69">
        <f>SUM(F527:K527)</f>
        <v>533635.17000000004</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134836.37</v>
      </c>
      <c r="G530" s="70">
        <f t="shared" ref="G530:L530" si="37">SUM(G527:G529)</f>
        <v>54871.59</v>
      </c>
      <c r="H530" s="70">
        <f t="shared" si="37"/>
        <v>342653.58</v>
      </c>
      <c r="I530" s="70">
        <f t="shared" si="37"/>
        <v>1273.6300000000001</v>
      </c>
      <c r="J530" s="70">
        <f t="shared" si="37"/>
        <v>0</v>
      </c>
      <c r="K530" s="70">
        <f t="shared" si="37"/>
        <v>0</v>
      </c>
      <c r="L530" s="70">
        <f t="shared" si="37"/>
        <v>533635.17000000004</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100962</v>
      </c>
      <c r="G532" s="18">
        <v>49262.879999999997</v>
      </c>
      <c r="H532" s="18"/>
      <c r="I532" s="18"/>
      <c r="J532" s="18"/>
      <c r="K532" s="18"/>
      <c r="L532" s="69">
        <f>SUM(F532:K532)</f>
        <v>150224.88</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100962</v>
      </c>
      <c r="G535" s="70">
        <f t="shared" ref="G535:L535" si="38">SUM(G532:G534)</f>
        <v>49262.879999999997</v>
      </c>
      <c r="H535" s="70">
        <f t="shared" si="38"/>
        <v>0</v>
      </c>
      <c r="I535" s="70">
        <f t="shared" si="38"/>
        <v>0</v>
      </c>
      <c r="J535" s="70">
        <f t="shared" si="38"/>
        <v>0</v>
      </c>
      <c r="K535" s="70">
        <f t="shared" si="38"/>
        <v>0</v>
      </c>
      <c r="L535" s="70">
        <f t="shared" si="38"/>
        <v>150224.88</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43751.41</v>
      </c>
      <c r="I542" s="18"/>
      <c r="J542" s="18"/>
      <c r="K542" s="18"/>
      <c r="L542" s="69">
        <f>SUM(F542:K542)</f>
        <v>43751.41</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v>7990.54</v>
      </c>
      <c r="I544" s="18"/>
      <c r="J544" s="18"/>
      <c r="K544" s="18"/>
      <c r="L544" s="69">
        <f>SUM(F544:K544)</f>
        <v>7990.54</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51741.950000000004</v>
      </c>
      <c r="I545" s="141">
        <f t="shared" si="40"/>
        <v>0</v>
      </c>
      <c r="J545" s="141">
        <f t="shared" si="40"/>
        <v>0</v>
      </c>
      <c r="K545" s="141">
        <f t="shared" si="40"/>
        <v>0</v>
      </c>
      <c r="L545" s="141">
        <f t="shared" si="40"/>
        <v>51741.950000000004</v>
      </c>
      <c r="M545" s="8"/>
      <c r="N545" s="165"/>
    </row>
    <row r="546" spans="1:14" s="3" customFormat="1" ht="12.2" customHeight="1" thickTop="1" x14ac:dyDescent="0.15">
      <c r="A546" s="75" t="s">
        <v>72</v>
      </c>
      <c r="B546" s="41">
        <v>21</v>
      </c>
      <c r="C546" s="41">
        <v>21</v>
      </c>
      <c r="D546" s="115" t="s">
        <v>432</v>
      </c>
      <c r="E546" s="41"/>
      <c r="F546" s="70">
        <f>F525+F530+F535+F540+F545</f>
        <v>872298.87</v>
      </c>
      <c r="G546" s="70">
        <f t="shared" ref="G546:L546" si="41">G525+G530+G535+G540+G545</f>
        <v>478667.25</v>
      </c>
      <c r="H546" s="70">
        <f t="shared" si="41"/>
        <v>532674.89</v>
      </c>
      <c r="I546" s="70">
        <f t="shared" si="41"/>
        <v>5306.1900000000005</v>
      </c>
      <c r="J546" s="70">
        <f t="shared" si="41"/>
        <v>1991.98</v>
      </c>
      <c r="K546" s="70">
        <f t="shared" si="41"/>
        <v>1555</v>
      </c>
      <c r="L546" s="70">
        <f t="shared" si="41"/>
        <v>1892494.18</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1156892.1800000002</v>
      </c>
      <c r="G550" s="69">
        <f>L527</f>
        <v>533635.17000000004</v>
      </c>
      <c r="H550" s="69">
        <f>L532</f>
        <v>150224.88</v>
      </c>
      <c r="I550" s="69">
        <f>L537</f>
        <v>0</v>
      </c>
      <c r="J550" s="69">
        <f>L542</f>
        <v>43751.41</v>
      </c>
      <c r="K550" s="69">
        <f>SUM(F550:J550)</f>
        <v>1884503.64</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7990.54</v>
      </c>
      <c r="K552" s="69">
        <f>SUM(F552:J552)</f>
        <v>7990.54</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1156892.1800000002</v>
      </c>
      <c r="G553" s="70">
        <f t="shared" si="42"/>
        <v>533635.17000000004</v>
      </c>
      <c r="H553" s="70">
        <f t="shared" si="42"/>
        <v>150224.88</v>
      </c>
      <c r="I553" s="70">
        <f t="shared" si="42"/>
        <v>0</v>
      </c>
      <c r="J553" s="70">
        <f t="shared" si="42"/>
        <v>51741.950000000004</v>
      </c>
      <c r="K553" s="70">
        <f t="shared" si="42"/>
        <v>1892494.18</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v>1044603.78</v>
      </c>
      <c r="H576" s="18">
        <v>2313555.06</v>
      </c>
      <c r="I576" s="69">
        <f>SUM(F576:H576)</f>
        <v>3358158.84</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17279.36</v>
      </c>
      <c r="G583" s="18"/>
      <c r="H583" s="18"/>
      <c r="I583" s="69">
        <f t="shared" si="47"/>
        <v>17279.36</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152216.60999999999</v>
      </c>
      <c r="I592" s="18">
        <v>34117.300000000003</v>
      </c>
      <c r="J592" s="18">
        <v>76106.86</v>
      </c>
      <c r="K592" s="80">
        <f t="shared" ref="K592:K598" si="48">SUM(H592:J592)</f>
        <v>262440.76999999996</v>
      </c>
      <c r="L592" s="23" t="s">
        <v>288</v>
      </c>
      <c r="M592" s="8"/>
      <c r="N592" s="165"/>
    </row>
    <row r="593" spans="1:14" s="3" customFormat="1" ht="12.2" customHeight="1" x14ac:dyDescent="0.15">
      <c r="A593" s="3" t="s">
        <v>638</v>
      </c>
      <c r="B593" s="22">
        <v>23</v>
      </c>
      <c r="C593" s="22">
        <v>2</v>
      </c>
      <c r="D593" s="2" t="s">
        <v>432</v>
      </c>
      <c r="E593" s="22"/>
      <c r="F593" s="78">
        <v>2722</v>
      </c>
      <c r="G593" s="79" t="s">
        <v>97</v>
      </c>
      <c r="H593" s="18">
        <v>43751.41</v>
      </c>
      <c r="I593" s="18"/>
      <c r="J593" s="18">
        <v>7990.54</v>
      </c>
      <c r="K593" s="80">
        <f t="shared" si="48"/>
        <v>51741.950000000004</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7037.38</v>
      </c>
      <c r="I596" s="18"/>
      <c r="J596" s="18"/>
      <c r="K596" s="80">
        <f t="shared" si="48"/>
        <v>7037.38</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203005.4</v>
      </c>
      <c r="I599" s="81">
        <f>SUM(I592:I598)</f>
        <v>34117.300000000003</v>
      </c>
      <c r="J599" s="81">
        <f>SUM(J592:J598)</f>
        <v>84097.4</v>
      </c>
      <c r="K599" s="81">
        <f>SUM(K592:K598)</f>
        <v>321220.09999999998</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85715.72</v>
      </c>
      <c r="I605" s="18"/>
      <c r="J605" s="18"/>
      <c r="K605" s="80">
        <f>SUM(H605:J605)</f>
        <v>85715.72</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85715.72</v>
      </c>
      <c r="I606" s="81">
        <f>SUM(I603:I605)</f>
        <v>0</v>
      </c>
      <c r="J606" s="81">
        <f>SUM(J603:J605)</f>
        <v>0</v>
      </c>
      <c r="K606" s="81">
        <f>SUM(K603:K605)</f>
        <v>85715.72</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24725</v>
      </c>
      <c r="G612" s="18">
        <v>4421.74</v>
      </c>
      <c r="H612" s="18"/>
      <c r="I612" s="18"/>
      <c r="J612" s="18"/>
      <c r="K612" s="18"/>
      <c r="L612" s="69">
        <f>SUM(F612:K612)</f>
        <v>29146.739999999998</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24725</v>
      </c>
      <c r="G615" s="81">
        <f t="shared" si="49"/>
        <v>4421.74</v>
      </c>
      <c r="H615" s="81">
        <f t="shared" si="49"/>
        <v>0</v>
      </c>
      <c r="I615" s="81">
        <f t="shared" si="49"/>
        <v>0</v>
      </c>
      <c r="J615" s="81">
        <f t="shared" si="49"/>
        <v>0</v>
      </c>
      <c r="K615" s="81">
        <f t="shared" si="49"/>
        <v>0</v>
      </c>
      <c r="L615" s="70">
        <f t="shared" si="49"/>
        <v>29146.739999999998</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1038096.4</v>
      </c>
      <c r="H618" s="80">
        <f>SUM(F52)</f>
        <v>1038096.4000000001</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28122.370000000003</v>
      </c>
      <c r="H619" s="80">
        <f>SUM(G52)</f>
        <v>28122.37</v>
      </c>
      <c r="I619" s="87" t="s">
        <v>875</v>
      </c>
      <c r="J619" s="80">
        <f>G619-H619</f>
        <v>0</v>
      </c>
      <c r="K619" s="80"/>
      <c r="L619" s="80"/>
      <c r="M619" s="8"/>
    </row>
    <row r="620" spans="1:14" s="3" customFormat="1" ht="12.2" customHeight="1" x14ac:dyDescent="0.15">
      <c r="A620" s="74"/>
      <c r="B620" s="22"/>
      <c r="C620" s="22"/>
      <c r="D620" s="22"/>
      <c r="E620" s="22"/>
      <c r="F620" s="87" t="s">
        <v>685</v>
      </c>
      <c r="G620" s="80">
        <f>SUM(H19)</f>
        <v>89271.84</v>
      </c>
      <c r="H620" s="80">
        <f>SUM(H52)</f>
        <v>89271.840000000011</v>
      </c>
      <c r="I620" s="87" t="s">
        <v>876</v>
      </c>
      <c r="J620" s="80">
        <f>G620-H620</f>
        <v>0</v>
      </c>
      <c r="K620" s="80"/>
      <c r="L620" s="80"/>
      <c r="M620" s="8"/>
    </row>
    <row r="621" spans="1:14" s="3" customFormat="1" ht="12.2" customHeight="1" x14ac:dyDescent="0.15">
      <c r="A621" s="74"/>
      <c r="B621" s="22"/>
      <c r="C621" s="22"/>
      <c r="D621" s="22"/>
      <c r="E621" s="22"/>
      <c r="F621" s="87" t="s">
        <v>686</v>
      </c>
      <c r="G621" s="80">
        <f>SUM(I19)</f>
        <v>616652.30000000005</v>
      </c>
      <c r="H621" s="80">
        <f>SUM(I52)</f>
        <v>616652.30000000005</v>
      </c>
      <c r="I621" s="87" t="s">
        <v>877</v>
      </c>
      <c r="J621" s="80">
        <f>G621-H621</f>
        <v>0</v>
      </c>
      <c r="K621" s="80"/>
      <c r="L621" s="80"/>
      <c r="M621" s="8"/>
    </row>
    <row r="622" spans="1:14" s="3" customFormat="1" ht="12.2" customHeight="1" x14ac:dyDescent="0.15">
      <c r="A622" s="74"/>
      <c r="B622" s="22"/>
      <c r="C622" s="22"/>
      <c r="D622" s="22"/>
      <c r="E622" s="22"/>
      <c r="F622" s="87" t="s">
        <v>687</v>
      </c>
      <c r="G622" s="80">
        <f>SUM(J19)</f>
        <v>700725.11</v>
      </c>
      <c r="H622" s="80">
        <f>SUM(J52)</f>
        <v>700725.11</v>
      </c>
      <c r="I622" s="87" t="s">
        <v>878</v>
      </c>
      <c r="J622" s="80">
        <f>G622-H622</f>
        <v>0</v>
      </c>
      <c r="K622" s="80"/>
      <c r="L622" s="80"/>
      <c r="M622" s="8"/>
    </row>
    <row r="623" spans="1:14" s="3" customFormat="1" ht="12.2" customHeight="1" x14ac:dyDescent="0.15">
      <c r="A623" s="74"/>
      <c r="B623" s="22"/>
      <c r="C623" s="22"/>
      <c r="D623" s="22"/>
      <c r="E623" s="22"/>
      <c r="F623" s="87" t="s">
        <v>864</v>
      </c>
      <c r="G623" s="80">
        <f>F51</f>
        <v>417513.09</v>
      </c>
      <c r="H623" s="80">
        <f>F477</f>
        <v>417513.08999999985</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11099.3</v>
      </c>
      <c r="H624" s="80">
        <f>G477</f>
        <v>11099.300000000003</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556060.70000000007</v>
      </c>
      <c r="H626" s="80">
        <f>I477</f>
        <v>556060.70000000007</v>
      </c>
      <c r="I626" s="87" t="s">
        <v>104</v>
      </c>
      <c r="J626" s="80">
        <f t="shared" si="50"/>
        <v>0</v>
      </c>
      <c r="K626" s="80"/>
      <c r="L626" s="80"/>
      <c r="M626" s="8"/>
    </row>
    <row r="627" spans="1:13" s="3" customFormat="1" ht="12.2" customHeight="1" x14ac:dyDescent="0.15">
      <c r="A627" s="21"/>
      <c r="B627" s="22"/>
      <c r="C627" s="22"/>
      <c r="D627" s="22"/>
      <c r="E627" s="22"/>
      <c r="F627" s="86" t="s">
        <v>868</v>
      </c>
      <c r="G627" s="80">
        <f>J51</f>
        <v>700725.11</v>
      </c>
      <c r="H627" s="80">
        <f>J477</f>
        <v>700725.11</v>
      </c>
      <c r="I627" s="87" t="s">
        <v>105</v>
      </c>
      <c r="J627" s="80">
        <f t="shared" si="50"/>
        <v>0</v>
      </c>
      <c r="K627" s="67"/>
      <c r="L627" s="69"/>
      <c r="M627" s="8"/>
    </row>
    <row r="628" spans="1:13" s="3" customFormat="1" ht="12.2" customHeight="1" x14ac:dyDescent="0.15">
      <c r="A628" s="21"/>
      <c r="B628" s="22"/>
      <c r="C628" s="22"/>
      <c r="D628" s="22"/>
      <c r="E628" s="22"/>
      <c r="F628" s="86" t="s">
        <v>658</v>
      </c>
      <c r="G628" s="80">
        <f>F194</f>
        <v>9864777.5399999991</v>
      </c>
      <c r="H628" s="80">
        <f>SUM(F469)</f>
        <v>9864777.5399999991</v>
      </c>
      <c r="I628" s="87" t="s">
        <v>106</v>
      </c>
      <c r="J628" s="80">
        <f>G628-H628</f>
        <v>0</v>
      </c>
      <c r="K628" s="67"/>
      <c r="L628" s="69"/>
      <c r="M628" s="8"/>
    </row>
    <row r="629" spans="1:13" s="3" customFormat="1" ht="12.2" customHeight="1" x14ac:dyDescent="0.15">
      <c r="A629" s="21"/>
      <c r="B629" s="22"/>
      <c r="C629" s="22"/>
      <c r="D629" s="22"/>
      <c r="E629" s="22"/>
      <c r="F629" s="86" t="s">
        <v>659</v>
      </c>
      <c r="G629" s="80">
        <f>G194</f>
        <v>139555.6</v>
      </c>
      <c r="H629" s="80">
        <f>SUM(G469)</f>
        <v>139555.6</v>
      </c>
      <c r="I629" s="87" t="s">
        <v>107</v>
      </c>
      <c r="J629" s="80">
        <f>G629-H629</f>
        <v>0</v>
      </c>
      <c r="K629" s="67"/>
      <c r="L629" s="69"/>
      <c r="M629" s="8"/>
    </row>
    <row r="630" spans="1:13" s="3" customFormat="1" ht="12.2" customHeight="1" x14ac:dyDescent="0.15">
      <c r="A630" s="21"/>
      <c r="B630" s="22"/>
      <c r="C630" s="22"/>
      <c r="D630" s="22"/>
      <c r="E630" s="22"/>
      <c r="F630" s="86" t="s">
        <v>660</v>
      </c>
      <c r="G630" s="80">
        <f>H194</f>
        <v>235478.44999999998</v>
      </c>
      <c r="H630" s="80">
        <f>SUM(H469)</f>
        <v>235478.45</v>
      </c>
      <c r="I630" s="87" t="s">
        <v>108</v>
      </c>
      <c r="J630" s="80">
        <f>G630-H630</f>
        <v>0</v>
      </c>
      <c r="K630" s="67"/>
      <c r="L630" s="69"/>
      <c r="M630" s="8"/>
    </row>
    <row r="631" spans="1:13" s="3" customFormat="1" ht="12.2" customHeight="1" x14ac:dyDescent="0.15">
      <c r="A631" s="21"/>
      <c r="B631" s="22"/>
      <c r="C631" s="22"/>
      <c r="D631" s="22"/>
      <c r="E631" s="22"/>
      <c r="F631" s="86" t="s">
        <v>661</v>
      </c>
      <c r="G631" s="80">
        <f>I194</f>
        <v>764527.66</v>
      </c>
      <c r="H631" s="80">
        <f>SUM(I469)</f>
        <v>764527.66</v>
      </c>
      <c r="I631" s="87" t="s">
        <v>109</v>
      </c>
      <c r="J631" s="80">
        <f>G631-H631</f>
        <v>0</v>
      </c>
      <c r="K631" s="67"/>
      <c r="L631" s="69"/>
      <c r="M631" s="8"/>
    </row>
    <row r="632" spans="1:13" s="3" customFormat="1" ht="12.2" customHeight="1" x14ac:dyDescent="0.15">
      <c r="A632" s="21"/>
      <c r="B632" s="22"/>
      <c r="C632" s="22"/>
      <c r="D632" s="22"/>
      <c r="E632" s="22"/>
      <c r="F632" s="86" t="s">
        <v>662</v>
      </c>
      <c r="G632" s="80">
        <f>J194</f>
        <v>12107.5</v>
      </c>
      <c r="H632" s="80">
        <f>SUM(J469)</f>
        <v>12107.5</v>
      </c>
      <c r="I632" s="87" t="s">
        <v>110</v>
      </c>
      <c r="J632" s="80">
        <f>G632-H632</f>
        <v>0</v>
      </c>
      <c r="K632" s="67"/>
      <c r="L632" s="69"/>
      <c r="M632" s="8"/>
    </row>
    <row r="633" spans="1:13" s="3" customFormat="1" ht="12.2" customHeight="1" x14ac:dyDescent="0.15">
      <c r="A633" s="21"/>
      <c r="B633" s="22"/>
      <c r="C633" s="22"/>
      <c r="D633" s="22"/>
      <c r="E633" s="22"/>
      <c r="F633" s="86" t="s">
        <v>394</v>
      </c>
      <c r="G633" s="80">
        <f>SUM(L272)</f>
        <v>9934283.6100000013</v>
      </c>
      <c r="H633" s="80">
        <f>SUM(F473)</f>
        <v>9934283.6099999994</v>
      </c>
      <c r="I633" s="87" t="s">
        <v>111</v>
      </c>
      <c r="J633" s="80">
        <f t="shared" si="50"/>
        <v>0</v>
      </c>
      <c r="K633" s="67"/>
      <c r="L633" s="69"/>
      <c r="M633" s="8"/>
    </row>
    <row r="634" spans="1:13" s="3" customFormat="1" ht="12.2" customHeight="1" x14ac:dyDescent="0.15">
      <c r="A634" s="21"/>
      <c r="B634" s="22"/>
      <c r="C634" s="22"/>
      <c r="D634" s="22"/>
      <c r="E634" s="22"/>
      <c r="F634" s="86" t="s">
        <v>395</v>
      </c>
      <c r="G634" s="80">
        <f>SUM(L353)</f>
        <v>235478.45</v>
      </c>
      <c r="H634" s="80">
        <f>SUM(H473)</f>
        <v>235478.45</v>
      </c>
      <c r="I634" s="87" t="s">
        <v>112</v>
      </c>
      <c r="J634" s="80">
        <f>G634-H634</f>
        <v>0</v>
      </c>
      <c r="K634" s="67"/>
      <c r="L634" s="69"/>
      <c r="M634" s="8"/>
    </row>
    <row r="635" spans="1:13" s="124" customFormat="1" ht="12.2" customHeight="1" x14ac:dyDescent="0.15">
      <c r="A635" s="21"/>
      <c r="B635" s="22"/>
      <c r="C635" s="22"/>
      <c r="D635" s="22"/>
      <c r="E635" s="22"/>
      <c r="F635" s="99" t="s">
        <v>247</v>
      </c>
      <c r="G635" s="80">
        <f>I363</f>
        <v>47759.37</v>
      </c>
      <c r="H635" s="80">
        <f>I370</f>
        <v>47759.369999999995</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128456.29999999999</v>
      </c>
      <c r="H636" s="80">
        <f>SUM(G473)</f>
        <v>128456.3</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208466.96</v>
      </c>
      <c r="H637" s="80">
        <f>SUM(I473)</f>
        <v>208466.96</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12107.499999999998</v>
      </c>
      <c r="H638" s="108">
        <f>SUM(J469)</f>
        <v>12107.5</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150600</v>
      </c>
      <c r="H639" s="108">
        <f>SUM(J473)</f>
        <v>150600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80900.41</v>
      </c>
      <c r="H640" s="80">
        <f>SUM(F462)</f>
        <v>80900.41</v>
      </c>
      <c r="I640" s="87" t="s">
        <v>840</v>
      </c>
      <c r="J640" s="80">
        <f t="shared" si="50"/>
        <v>0</v>
      </c>
      <c r="K640" s="67"/>
      <c r="L640" s="69"/>
      <c r="M640" s="8"/>
    </row>
    <row r="641" spans="1:13" s="3" customFormat="1" ht="12.2" customHeight="1" x14ac:dyDescent="0.15">
      <c r="A641" s="21"/>
      <c r="B641" s="22"/>
      <c r="C641" s="22"/>
      <c r="D641" s="22"/>
      <c r="E641" s="22"/>
      <c r="F641" s="86" t="s">
        <v>119</v>
      </c>
      <c r="G641" s="80">
        <f>SUM(G447)</f>
        <v>619824.69999999995</v>
      </c>
      <c r="H641" s="80">
        <f>SUM(G462)</f>
        <v>619824.69999999995</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700725.11</v>
      </c>
      <c r="H643" s="80">
        <f>SUM(I462)</f>
        <v>700725.11</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12107.5</v>
      </c>
      <c r="H645" s="80">
        <f>H409</f>
        <v>12107.499999999998</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12107.5</v>
      </c>
      <c r="H647" s="80">
        <f>L409</f>
        <v>12107.499999999998</v>
      </c>
      <c r="I647" s="87" t="s">
        <v>477</v>
      </c>
      <c r="J647" s="80">
        <f t="shared" si="50"/>
        <v>0</v>
      </c>
      <c r="K647" s="67"/>
      <c r="L647" s="69"/>
      <c r="M647" s="8"/>
    </row>
    <row r="648" spans="1:13" s="3" customFormat="1" ht="12.2" customHeight="1" x14ac:dyDescent="0.15">
      <c r="A648" s="21"/>
      <c r="B648" s="22"/>
      <c r="C648" s="22"/>
      <c r="D648" s="22"/>
      <c r="E648" s="22"/>
      <c r="F648" s="86" t="s">
        <v>51</v>
      </c>
      <c r="G648" s="80">
        <f>K599</f>
        <v>321220.09999999998</v>
      </c>
      <c r="H648" s="80">
        <f>L209+L227+L245</f>
        <v>321220.09999999998</v>
      </c>
      <c r="I648" s="87" t="s">
        <v>396</v>
      </c>
      <c r="J648" s="80">
        <f t="shared" si="50"/>
        <v>0</v>
      </c>
      <c r="K648" s="67"/>
      <c r="L648" s="69"/>
      <c r="M648" s="8"/>
    </row>
    <row r="649" spans="1:13" s="3" customFormat="1" ht="12.2" customHeight="1" x14ac:dyDescent="0.15">
      <c r="A649" s="21"/>
      <c r="B649" s="22"/>
      <c r="C649" s="22"/>
      <c r="D649" s="22"/>
      <c r="E649" s="22"/>
      <c r="F649" s="86" t="s">
        <v>52</v>
      </c>
      <c r="G649" s="80">
        <f>K606</f>
        <v>85715.72</v>
      </c>
      <c r="H649" s="80">
        <f>(J258+J339)-(J256+J337)</f>
        <v>85715.72</v>
      </c>
      <c r="I649" s="87" t="s">
        <v>699</v>
      </c>
      <c r="J649" s="80">
        <f t="shared" si="50"/>
        <v>0</v>
      </c>
      <c r="K649" s="67"/>
      <c r="L649" s="69"/>
      <c r="M649" s="8"/>
    </row>
    <row r="650" spans="1:13" s="3" customFormat="1" ht="12.2" customHeight="1" x14ac:dyDescent="0.15">
      <c r="A650" s="21"/>
      <c r="B650" s="22"/>
      <c r="C650" s="22"/>
      <c r="D650" s="22"/>
      <c r="E650" s="22"/>
      <c r="F650" s="86" t="s">
        <v>387</v>
      </c>
      <c r="G650" s="80">
        <f>L209</f>
        <v>203005.4</v>
      </c>
      <c r="H650" s="80">
        <f>H599</f>
        <v>203005.4</v>
      </c>
      <c r="I650" s="87" t="s">
        <v>388</v>
      </c>
      <c r="J650" s="80">
        <f t="shared" si="50"/>
        <v>0</v>
      </c>
      <c r="K650" s="67"/>
      <c r="L650" s="69"/>
      <c r="M650" s="8"/>
    </row>
    <row r="651" spans="1:13" s="3" customFormat="1" ht="12.2" customHeight="1" x14ac:dyDescent="0.15">
      <c r="A651" s="21"/>
      <c r="B651" s="22"/>
      <c r="C651" s="22"/>
      <c r="D651" s="22"/>
      <c r="E651" s="22"/>
      <c r="F651" s="86" t="s">
        <v>392</v>
      </c>
      <c r="G651" s="80">
        <f>L227</f>
        <v>34117.300000000003</v>
      </c>
      <c r="H651" s="80">
        <f>I599</f>
        <v>34117.300000000003</v>
      </c>
      <c r="I651" s="87" t="s">
        <v>389</v>
      </c>
      <c r="J651" s="80">
        <f t="shared" si="50"/>
        <v>0</v>
      </c>
      <c r="K651" s="67"/>
      <c r="L651" s="69"/>
      <c r="M651" s="8"/>
    </row>
    <row r="652" spans="1:13" s="3" customFormat="1" ht="12.2" customHeight="1" x14ac:dyDescent="0.15">
      <c r="A652" s="21"/>
      <c r="B652" s="22"/>
      <c r="C652" s="22"/>
      <c r="D652" s="22"/>
      <c r="E652" s="22"/>
      <c r="F652" s="86" t="s">
        <v>393</v>
      </c>
      <c r="G652" s="80">
        <f>L245</f>
        <v>84097.4</v>
      </c>
      <c r="H652" s="80">
        <f>J599</f>
        <v>84097.4</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6220733.3200000012</v>
      </c>
      <c r="G661" s="13">
        <f>(L230+L310+L360)</f>
        <v>1078721.08</v>
      </c>
      <c r="H661" s="13">
        <f>(L248+L329+L361)</f>
        <v>2518652.46</v>
      </c>
      <c r="I661" s="13">
        <f>SUM(F661:H661)</f>
        <v>9818106.8600000013</v>
      </c>
      <c r="J661" s="13"/>
      <c r="K661" s="13"/>
      <c r="L661" s="13"/>
      <c r="M661" s="9"/>
    </row>
    <row r="662" spans="1:13" s="3" customFormat="1" ht="12.2" customHeight="1" x14ac:dyDescent="0.2">
      <c r="A662" s="1" t="s">
        <v>127</v>
      </c>
      <c r="F662" s="13">
        <f>(L359/IF(SUM(L359:L361)=0,1,SUM(L359:L361))*(SUM(G97:G110)))</f>
        <v>96391.31</v>
      </c>
      <c r="G662" s="13">
        <f>(L360/IF(SUM(L359:L361)=0,1,SUM(L359:L361))*(SUM(G97:G110)))</f>
        <v>0</v>
      </c>
      <c r="H662" s="13">
        <f>(L361/IF(SUM(L359:L361)=0,1,SUM(L359:L361))*(SUM(G97:G110)))</f>
        <v>0</v>
      </c>
      <c r="I662" s="13">
        <f>SUM(F662:H662)</f>
        <v>96391.31</v>
      </c>
      <c r="J662"/>
      <c r="K662" s="13"/>
      <c r="L662" s="13"/>
      <c r="M662" s="8"/>
    </row>
    <row r="663" spans="1:13" s="3" customFormat="1" ht="12.2" customHeight="1" x14ac:dyDescent="0.2">
      <c r="A663" s="1" t="s">
        <v>128</v>
      </c>
      <c r="F663" s="13">
        <f>(L209+L288)-(J209+J288)</f>
        <v>203005.4</v>
      </c>
      <c r="G663" s="13">
        <f>(L227+L307)-(J227+J307)</f>
        <v>34117.300000000003</v>
      </c>
      <c r="H663" s="13">
        <f>(L245+L326)-(J245+J326)</f>
        <v>84097.4</v>
      </c>
      <c r="I663" s="13">
        <f>SUM(F663:H663)</f>
        <v>321220.09999999998</v>
      </c>
      <c r="J663"/>
      <c r="K663" s="13"/>
      <c r="L663" s="13"/>
      <c r="M663" s="9"/>
    </row>
    <row r="664" spans="1:13" s="3" customFormat="1" ht="12.2" customHeight="1" x14ac:dyDescent="0.15">
      <c r="A664" s="142" t="s">
        <v>129</v>
      </c>
      <c r="B664" s="124"/>
      <c r="C664" s="124"/>
      <c r="D664" s="124"/>
      <c r="E664" s="124"/>
      <c r="F664" s="143">
        <f>SUM(F576:F588)+SUM(H603:H605)+SUM(L612)</f>
        <v>132141.82</v>
      </c>
      <c r="G664" s="143">
        <f>SUM(G576:G588)+SUM(I603:I605)+L613</f>
        <v>1044603.78</v>
      </c>
      <c r="H664" s="143">
        <f>SUM(H576:H588)+SUM(J603:J605)+L614</f>
        <v>2313555.06</v>
      </c>
      <c r="I664" s="13">
        <f>SUM(F664:H664)</f>
        <v>3490300.66</v>
      </c>
      <c r="J664" s="13"/>
      <c r="K664" s="13"/>
      <c r="L664" s="13"/>
      <c r="M664" s="9"/>
    </row>
    <row r="665" spans="1:13" s="3" customFormat="1" ht="12.2" customHeight="1" x14ac:dyDescent="0.15">
      <c r="A665" s="1" t="s">
        <v>130</v>
      </c>
      <c r="F665" s="13">
        <f>F661-SUM(F662:F664)</f>
        <v>5789194.790000001</v>
      </c>
      <c r="G665" s="13">
        <f>G661-SUM(G662:G664)</f>
        <v>0</v>
      </c>
      <c r="H665" s="13">
        <f>H661-SUM(H662:H664)</f>
        <v>121000</v>
      </c>
      <c r="I665" s="13">
        <f>I661-SUM(I662:I664)</f>
        <v>5910194.790000001</v>
      </c>
      <c r="J665" s="13"/>
      <c r="K665" s="13"/>
      <c r="L665" s="13"/>
      <c r="M665" s="8"/>
    </row>
    <row r="666" spans="1:13" s="3" customFormat="1" ht="12.2" customHeight="1" x14ac:dyDescent="0.2">
      <c r="A666" s="1" t="s">
        <v>131</v>
      </c>
      <c r="F666" s="183">
        <v>259.83</v>
      </c>
      <c r="G666" s="184"/>
      <c r="H666" s="184"/>
      <c r="I666" s="13">
        <f>SUM(F666:H666)</f>
        <v>259.83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22280.7</v>
      </c>
      <c r="G668" s="13" t="e">
        <f>ROUND(G665/G666,2)</f>
        <v>#DIV/0!</v>
      </c>
      <c r="H668" s="13" t="e">
        <f>ROUND(H665/H666,2)</f>
        <v>#DIV/0!</v>
      </c>
      <c r="I668" s="13">
        <f>ROUND(I665/I666,2)</f>
        <v>22746.39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f t="shared" si="51"/>
        <v>-121000</v>
      </c>
      <c r="I670" s="13">
        <f>SUM(F670:H670)</f>
        <v>-121000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22280.7</v>
      </c>
      <c r="G673" s="13" t="e">
        <f>ROUND((G665+G670)/(G666+G671),2)</f>
        <v>#DIV/0!</v>
      </c>
      <c r="H673" s="13" t="e">
        <f>ROUND((H665+H670)/(H666+H671),2)</f>
        <v>#DIV/0!</v>
      </c>
      <c r="I673" s="13">
        <f>ROUND((I665+I670)/(I666+I671),2)</f>
        <v>22280.7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J19" sqref="J19"/>
    </sheetView>
  </sheetViews>
  <sheetFormatPr defaultColWidth="9.1640625" defaultRowHeight="15" x14ac:dyDescent="0.25"/>
  <cols>
    <col min="1" max="2" width="9.1640625" style="259"/>
    <col min="3" max="3" width="154.5" style="259" customWidth="1"/>
    <col min="4" max="4" width="9.1640625" style="259"/>
    <col min="5" max="5" width="14.1640625" style="259" customWidth="1"/>
    <col min="6" max="6" width="13.1640625" style="259" customWidth="1"/>
    <col min="7" max="7" width="9.1640625" style="259"/>
    <col min="8" max="8" width="23.1640625" style="259" customWidth="1"/>
    <col min="9" max="9" width="14.1640625" style="259" customWidth="1"/>
    <col min="10" max="16384" width="9.16406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29217.54</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19233.009999999998</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9984.5300000000007</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I36"/>
  <sheetViews>
    <sheetView zoomScaleNormal="100" workbookViewId="0">
      <selection activeCell="B3" sqref="B3"/>
    </sheetView>
  </sheetViews>
  <sheetFormatPr defaultColWidth="8.6640625"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6" t="str">
        <f>'DOE25'!A2</f>
        <v>Grantham</v>
      </c>
      <c r="C5" s="317"/>
      <c r="D5" s="317"/>
      <c r="E5" s="317"/>
      <c r="F5" s="317"/>
    </row>
    <row r="8" spans="1:9" ht="18" x14ac:dyDescent="0.25">
      <c r="A8" s="240" t="s">
        <v>1560</v>
      </c>
      <c r="F8" s="247" t="s">
        <v>1578</v>
      </c>
    </row>
    <row r="9" spans="1:9" ht="15" x14ac:dyDescent="0.2">
      <c r="A9" s="238" t="s">
        <v>1561</v>
      </c>
      <c r="B9" s="241">
        <f>'DOE25'!G97</f>
        <v>86442.91</v>
      </c>
      <c r="F9" s="238" t="s">
        <v>1574</v>
      </c>
    </row>
    <row r="10" spans="1:9" ht="15" x14ac:dyDescent="0.2">
      <c r="A10" s="238" t="s">
        <v>1562</v>
      </c>
      <c r="B10" s="241">
        <f>'DOE25'!G112-'DOE25'!G97</f>
        <v>9948.3999999999942</v>
      </c>
      <c r="F10" s="238" t="s">
        <v>1575</v>
      </c>
    </row>
    <row r="11" spans="1:9" ht="15" x14ac:dyDescent="0.2">
      <c r="A11" s="238" t="s">
        <v>1563</v>
      </c>
      <c r="B11" s="241">
        <f>'DOE25'!G140</f>
        <v>1290.08</v>
      </c>
      <c r="F11" s="238" t="s">
        <v>1576</v>
      </c>
    </row>
    <row r="12" spans="1:9" ht="15" x14ac:dyDescent="0.2">
      <c r="A12" s="238" t="s">
        <v>1564</v>
      </c>
      <c r="B12" s="241">
        <f>'DOE25'!G170</f>
        <v>41874.21</v>
      </c>
      <c r="F12" s="238" t="s">
        <v>1577</v>
      </c>
    </row>
    <row r="13" spans="1:9" ht="15" x14ac:dyDescent="0.2">
      <c r="A13" s="238" t="s">
        <v>1565</v>
      </c>
      <c r="B13" s="241">
        <f>'DOE25'!G193-'DOE25'!G180</f>
        <v>0</v>
      </c>
      <c r="F13" s="238" t="s">
        <v>1587</v>
      </c>
    </row>
    <row r="14" spans="1:9" ht="18" x14ac:dyDescent="0.25">
      <c r="A14" s="240" t="s">
        <v>732</v>
      </c>
      <c r="B14" s="242">
        <f>SUM(B9:B13)</f>
        <v>139555.6</v>
      </c>
    </row>
    <row r="16" spans="1:9" ht="18" x14ac:dyDescent="0.25">
      <c r="A16" s="240" t="s">
        <v>786</v>
      </c>
      <c r="F16" s="247" t="s">
        <v>1579</v>
      </c>
    </row>
    <row r="17" spans="1:6" ht="15" x14ac:dyDescent="0.2">
      <c r="A17" s="238" t="s">
        <v>1566</v>
      </c>
      <c r="B17" s="241">
        <f>'DOE25'!L363-'DOE25'!L362</f>
        <v>128456.29999999999</v>
      </c>
      <c r="F17" s="238" t="s">
        <v>1580</v>
      </c>
    </row>
    <row r="18" spans="1:6" ht="15" x14ac:dyDescent="0.2">
      <c r="A18" s="238" t="s">
        <v>1567</v>
      </c>
      <c r="B18" s="251"/>
      <c r="F18" s="247" t="s">
        <v>1604</v>
      </c>
    </row>
    <row r="19" spans="1:6" ht="18" x14ac:dyDescent="0.25">
      <c r="A19" s="240" t="s">
        <v>725</v>
      </c>
      <c r="B19" s="242">
        <f>SUM(B17:B18)</f>
        <v>128456.29999999999</v>
      </c>
    </row>
    <row r="21" spans="1:6" ht="18.75" thickBot="1" x14ac:dyDescent="0.3">
      <c r="A21" s="240" t="s">
        <v>1568</v>
      </c>
    </row>
    <row r="22" spans="1:6" ht="18.75" thickTop="1" x14ac:dyDescent="0.25">
      <c r="A22" s="240" t="s">
        <v>1569</v>
      </c>
      <c r="B22" s="246">
        <f>B14-B19</f>
        <v>11099.300000000017</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11099.300000000003</v>
      </c>
      <c r="F33" s="238" t="s">
        <v>1585</v>
      </c>
    </row>
    <row r="36" spans="1:6" ht="15" x14ac:dyDescent="0.2">
      <c r="A36" s="238" t="s">
        <v>1571</v>
      </c>
      <c r="B36" s="252">
        <v>3858</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scale="99" orientation="portrait"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170" zoomScaleNormal="170" workbookViewId="0">
      <selection activeCell="F31" sqref="F31"/>
    </sheetView>
  </sheetViews>
  <sheetFormatPr defaultColWidth="8.6640625" defaultRowHeight="11.25" x14ac:dyDescent="0.2"/>
  <cols>
    <col min="1" max="1" width="26.6640625" customWidth="1"/>
    <col min="2" max="2" width="33.6640625" customWidth="1"/>
    <col min="3" max="3" width="29.5" customWidth="1"/>
  </cols>
  <sheetData>
    <row r="1" spans="1:3" x14ac:dyDescent="0.2">
      <c r="A1" s="171" t="s">
        <v>781</v>
      </c>
      <c r="B1" s="170" t="str">
        <f>'DOE25'!A2</f>
        <v>Grantham</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1412485.55</v>
      </c>
      <c r="C9" s="167">
        <f>'DOE25'!G198+'DOE25'!G216+'DOE25'!G234+'DOE25'!G277+'DOE25'!G296+'DOE25'!G315</f>
        <v>728130.32000000007</v>
      </c>
    </row>
    <row r="10" spans="1:3" x14ac:dyDescent="0.2">
      <c r="A10" t="s">
        <v>775</v>
      </c>
      <c r="B10" s="177">
        <v>1288349.18</v>
      </c>
      <c r="C10" s="177">
        <v>687985.37</v>
      </c>
    </row>
    <row r="11" spans="1:3" x14ac:dyDescent="0.2">
      <c r="A11" t="s">
        <v>776</v>
      </c>
      <c r="B11" s="177">
        <v>77143.87</v>
      </c>
      <c r="C11" s="177">
        <v>36550.019999999997</v>
      </c>
    </row>
    <row r="12" spans="1:3" x14ac:dyDescent="0.2">
      <c r="A12" t="s">
        <v>777</v>
      </c>
      <c r="B12" s="177">
        <v>46992.5</v>
      </c>
      <c r="C12" s="177">
        <v>3594.93</v>
      </c>
    </row>
    <row r="13" spans="1:3" x14ac:dyDescent="0.2">
      <c r="A13" t="str">
        <f>IF(B9=B13,IF(C9=C13,"Check Total OK","Check Total Error"),"Check Total Error")</f>
        <v>Check Total OK</v>
      </c>
      <c r="B13" s="169">
        <f>SUM(B10:B12)</f>
        <v>1412485.5499999998</v>
      </c>
      <c r="C13" s="169">
        <f>SUM(C10:C12)</f>
        <v>728130.32000000007</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822019.74</v>
      </c>
      <c r="C18" s="167">
        <f>'DOE25'!G199+'DOE25'!G217+'DOE25'!G235+'DOE25'!G278+'DOE25'!G297+'DOE25'!G316</f>
        <v>468103.47</v>
      </c>
    </row>
    <row r="19" spans="1:3" x14ac:dyDescent="0.2">
      <c r="A19" t="s">
        <v>775</v>
      </c>
      <c r="B19" s="177">
        <v>310287.31</v>
      </c>
      <c r="C19" s="177">
        <v>192580.12</v>
      </c>
    </row>
    <row r="20" spans="1:3" x14ac:dyDescent="0.2">
      <c r="A20" t="s">
        <v>776</v>
      </c>
      <c r="B20" s="177">
        <v>410770.43</v>
      </c>
      <c r="C20" s="177">
        <v>225655.51</v>
      </c>
    </row>
    <row r="21" spans="1:3" x14ac:dyDescent="0.2">
      <c r="A21" t="s">
        <v>777</v>
      </c>
      <c r="B21" s="177">
        <v>100962</v>
      </c>
      <c r="C21" s="177">
        <v>49867.839999999997</v>
      </c>
    </row>
    <row r="22" spans="1:3" x14ac:dyDescent="0.2">
      <c r="A22" t="str">
        <f>IF(B18=B22,IF(C18=C22,"Check Total OK","Check Total Error"),"Check Total Error")</f>
        <v>Check Total OK</v>
      </c>
      <c r="B22" s="169">
        <f>SUM(B19:B21)</f>
        <v>822019.74</v>
      </c>
      <c r="C22" s="169">
        <f>SUM(C19:C21)</f>
        <v>468103.47</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0</v>
      </c>
      <c r="C36" s="173">
        <f>'DOE25'!G201+'DOE25'!G219+'DOE25'!G237+'DOE25'!G280+'DOE25'!G299+'DOE25'!G318</f>
        <v>0</v>
      </c>
    </row>
    <row r="37" spans="1:3" x14ac:dyDescent="0.2">
      <c r="A37" t="s">
        <v>775</v>
      </c>
      <c r="B37" s="177"/>
      <c r="C37" s="177"/>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0</v>
      </c>
      <c r="C40" s="169">
        <f>SUM(C37:C39)</f>
        <v>0</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50" zoomScaleNormal="150" workbookViewId="0">
      <pane ySplit="4" topLeftCell="A16" activePane="bottomLeft" state="frozen"/>
      <selection activeCell="F46" sqref="F46"/>
      <selection pane="bottomLeft" activeCell="F39" sqref="F39"/>
    </sheetView>
  </sheetViews>
  <sheetFormatPr defaultColWidth="8.6640625"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320" t="s">
        <v>889</v>
      </c>
      <c r="B1" s="323"/>
      <c r="C1" s="323"/>
      <c r="D1" s="323"/>
      <c r="E1" s="323"/>
      <c r="F1" s="323"/>
      <c r="G1" s="323"/>
      <c r="H1" s="323"/>
      <c r="I1" s="131"/>
    </row>
    <row r="2" spans="1:9" x14ac:dyDescent="0.2">
      <c r="A2" s="32" t="s">
        <v>713</v>
      </c>
      <c r="B2" s="196" t="str">
        <f>'DOE25'!A2</f>
        <v>Grantham</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6950772.8000000007</v>
      </c>
      <c r="D5" s="19">
        <f>SUM('DOE25'!L198:L201)+SUM('DOE25'!L216:L219)+SUM('DOE25'!L234:L237)-F5-G5-H5</f>
        <v>6945063.080000001</v>
      </c>
      <c r="E5" s="180"/>
      <c r="F5" s="181"/>
      <c r="G5" s="19">
        <f>SUM('DOE25'!J198:J201)+SUM('DOE25'!J216:J219)+SUM('DOE25'!J234:J237)</f>
        <v>4154.7199999999993</v>
      </c>
      <c r="H5" s="19">
        <f>SUM('DOE25'!K198:K201)+SUM('DOE25'!K216:K219)+SUM('DOE25'!K234:K237)</f>
        <v>1555</v>
      </c>
      <c r="I5" s="192"/>
    </row>
    <row r="6" spans="1:9" x14ac:dyDescent="0.2">
      <c r="A6" s="31">
        <v>2100</v>
      </c>
      <c r="B6" t="s">
        <v>796</v>
      </c>
      <c r="C6" s="206">
        <f t="shared" si="0"/>
        <v>569084.27999999991</v>
      </c>
      <c r="D6" s="19">
        <f>'DOE25'!L203+'DOE25'!L221+'DOE25'!L239-F6-G6-H6</f>
        <v>568934.27999999991</v>
      </c>
      <c r="E6" s="180"/>
      <c r="F6" s="181"/>
      <c r="G6" s="19">
        <f>'DOE25'!J203+'DOE25'!J221+'DOE25'!J239</f>
        <v>0</v>
      </c>
      <c r="H6" s="19">
        <f>'DOE25'!K203+'DOE25'!K221+'DOE25'!K239</f>
        <v>150</v>
      </c>
      <c r="I6" s="192"/>
    </row>
    <row r="7" spans="1:9" x14ac:dyDescent="0.2">
      <c r="A7" s="31">
        <v>2200</v>
      </c>
      <c r="B7" t="s">
        <v>820</v>
      </c>
      <c r="C7" s="206">
        <f t="shared" si="0"/>
        <v>314562.5</v>
      </c>
      <c r="D7" s="19">
        <f>'DOE25'!L204+'DOE25'!L222+'DOE25'!L240-F7-G7-H7</f>
        <v>277303.15000000002</v>
      </c>
      <c r="E7" s="180"/>
      <c r="F7" s="181"/>
      <c r="G7" s="19">
        <f>'DOE25'!J204+'DOE25'!J222+'DOE25'!J240</f>
        <v>37259.35</v>
      </c>
      <c r="H7" s="19">
        <f>'DOE25'!K204+'DOE25'!K222+'DOE25'!K240</f>
        <v>0</v>
      </c>
      <c r="I7" s="192"/>
    </row>
    <row r="8" spans="1:9" x14ac:dyDescent="0.2">
      <c r="A8" s="31">
        <v>2300</v>
      </c>
      <c r="B8" t="s">
        <v>797</v>
      </c>
      <c r="C8" s="206">
        <f t="shared" si="0"/>
        <v>450402.15</v>
      </c>
      <c r="D8" s="180"/>
      <c r="E8" s="19">
        <f>'DOE25'!L205+'DOE25'!L223+'DOE25'!L241-F8-G8-H8-D9-D11</f>
        <v>444527.9</v>
      </c>
      <c r="F8" s="181"/>
      <c r="G8" s="19">
        <f>'DOE25'!J205+'DOE25'!J223+'DOE25'!J241</f>
        <v>0</v>
      </c>
      <c r="H8" s="19">
        <f>'DOE25'!K205+'DOE25'!K223+'DOE25'!K241</f>
        <v>5874.25</v>
      </c>
      <c r="I8" s="192"/>
    </row>
    <row r="9" spans="1:9" ht="14.25" x14ac:dyDescent="0.2">
      <c r="A9" s="31">
        <v>2310</v>
      </c>
      <c r="B9" s="71" t="s">
        <v>887</v>
      </c>
      <c r="C9" s="206">
        <f t="shared" si="0"/>
        <v>0</v>
      </c>
      <c r="D9" s="181"/>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267507.42</v>
      </c>
      <c r="D12" s="19">
        <f>'DOE25'!L206+'DOE25'!L224+'DOE25'!L242-F12-G12-H12</f>
        <v>263154.42</v>
      </c>
      <c r="E12" s="180"/>
      <c r="F12" s="181"/>
      <c r="G12" s="19">
        <f>'DOE25'!J206+'DOE25'!J224+'DOE25'!J242</f>
        <v>3534</v>
      </c>
      <c r="H12" s="19">
        <f>'DOE25'!K206+'DOE25'!K224+'DOE25'!K242</f>
        <v>819</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580622.86</v>
      </c>
      <c r="D14" s="19">
        <f>'DOE25'!L208+'DOE25'!L226+'DOE25'!L244-F14-G14-H14</f>
        <v>543434.71</v>
      </c>
      <c r="E14" s="180"/>
      <c r="F14" s="181"/>
      <c r="G14" s="19">
        <f>'DOE25'!J208+'DOE25'!J226+'DOE25'!J244</f>
        <v>37188.15</v>
      </c>
      <c r="H14" s="19">
        <f>'DOE25'!K208+'DOE25'!K226+'DOE25'!K244</f>
        <v>0</v>
      </c>
      <c r="I14" s="192"/>
    </row>
    <row r="15" spans="1:9" x14ac:dyDescent="0.2">
      <c r="A15" s="31">
        <v>2700</v>
      </c>
      <c r="B15" t="s">
        <v>799</v>
      </c>
      <c r="C15" s="206">
        <f t="shared" si="0"/>
        <v>321220.09999999998</v>
      </c>
      <c r="D15" s="19">
        <f>'DOE25'!L209+'DOE25'!L227+'DOE25'!L245-F15-G15-H15</f>
        <v>321220.09999999998</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480111.5</v>
      </c>
      <c r="D25" s="180"/>
      <c r="E25" s="180"/>
      <c r="F25" s="191"/>
      <c r="G25" s="180"/>
      <c r="H25" s="180"/>
      <c r="I25" s="190">
        <f>'DOE25'!L261+'DOE25'!L262+'DOE25'!L342+'DOE25'!L343</f>
        <v>480111.5</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82465.31</v>
      </c>
      <c r="D29" s="212">
        <f>'DOE25'!L359+'DOE25'!L360+'DOE25'!L361-'DOE25'!I368-F29-G29-H29-F39</f>
        <v>82178.5</v>
      </c>
      <c r="E29" s="180"/>
      <c r="F29" s="180"/>
      <c r="G29" s="19">
        <f>'DOE25'!J359+'DOE25'!J360+'DOE25'!J361</f>
        <v>286.81</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235478.45</v>
      </c>
      <c r="D31" s="19">
        <f>'DOE25'!L291+'DOE25'!L310+'DOE25'!L329+'DOE25'!L334+'DOE25'!L335+'DOE25'!L336-F31-G31-H31</f>
        <v>231898.95</v>
      </c>
      <c r="E31" s="180"/>
      <c r="F31" s="181"/>
      <c r="G31" s="19">
        <f>'DOE25'!J291+'DOE25'!J310+'DOE25'!J329+'DOE25'!J334+'DOE25'!J335+'DOE25'!J336</f>
        <v>3579.5</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9233187.1899999995</v>
      </c>
      <c r="E33" s="182">
        <f t="shared" si="1"/>
        <v>444527.9</v>
      </c>
      <c r="F33" s="182">
        <f t="shared" si="1"/>
        <v>0</v>
      </c>
      <c r="G33" s="182">
        <f t="shared" si="1"/>
        <v>86002.53</v>
      </c>
      <c r="H33" s="182">
        <f t="shared" si="1"/>
        <v>8398.25</v>
      </c>
      <c r="I33" s="182">
        <f t="shared" si="1"/>
        <v>480111.5</v>
      </c>
    </row>
    <row r="34" spans="1:9" ht="12" thickBot="1" x14ac:dyDescent="0.25"/>
    <row r="35" spans="1:9" ht="12" thickBot="1" x14ac:dyDescent="0.25">
      <c r="B35" s="188" t="s">
        <v>830</v>
      </c>
      <c r="D35" s="189">
        <f>E33</f>
        <v>444527.9</v>
      </c>
      <c r="E35" s="185"/>
      <c r="F35" s="295" t="s">
        <v>1608</v>
      </c>
      <c r="G35" s="296"/>
      <c r="H35" s="296"/>
      <c r="I35" s="297"/>
    </row>
    <row r="36" spans="1:9" ht="12" thickTop="1" x14ac:dyDescent="0.2">
      <c r="B36" t="s">
        <v>810</v>
      </c>
      <c r="D36" s="19">
        <f>D33</f>
        <v>9233187.1899999995</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c r="G42" s="305" t="str">
        <f>IF(F42=0,"&lt;&lt;&lt;&lt;&lt; YOU HAVE NOT ENTERED YOUR CAPITALIZATION THRESHOLD!!","")</f>
        <v>&lt;&lt;&lt;&lt;&lt; YOU HAVE NOT ENTERED YOUR CAPITALIZATION THRESHOLD!!</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150" zoomScaleNormal="150" workbookViewId="0">
      <selection activeCell="D38" sqref="D38"/>
    </sheetView>
  </sheetViews>
  <sheetFormatPr defaultColWidth="8.6640625" defaultRowHeight="11.25" x14ac:dyDescent="0.2"/>
  <cols>
    <col min="1" max="1" width="35.6640625" customWidth="1"/>
    <col min="2" max="2" width="22.1640625" customWidth="1"/>
    <col min="3" max="3" width="22" customWidth="1"/>
    <col min="4" max="4" width="19.1640625" customWidth="1"/>
    <col min="5" max="5" width="18" customWidth="1"/>
    <col min="6" max="6" width="20.1640625" customWidth="1"/>
    <col min="7" max="7" width="23.6640625" customWidth="1"/>
    <col min="8" max="8" width="19.1640625" customWidth="1"/>
    <col min="9" max="9" width="24.1640625" customWidth="1"/>
    <col min="10" max="10" width="39.6640625" customWidth="1"/>
    <col min="11" max="11" width="27.1640625" customWidth="1"/>
    <col min="12" max="12" width="26.6640625" customWidth="1"/>
    <col min="13" max="13" width="22.6640625" customWidth="1"/>
    <col min="14" max="15" width="18.6640625" customWidth="1"/>
    <col min="16" max="16" width="15.1640625" customWidth="1"/>
    <col min="17" max="17" width="19.6640625" customWidth="1"/>
    <col min="18" max="18" width="19.5" style="31" customWidth="1"/>
    <col min="19" max="19" width="31.66406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Grantham</v>
      </c>
      <c r="B2">
        <f>'DOE25'!B2</f>
        <v>211</v>
      </c>
      <c r="J2" s="224" t="s">
        <v>1808</v>
      </c>
      <c r="K2" s="309">
        <f>SUM('DOE25'!L198:L201)+SUM('DOE25'!L216:L219)+SUM('DOE25'!L234:L237)+SUM('DOE25'!L277:L280)+SUM('DOE25'!L296:L299)+SUM('DOE25'!L315:L318)</f>
        <v>7119872.8800000008</v>
      </c>
      <c r="L2" s="309">
        <f>'DOE25'!L203+'DOE25'!L221+'DOE25'!L239+'DOE25'!L282+'DOE25'!L301+'DOE25'!L320</f>
        <v>591158.05999999994</v>
      </c>
      <c r="M2" s="309">
        <f>'DOE25'!L204+'DOE25'!L222+'DOE25'!L240+'DOE25'!L283+'DOE25'!L302+'DOE25'!L321</f>
        <v>341734.37</v>
      </c>
      <c r="N2" s="309">
        <f>'DOE25'!L206+'DOE25'!L224+'DOE25'!L242+'DOE25'!L285+'DOE25'!L304+'DOE25'!L323</f>
        <v>267507.42</v>
      </c>
      <c r="O2" s="309">
        <f>'Salaries-Benefits'!B10+'Salaries-Benefits'!B12+'Salaries-Benefits'!B19+'Salaries-Benefits'!B21+'Salaries-Benefits'!B28+'Salaries-Benefits'!B30+'Salaries-Benefits'!B37+'Salaries-Benefits'!B39</f>
        <v>1746590.99</v>
      </c>
      <c r="P2" s="309">
        <f>'Salaries-Benefits'!B11+'Salaries-Benefits'!B20+'Salaries-Benefits'!B29+'Salaries-Benefits'!B38</f>
        <v>487914.3</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-7119872.8800000008</v>
      </c>
      <c r="L3" s="311">
        <f t="shared" ref="L3:P3" si="0">L21+L33+L43-L2</f>
        <v>-591158.05999999994</v>
      </c>
      <c r="M3" s="311">
        <f t="shared" si="0"/>
        <v>-341734.37</v>
      </c>
      <c r="N3" s="311">
        <f t="shared" si="0"/>
        <v>-267507.42</v>
      </c>
      <c r="O3" s="311">
        <f t="shared" si="0"/>
        <v>-1746590.99</v>
      </c>
      <c r="P3" s="311">
        <f t="shared" si="0"/>
        <v>-487914.3</v>
      </c>
      <c r="Q3" s="310"/>
      <c r="R3" s="306"/>
      <c r="S3" s="215"/>
      <c r="T3" s="215"/>
      <c r="U3" s="216"/>
    </row>
    <row r="4" spans="1:21" ht="55.5" customHeight="1" thickBot="1" x14ac:dyDescent="0.25">
      <c r="A4" s="224" t="s">
        <v>1522</v>
      </c>
      <c r="B4" s="224" t="s">
        <v>1523</v>
      </c>
      <c r="C4" s="224" t="s">
        <v>896</v>
      </c>
      <c r="D4" s="224" t="s">
        <v>786</v>
      </c>
      <c r="E4" s="224" t="s">
        <v>786</v>
      </c>
      <c r="F4" s="228">
        <f>SUM(F5:F20)</f>
        <v>6092277.0200000005</v>
      </c>
      <c r="G4" s="229">
        <f>'DOE25'!L212+'DOE25'!L291</f>
        <v>6092277.0200000014</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Grantham Village School</v>
      </c>
      <c r="B6" s="230">
        <f>IFERROR(VLOOKUP(A6,'School Tables'!$C$3:$D$365,2,FALSE),"")</f>
        <v>21330</v>
      </c>
      <c r="C6" s="223" t="str">
        <f>IFERROR(INDEX('School Tables'!$B$3:$B$365,MATCH('School Level Expenditures'!B6,'School Tables'!$D$3:$D$365,0)),"")</f>
        <v>Grantham</v>
      </c>
      <c r="D6" s="220">
        <v>5856798.5700000003</v>
      </c>
      <c r="E6" s="220">
        <v>235478.45</v>
      </c>
      <c r="F6" s="232">
        <f t="shared" ref="F6:F20" si="1">D6+E6</f>
        <v>6092277.0200000005</v>
      </c>
      <c r="G6" s="223"/>
      <c r="H6" s="223"/>
      <c r="J6" t="str">
        <f>A6</f>
        <v>Grantham Village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5856798.5700000003</v>
      </c>
      <c r="E21" s="262">
        <f>SUM(E5:E20)</f>
        <v>235478.45</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1078721.08</v>
      </c>
      <c r="G24" s="229">
        <f>'DOE25'!L230+'DOE25'!L310</f>
        <v>1078721.08</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v>1078721.08</v>
      </c>
      <c r="E25" s="220"/>
      <c r="F25" s="232">
        <f>D25+E25</f>
        <v>1078721.08</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1078721.08</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2518652.46</v>
      </c>
      <c r="G36" s="229">
        <f>'DOE25'!L248+'DOE25'!L329</f>
        <v>2518652.46</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2518652.46</v>
      </c>
      <c r="E37" s="220"/>
      <c r="F37" s="232">
        <f t="shared" ref="F37:F42" si="7">D37+E37</f>
        <v>2518652.46</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2518652.46</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view="pageLayout" zoomScaleNormal="150" workbookViewId="0">
      <selection activeCell="K40" sqref="K40"/>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Grantham</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899803.82</v>
      </c>
      <c r="D8" s="73">
        <f>'DOE25'!G9</f>
        <v>0</v>
      </c>
      <c r="E8" s="73">
        <f>'DOE25'!H9</f>
        <v>0</v>
      </c>
      <c r="F8" s="73">
        <f>'DOE25'!I9</f>
        <v>0</v>
      </c>
      <c r="G8" s="73">
        <f>'DOE25'!J9</f>
        <v>700725.11</v>
      </c>
      <c r="H8" s="13">
        <f>SUM(C8:G8)</f>
        <v>1600528.93</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18186.310000000001</v>
      </c>
      <c r="E11" s="73">
        <f>'DOE25'!H12</f>
        <v>0</v>
      </c>
      <c r="F11" s="73">
        <f>'DOE25'!I12</f>
        <v>616652.30000000005</v>
      </c>
      <c r="G11" s="73">
        <f>'DOE25'!J12</f>
        <v>0</v>
      </c>
      <c r="H11" s="13">
        <f t="shared" si="0"/>
        <v>634838.6100000001</v>
      </c>
      <c r="I11" s="90"/>
    </row>
    <row r="12" spans="1:9" x14ac:dyDescent="0.2">
      <c r="A12" s="1" t="s">
        <v>143</v>
      </c>
      <c r="B12" s="6">
        <v>140</v>
      </c>
      <c r="C12" s="73">
        <f>'DOE25'!F13</f>
        <v>15048.3</v>
      </c>
      <c r="D12" s="73">
        <f>'DOE25'!G13</f>
        <v>9124.86</v>
      </c>
      <c r="E12" s="73">
        <f>'DOE25'!H13</f>
        <v>89271.84</v>
      </c>
      <c r="F12" s="73">
        <f>'DOE25'!I13</f>
        <v>0</v>
      </c>
      <c r="G12" s="73">
        <f>'DOE25'!J13</f>
        <v>0</v>
      </c>
      <c r="H12" s="13">
        <f t="shared" si="0"/>
        <v>113445</v>
      </c>
      <c r="I12" s="90"/>
    </row>
    <row r="13" spans="1:9" x14ac:dyDescent="0.2">
      <c r="A13" s="1" t="s">
        <v>144</v>
      </c>
      <c r="B13" s="6">
        <v>150</v>
      </c>
      <c r="C13" s="73">
        <f>'DOE25'!F14</f>
        <v>908.8</v>
      </c>
      <c r="D13" s="73">
        <f>'DOE25'!G14</f>
        <v>811.2</v>
      </c>
      <c r="E13" s="73">
        <f>'DOE25'!H14</f>
        <v>0</v>
      </c>
      <c r="F13" s="73">
        <f>'DOE25'!I14</f>
        <v>0</v>
      </c>
      <c r="G13" s="73">
        <f>'DOE25'!J14</f>
        <v>0</v>
      </c>
      <c r="H13" s="13">
        <f t="shared" si="0"/>
        <v>1720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122335.48</v>
      </c>
      <c r="D16" s="73">
        <f>'DOE25'!G17</f>
        <v>0</v>
      </c>
      <c r="E16" s="73">
        <f>'DOE25'!H17</f>
        <v>0</v>
      </c>
      <c r="F16" s="73">
        <f>'DOE25'!I17</f>
        <v>0</v>
      </c>
      <c r="G16" s="73">
        <f>'DOE25'!J17</f>
        <v>0</v>
      </c>
      <c r="H16" s="13">
        <f t="shared" si="0"/>
        <v>122335.48</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1038096.4</v>
      </c>
      <c r="D18" s="38">
        <f>SUM(D8:D17)</f>
        <v>28122.370000000003</v>
      </c>
      <c r="E18" s="38">
        <f>SUM(E8:E17)</f>
        <v>89271.84</v>
      </c>
      <c r="F18" s="38">
        <f>SUM(F8:F17)</f>
        <v>616652.30000000005</v>
      </c>
      <c r="G18" s="38">
        <f>SUM(G8:G17)</f>
        <v>700725.11</v>
      </c>
      <c r="H18" s="38">
        <f t="shared" si="0"/>
        <v>2472868.02</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557258.56000000006</v>
      </c>
      <c r="D21" s="73">
        <f>'DOE25'!G22</f>
        <v>0</v>
      </c>
      <c r="E21" s="73">
        <f>'DOE25'!H22</f>
        <v>86439.88</v>
      </c>
      <c r="F21" s="73">
        <f>'DOE25'!I22</f>
        <v>0</v>
      </c>
      <c r="G21" s="73">
        <f>'DOE25'!J22</f>
        <v>0</v>
      </c>
      <c r="H21" s="13">
        <f t="shared" ref="H21:H31" si="1">SUM(C21:G21)</f>
        <v>643698.44000000006</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58991.839999999997</v>
      </c>
      <c r="D23" s="73">
        <f>'DOE25'!G24</f>
        <v>1266</v>
      </c>
      <c r="E23" s="73">
        <f>'DOE25'!H24</f>
        <v>0</v>
      </c>
      <c r="F23" s="73">
        <f>'DOE25'!I24</f>
        <v>60591.6</v>
      </c>
      <c r="G23" s="73">
        <f>'DOE25'!J24</f>
        <v>0</v>
      </c>
      <c r="H23" s="13">
        <f t="shared" si="1"/>
        <v>120849.44</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4332.91</v>
      </c>
      <c r="D27" s="73">
        <f>'DOE25'!G28</f>
        <v>0</v>
      </c>
      <c r="E27" s="73">
        <f>'DOE25'!H28</f>
        <v>0</v>
      </c>
      <c r="F27" s="73">
        <f>'DOE25'!I28</f>
        <v>0</v>
      </c>
      <c r="G27" s="23" t="s">
        <v>288</v>
      </c>
      <c r="H27" s="13">
        <f t="shared" si="1"/>
        <v>4332.91</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15757.07</v>
      </c>
      <c r="E29" s="73">
        <f>'DOE25'!H30</f>
        <v>2831.96</v>
      </c>
      <c r="F29" s="73">
        <f>'DOE25'!I30</f>
        <v>0</v>
      </c>
      <c r="G29" s="23" t="s">
        <v>288</v>
      </c>
      <c r="H29" s="13">
        <f t="shared" si="1"/>
        <v>18589.03</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620583.31000000006</v>
      </c>
      <c r="D31" s="38">
        <f>SUM(D21:D30)</f>
        <v>17023.07</v>
      </c>
      <c r="E31" s="38">
        <f>SUM(E21:E30)</f>
        <v>89271.840000000011</v>
      </c>
      <c r="F31" s="38">
        <f>SUM(F21:F30)</f>
        <v>60591.6</v>
      </c>
      <c r="G31" s="38">
        <f>SUM(G21:G30)</f>
        <v>0</v>
      </c>
      <c r="H31" s="38">
        <f t="shared" si="1"/>
        <v>787469.82</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11099.3</v>
      </c>
      <c r="E39" s="23" t="s">
        <v>288</v>
      </c>
      <c r="F39" s="23" t="s">
        <v>288</v>
      </c>
      <c r="G39" s="23" t="s">
        <v>288</v>
      </c>
      <c r="H39" s="13">
        <f t="shared" si="2"/>
        <v>11099.3</v>
      </c>
      <c r="I39" s="90"/>
    </row>
    <row r="40" spans="1:9" x14ac:dyDescent="0.2">
      <c r="A40" s="1" t="s">
        <v>870</v>
      </c>
      <c r="B40" s="6"/>
      <c r="C40" s="23" t="s">
        <v>288</v>
      </c>
      <c r="D40" s="23" t="s">
        <v>288</v>
      </c>
      <c r="E40" s="23" t="s">
        <v>288</v>
      </c>
      <c r="F40" s="73">
        <f>'DOE25'!I41</f>
        <v>554096.80000000005</v>
      </c>
      <c r="G40" s="23" t="s">
        <v>288</v>
      </c>
      <c r="H40" s="13">
        <f t="shared" si="2"/>
        <v>554096.80000000005</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1963.9</v>
      </c>
      <c r="G47" s="73">
        <f>'DOE25'!J48</f>
        <v>700725.11</v>
      </c>
      <c r="H47" s="13">
        <f t="shared" si="2"/>
        <v>702689.01</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417513.09</v>
      </c>
      <c r="D49" s="23" t="s">
        <v>288</v>
      </c>
      <c r="E49" s="23" t="s">
        <v>288</v>
      </c>
      <c r="F49" s="23" t="s">
        <v>288</v>
      </c>
      <c r="G49" s="23" t="s">
        <v>288</v>
      </c>
      <c r="H49" s="13">
        <f t="shared" si="2"/>
        <v>417513.09</v>
      </c>
      <c r="I49" s="90"/>
    </row>
    <row r="50" spans="1:9" ht="12.75" thickTop="1" thickBot="1" x14ac:dyDescent="0.25">
      <c r="A50" s="35" t="s">
        <v>883</v>
      </c>
      <c r="B50" s="44"/>
      <c r="C50" s="38">
        <f>SUM(C34:C49)</f>
        <v>417513.09</v>
      </c>
      <c r="D50" s="38">
        <f>SUM(D34:D49)</f>
        <v>11099.3</v>
      </c>
      <c r="E50" s="38">
        <f>SUM(E34:E49)</f>
        <v>0</v>
      </c>
      <c r="F50" s="38">
        <f>SUM(F34:F49)</f>
        <v>556060.70000000007</v>
      </c>
      <c r="G50" s="38">
        <f>SUM(G34:G49)</f>
        <v>700725.11</v>
      </c>
      <c r="H50" s="38">
        <f t="shared" si="2"/>
        <v>1685398.2000000002</v>
      </c>
      <c r="I50" s="90"/>
    </row>
    <row r="51" spans="1:9" ht="12" thickTop="1" x14ac:dyDescent="0.2">
      <c r="A51" s="35" t="s">
        <v>884</v>
      </c>
      <c r="B51" s="2"/>
      <c r="C51" s="38">
        <f>C50+C31</f>
        <v>1038096.4000000001</v>
      </c>
      <c r="D51" s="38">
        <f>D50+D31</f>
        <v>28122.37</v>
      </c>
      <c r="E51" s="38">
        <f>E50+E31</f>
        <v>89271.840000000011</v>
      </c>
      <c r="F51" s="38">
        <f>F50+F31</f>
        <v>616652.30000000005</v>
      </c>
      <c r="G51" s="38">
        <f>G50+G31</f>
        <v>700725.11</v>
      </c>
      <c r="H51" s="38">
        <f t="shared" si="2"/>
        <v>2472868.0200000005</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7571564</v>
      </c>
      <c r="D56" s="73">
        <f>'DOE25'!G60</f>
        <v>0</v>
      </c>
      <c r="E56" s="73">
        <f>'DOE25'!H60</f>
        <v>0</v>
      </c>
      <c r="F56" s="73">
        <f>'DOE25'!I60</f>
        <v>0</v>
      </c>
      <c r="G56" s="73">
        <f>'DOE25'!J60</f>
        <v>0</v>
      </c>
      <c r="H56" s="13">
        <f t="shared" ref="H56:H63" si="3">SUM(C56:G56)</f>
        <v>7571564</v>
      </c>
      <c r="I56"/>
    </row>
    <row r="57" spans="1:9" x14ac:dyDescent="0.2">
      <c r="A57" s="1" t="s">
        <v>164</v>
      </c>
      <c r="B57" s="6" t="s">
        <v>165</v>
      </c>
      <c r="C57" s="73">
        <f>'DOE25'!F79</f>
        <v>17651.2</v>
      </c>
      <c r="D57" s="23" t="s">
        <v>288</v>
      </c>
      <c r="E57" s="73">
        <f>'DOE25'!H79</f>
        <v>0</v>
      </c>
      <c r="F57" s="23" t="s">
        <v>288</v>
      </c>
      <c r="G57" s="23" t="s">
        <v>288</v>
      </c>
      <c r="H57" s="13">
        <f t="shared" si="3"/>
        <v>17651.2</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2012.54</v>
      </c>
      <c r="D59" s="73">
        <f>'DOE25'!G96</f>
        <v>0</v>
      </c>
      <c r="E59" s="73">
        <f>'DOE25'!H96</f>
        <v>0</v>
      </c>
      <c r="F59" s="73">
        <f>'DOE25'!I96</f>
        <v>12415.51</v>
      </c>
      <c r="G59" s="73">
        <f>'DOE25'!J96</f>
        <v>12107.5</v>
      </c>
      <c r="H59" s="13">
        <f t="shared" si="3"/>
        <v>26535.55</v>
      </c>
      <c r="I59"/>
    </row>
    <row r="60" spans="1:9" x14ac:dyDescent="0.2">
      <c r="A60" s="1" t="s">
        <v>170</v>
      </c>
      <c r="B60" s="22" t="s">
        <v>171</v>
      </c>
      <c r="C60" s="23" t="s">
        <v>288</v>
      </c>
      <c r="D60" s="73">
        <f>'DOE25'!G97</f>
        <v>86442.91</v>
      </c>
      <c r="E60" s="23" t="s">
        <v>288</v>
      </c>
      <c r="F60" s="23" t="s">
        <v>288</v>
      </c>
      <c r="G60" s="23" t="s">
        <v>288</v>
      </c>
      <c r="H60" s="13">
        <f t="shared" si="3"/>
        <v>86442.91</v>
      </c>
      <c r="I60"/>
    </row>
    <row r="61" spans="1:9" ht="12" thickBot="1" x14ac:dyDescent="0.25">
      <c r="A61" s="1" t="s">
        <v>172</v>
      </c>
      <c r="B61" s="22" t="s">
        <v>173</v>
      </c>
      <c r="C61" s="73">
        <f>SUM('DOE25'!F98:F110)</f>
        <v>2981</v>
      </c>
      <c r="D61" s="73">
        <f>SUM('DOE25'!G98:G110)</f>
        <v>9948.4</v>
      </c>
      <c r="E61" s="73">
        <f>SUM('DOE25'!H98:H110)</f>
        <v>5228.04</v>
      </c>
      <c r="F61" s="73">
        <f>SUM('DOE25'!I98:I110)</f>
        <v>2112.15</v>
      </c>
      <c r="G61" s="73">
        <f>SUM('DOE25'!J98:J110)</f>
        <v>0</v>
      </c>
      <c r="H61" s="13">
        <f t="shared" si="3"/>
        <v>20269.59</v>
      </c>
      <c r="I61"/>
    </row>
    <row r="62" spans="1:9" ht="12.75" thickTop="1" thickBot="1" x14ac:dyDescent="0.25">
      <c r="A62" s="28" t="s">
        <v>174</v>
      </c>
      <c r="B62" s="6"/>
      <c r="C62" s="93">
        <f>SUM(C57:C61)</f>
        <v>22644.74</v>
      </c>
      <c r="D62" s="93">
        <f>SUM(D57:D61)</f>
        <v>96391.31</v>
      </c>
      <c r="E62" s="93">
        <f>SUM(E57:E61)</f>
        <v>5228.04</v>
      </c>
      <c r="F62" s="93">
        <f>SUM(F57:F61)</f>
        <v>14527.66</v>
      </c>
      <c r="G62" s="93">
        <f>SUM(G57:G61)</f>
        <v>12107.5</v>
      </c>
      <c r="H62" s="13">
        <f t="shared" si="3"/>
        <v>150899.25</v>
      </c>
      <c r="I62"/>
    </row>
    <row r="63" spans="1:9" ht="12" thickTop="1" x14ac:dyDescent="0.2">
      <c r="A63" s="28" t="s">
        <v>175</v>
      </c>
      <c r="B63" s="6"/>
      <c r="C63" s="21">
        <f>C56+C62</f>
        <v>7594208.7400000002</v>
      </c>
      <c r="D63" s="21">
        <f>D56+D62</f>
        <v>96391.31</v>
      </c>
      <c r="E63" s="21">
        <f>E56+E62</f>
        <v>5228.04</v>
      </c>
      <c r="F63" s="21">
        <f>F56+F62</f>
        <v>14527.66</v>
      </c>
      <c r="G63" s="21">
        <f>G56+G62</f>
        <v>12107.5</v>
      </c>
      <c r="H63" s="13">
        <f t="shared" si="3"/>
        <v>7722463.25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1185544.5900000001</v>
      </c>
      <c r="D66" s="23" t="s">
        <v>288</v>
      </c>
      <c r="E66" s="23" t="s">
        <v>288</v>
      </c>
      <c r="F66" s="23" t="s">
        <v>288</v>
      </c>
      <c r="G66" s="23" t="s">
        <v>288</v>
      </c>
      <c r="H66" s="13">
        <f t="shared" ref="H66:H81" si="4">SUM(C66:G66)</f>
        <v>1185544.5900000001</v>
      </c>
      <c r="I66"/>
    </row>
    <row r="67" spans="1:9" x14ac:dyDescent="0.2">
      <c r="A67" s="1" t="s">
        <v>770</v>
      </c>
      <c r="B67" s="6">
        <v>3112</v>
      </c>
      <c r="C67" s="73">
        <f>'DOE25'!F118</f>
        <v>695379</v>
      </c>
      <c r="D67" s="23"/>
      <c r="E67" s="23"/>
      <c r="F67" s="23"/>
      <c r="G67" s="23"/>
      <c r="H67" s="13">
        <f t="shared" si="4"/>
        <v>695379</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38199.97</v>
      </c>
      <c r="D69" s="73">
        <f>'DOE25'!G120</f>
        <v>0</v>
      </c>
      <c r="E69" s="73">
        <f>'DOE25'!H120</f>
        <v>0</v>
      </c>
      <c r="F69" s="73">
        <f>'DOE25'!I120</f>
        <v>0</v>
      </c>
      <c r="G69" s="73">
        <f>'DOE25'!J120</f>
        <v>0</v>
      </c>
      <c r="H69" s="13">
        <f t="shared" si="4"/>
        <v>38199.97</v>
      </c>
      <c r="I69"/>
    </row>
    <row r="70" spans="1:9" ht="12" thickTop="1" x14ac:dyDescent="0.2">
      <c r="A70" s="28" t="s">
        <v>252</v>
      </c>
      <c r="B70" s="2"/>
      <c r="C70" s="97">
        <f>SUM(C66:C69)</f>
        <v>1919123.56</v>
      </c>
      <c r="D70" s="97">
        <f>D69</f>
        <v>0</v>
      </c>
      <c r="E70" s="97">
        <f>E69</f>
        <v>0</v>
      </c>
      <c r="F70" s="97">
        <f>F69</f>
        <v>0</v>
      </c>
      <c r="G70" s="97">
        <f>G69</f>
        <v>0</v>
      </c>
      <c r="H70" s="13">
        <f t="shared" si="4"/>
        <v>1919123.56</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107513.08</v>
      </c>
      <c r="D72" s="23" t="s">
        <v>288</v>
      </c>
      <c r="E72" s="23" t="s">
        <v>288</v>
      </c>
      <c r="F72" s="73">
        <f>'DOE25'!I123</f>
        <v>0</v>
      </c>
      <c r="G72" s="23" t="s">
        <v>288</v>
      </c>
      <c r="H72" s="13">
        <f t="shared" si="4"/>
        <v>107513.08</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126778.12</v>
      </c>
      <c r="D75" s="23" t="s">
        <v>288</v>
      </c>
      <c r="E75" s="23" t="s">
        <v>288</v>
      </c>
      <c r="F75" s="23" t="s">
        <v>288</v>
      </c>
      <c r="G75" s="23" t="s">
        <v>288</v>
      </c>
      <c r="H75" s="13">
        <f t="shared" si="4"/>
        <v>126778.12</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1290.08</v>
      </c>
      <c r="E77" s="73">
        <f>SUM('DOE25'!H131:H135)</f>
        <v>0</v>
      </c>
      <c r="F77" s="73">
        <f>SUM('DOE25'!I131:I135)</f>
        <v>0</v>
      </c>
      <c r="G77" s="73">
        <f>SUM('DOE25'!J131:J135)</f>
        <v>0</v>
      </c>
      <c r="H77" s="13">
        <f t="shared" si="4"/>
        <v>1290.08</v>
      </c>
      <c r="I77"/>
    </row>
    <row r="78" spans="1:9" ht="12.75" thickTop="1" thickBot="1" x14ac:dyDescent="0.25">
      <c r="A78" s="28" t="s">
        <v>259</v>
      </c>
      <c r="B78" s="6"/>
      <c r="C78" s="93">
        <f>SUM(C72:C77)</f>
        <v>234291.20000000001</v>
      </c>
      <c r="D78" s="93">
        <f>SUM(D72:D77)</f>
        <v>1290.08</v>
      </c>
      <c r="E78" s="93">
        <f>SUM(E72:E77)</f>
        <v>0</v>
      </c>
      <c r="F78" s="93">
        <f>SUM(F72:F77)</f>
        <v>0</v>
      </c>
      <c r="G78" s="93">
        <f>SUM(G72:G77)</f>
        <v>0</v>
      </c>
      <c r="H78" s="13">
        <f t="shared" si="4"/>
        <v>235581.28</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2153414.7600000002</v>
      </c>
      <c r="D81" s="93">
        <f>SUM(D79:D80)+D78+D70</f>
        <v>1290.08</v>
      </c>
      <c r="E81" s="93">
        <f>SUM(E79:E80)+E78+E70</f>
        <v>0</v>
      </c>
      <c r="F81" s="93">
        <f>SUM(F79:F80)+F78+F70</f>
        <v>0</v>
      </c>
      <c r="G81" s="93">
        <f>SUM(G79:G80)+G78+G70</f>
        <v>0</v>
      </c>
      <c r="H81" s="93">
        <f t="shared" si="4"/>
        <v>2154704.8400000003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14016</v>
      </c>
      <c r="F87" s="73">
        <f>SUM('DOE25'!I149:I152)</f>
        <v>0</v>
      </c>
      <c r="G87" s="23" t="s">
        <v>288</v>
      </c>
      <c r="H87" s="13">
        <f t="shared" si="5"/>
        <v>14016</v>
      </c>
    </row>
    <row r="88" spans="1:9" x14ac:dyDescent="0.2">
      <c r="A88" s="217" t="s">
        <v>747</v>
      </c>
      <c r="B88" s="231" t="s">
        <v>184</v>
      </c>
      <c r="C88" s="253">
        <f>SUM('DOE25'!F153:F162)</f>
        <v>17154.04</v>
      </c>
      <c r="D88" s="253">
        <f>SUM('DOE25'!G153:G162)</f>
        <v>41874.21</v>
      </c>
      <c r="E88" s="253">
        <f>SUM('DOE25'!H153:H162)</f>
        <v>216234.40999999997</v>
      </c>
      <c r="F88" s="253">
        <f>SUM('DOE25'!I153:I162)</f>
        <v>0</v>
      </c>
      <c r="G88" s="23" t="s">
        <v>288</v>
      </c>
      <c r="H88" s="13">
        <f t="shared" si="5"/>
        <v>275262.65999999997</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17154.04</v>
      </c>
      <c r="D91" s="94">
        <f>SUM(D85:D90)</f>
        <v>41874.21</v>
      </c>
      <c r="E91" s="94">
        <f>SUM(E85:E90)</f>
        <v>230250.40999999997</v>
      </c>
      <c r="F91" s="94">
        <f>SUM(F85:F90)</f>
        <v>0</v>
      </c>
      <c r="G91" s="23" t="s">
        <v>288</v>
      </c>
      <c r="H91" s="13">
        <f t="shared" si="5"/>
        <v>289278.65999999997</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700000</v>
      </c>
      <c r="G93" s="23" t="s">
        <v>288</v>
      </c>
      <c r="H93" s="13">
        <f t="shared" si="5"/>
        <v>700000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0</v>
      </c>
      <c r="H96" s="13">
        <f t="shared" si="5"/>
        <v>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100000</v>
      </c>
      <c r="D100" s="73">
        <f>SUM('DOE25'!G187:G188)</f>
        <v>0</v>
      </c>
      <c r="E100" s="73">
        <f>SUM('DOE25'!H187:H188)</f>
        <v>0</v>
      </c>
      <c r="F100" s="73">
        <f>SUM('DOE25'!I187:I188)</f>
        <v>50000</v>
      </c>
      <c r="G100" s="23" t="s">
        <v>288</v>
      </c>
      <c r="H100" s="13">
        <f t="shared" si="5"/>
        <v>150000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100000</v>
      </c>
      <c r="D103" s="68">
        <f>SUM(D93:D102)</f>
        <v>0</v>
      </c>
      <c r="E103" s="68">
        <f>SUM(E93:E102)</f>
        <v>0</v>
      </c>
      <c r="F103" s="68">
        <f>SUM(F93:F102)</f>
        <v>750000</v>
      </c>
      <c r="G103" s="68">
        <f>SUM(G93:G102)</f>
        <v>0</v>
      </c>
      <c r="H103" s="68">
        <f t="shared" si="5"/>
        <v>850000</v>
      </c>
    </row>
    <row r="104" spans="1:8" ht="12.75" thickTop="1" thickBot="1" x14ac:dyDescent="0.25">
      <c r="A104" s="32" t="s">
        <v>761</v>
      </c>
      <c r="C104" s="68">
        <f>C63+C81+C91+C103</f>
        <v>9864777.5399999991</v>
      </c>
      <c r="D104" s="68">
        <f>D63+D81+D91+D103</f>
        <v>139555.6</v>
      </c>
      <c r="E104" s="68">
        <f>E63+E81+E91+E103</f>
        <v>235478.44999999998</v>
      </c>
      <c r="F104" s="68">
        <f>F63+F81+F91+F103</f>
        <v>764527.66</v>
      </c>
      <c r="G104" s="68">
        <f>G63+G81+G103</f>
        <v>12107.5</v>
      </c>
      <c r="H104" s="68">
        <f t="shared" si="5"/>
        <v>11016446.749999998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5527294.3599999994</v>
      </c>
      <c r="D109" s="23" t="s">
        <v>288</v>
      </c>
      <c r="E109" s="73">
        <f>('DOE25'!L277)+('DOE25'!L296)+('DOE25'!L315)</f>
        <v>76039.350000000006</v>
      </c>
      <c r="F109" s="23" t="s">
        <v>288</v>
      </c>
      <c r="G109" s="23" t="s">
        <v>288</v>
      </c>
      <c r="H109" s="13">
        <f t="shared" ref="H109:H115" si="6">SUM(C109:G109)</f>
        <v>5603333.709999999</v>
      </c>
    </row>
    <row r="110" spans="1:8" x14ac:dyDescent="0.2">
      <c r="A110" t="s">
        <v>198</v>
      </c>
      <c r="B110" s="31" t="s">
        <v>199</v>
      </c>
      <c r="C110" s="73">
        <f>('DOE25'!L199)+('DOE25'!L217)+('DOE25'!L235)</f>
        <v>1423478.4399999997</v>
      </c>
      <c r="D110" s="23" t="s">
        <v>288</v>
      </c>
      <c r="E110" s="73">
        <f>('DOE25'!L278)+('DOE25'!L297)+('DOE25'!L316)</f>
        <v>92260.73</v>
      </c>
      <c r="F110" s="23" t="s">
        <v>288</v>
      </c>
      <c r="G110" s="23" t="s">
        <v>288</v>
      </c>
      <c r="H110" s="13">
        <f t="shared" si="6"/>
        <v>1515739.1699999997</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800</v>
      </c>
      <c r="F112" s="23" t="s">
        <v>288</v>
      </c>
      <c r="G112" s="23" t="s">
        <v>288</v>
      </c>
      <c r="H112" s="13">
        <f t="shared" si="6"/>
        <v>800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6950772.7999999989</v>
      </c>
      <c r="D115" s="68">
        <f>SUM(D109:D114)</f>
        <v>0</v>
      </c>
      <c r="E115" s="68">
        <f>SUM(E109:E114)</f>
        <v>169100.08000000002</v>
      </c>
      <c r="F115" s="68">
        <f>SUM(F109:F114)</f>
        <v>0</v>
      </c>
      <c r="G115" s="68">
        <f>SUM(G109:G114)</f>
        <v>0</v>
      </c>
      <c r="H115" s="68">
        <f t="shared" si="6"/>
        <v>7119872.879999999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569084.27999999991</v>
      </c>
      <c r="D118" s="23" t="s">
        <v>288</v>
      </c>
      <c r="E118" s="73">
        <f>+('DOE25'!L282)+('DOE25'!L301)+('DOE25'!L320)</f>
        <v>22073.78</v>
      </c>
      <c r="F118" s="23" t="s">
        <v>288</v>
      </c>
      <c r="G118" s="23" t="s">
        <v>288</v>
      </c>
      <c r="H118" s="13">
        <f t="shared" ref="H118:H145" si="7">SUM(C118:G118)</f>
        <v>591158.05999999994</v>
      </c>
    </row>
    <row r="119" spans="1:8" x14ac:dyDescent="0.2">
      <c r="A119" t="s">
        <v>208</v>
      </c>
      <c r="B119" s="31" t="s">
        <v>209</v>
      </c>
      <c r="C119" s="73">
        <f>('DOE25'!L204)+('DOE25'!L222)+('DOE25'!L240)</f>
        <v>314562.5</v>
      </c>
      <c r="D119" s="23" t="s">
        <v>288</v>
      </c>
      <c r="E119" s="73">
        <f>+('DOE25'!L283)+('DOE25'!L302)+('DOE25'!L321)</f>
        <v>27171.870000000003</v>
      </c>
      <c r="F119" s="23" t="s">
        <v>288</v>
      </c>
      <c r="G119" s="23" t="s">
        <v>288</v>
      </c>
      <c r="H119" s="13">
        <f t="shared" si="7"/>
        <v>341734.37</v>
      </c>
    </row>
    <row r="120" spans="1:8" x14ac:dyDescent="0.2">
      <c r="A120" t="s">
        <v>210</v>
      </c>
      <c r="B120" s="31" t="s">
        <v>211</v>
      </c>
      <c r="C120" s="73">
        <f>('DOE25'!L205)+('DOE25'!L223)+('DOE25'!L241)</f>
        <v>450402.15</v>
      </c>
      <c r="D120" s="23" t="s">
        <v>288</v>
      </c>
      <c r="E120" s="73">
        <f>+('DOE25'!L284)+('DOE25'!L303)+('DOE25'!L322)</f>
        <v>3279.84</v>
      </c>
      <c r="F120" s="23" t="s">
        <v>288</v>
      </c>
      <c r="G120" s="23" t="s">
        <v>288</v>
      </c>
      <c r="H120" s="13">
        <f t="shared" si="7"/>
        <v>453681.99000000005</v>
      </c>
    </row>
    <row r="121" spans="1:8" x14ac:dyDescent="0.2">
      <c r="A121" t="s">
        <v>212</v>
      </c>
      <c r="B121" s="31" t="s">
        <v>213</v>
      </c>
      <c r="C121" s="73">
        <f>('DOE25'!L206)+('DOE25'!L224)+('DOE25'!L242)</f>
        <v>267507.42</v>
      </c>
      <c r="D121" s="23" t="s">
        <v>288</v>
      </c>
      <c r="E121" s="73">
        <f>+('DOE25'!L285)+('DOE25'!L304)+('DOE25'!L323)</f>
        <v>0</v>
      </c>
      <c r="F121" s="23" t="s">
        <v>288</v>
      </c>
      <c r="G121" s="23" t="s">
        <v>288</v>
      </c>
      <c r="H121" s="13">
        <f t="shared" si="7"/>
        <v>267507.42</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580622.86</v>
      </c>
      <c r="D123" s="23" t="s">
        <v>288</v>
      </c>
      <c r="E123" s="73">
        <f>+('DOE25'!L287)+('DOE25'!L306)+('DOE25'!L325)</f>
        <v>13852.880000000001</v>
      </c>
      <c r="F123" s="23" t="s">
        <v>288</v>
      </c>
      <c r="G123" s="23" t="s">
        <v>288</v>
      </c>
      <c r="H123" s="13">
        <f t="shared" si="7"/>
        <v>594475.74</v>
      </c>
    </row>
    <row r="124" spans="1:8" x14ac:dyDescent="0.2">
      <c r="A124" t="s">
        <v>218</v>
      </c>
      <c r="B124" s="31" t="s">
        <v>219</v>
      </c>
      <c r="C124" s="73">
        <f>('DOE25'!L209)+('DOE25'!L227)+('DOE25'!L245+'DOE25'!L255)</f>
        <v>321220.09999999998</v>
      </c>
      <c r="D124" s="23" t="s">
        <v>288</v>
      </c>
      <c r="E124" s="73">
        <f>+('DOE25'!L288)+('DOE25'!L307)+('DOE25'!L326)</f>
        <v>0</v>
      </c>
      <c r="F124" s="23" t="s">
        <v>288</v>
      </c>
      <c r="G124" s="23" t="s">
        <v>288</v>
      </c>
      <c r="H124" s="13">
        <f t="shared" si="7"/>
        <v>321220.09999999998</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128456.29999999999</v>
      </c>
      <c r="E127" s="23" t="s">
        <v>288</v>
      </c>
      <c r="F127" s="23" t="s">
        <v>288</v>
      </c>
      <c r="G127" s="23" t="s">
        <v>288</v>
      </c>
      <c r="H127" s="13">
        <f t="shared" si="7"/>
        <v>128456.29999999999</v>
      </c>
    </row>
    <row r="128" spans="1:8" ht="12.75" thickTop="1" thickBot="1" x14ac:dyDescent="0.25">
      <c r="A128" s="32" t="s">
        <v>226</v>
      </c>
      <c r="C128" s="68">
        <f>SUM(C118:C127)</f>
        <v>2503399.31</v>
      </c>
      <c r="D128" s="68">
        <f>SUM(D118:D127)</f>
        <v>128456.29999999999</v>
      </c>
      <c r="E128" s="68">
        <f>SUM(E118:E127)</f>
        <v>66378.37000000001</v>
      </c>
      <c r="F128" s="68">
        <f>SUM(F118:F127)</f>
        <v>0</v>
      </c>
      <c r="G128" s="68">
        <f>SUM(G118:G127)</f>
        <v>0</v>
      </c>
      <c r="H128" s="68">
        <f t="shared" si="7"/>
        <v>2698233.98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208466.96</v>
      </c>
      <c r="G130" s="23" t="s">
        <v>288</v>
      </c>
      <c r="H130" s="13">
        <f t="shared" si="7"/>
        <v>208466.96</v>
      </c>
    </row>
    <row r="131" spans="1:8" x14ac:dyDescent="0.2">
      <c r="A131" t="s">
        <v>229</v>
      </c>
      <c r="B131" s="31">
        <v>5110</v>
      </c>
      <c r="C131" s="73">
        <f>'DOE25'!L261</f>
        <v>355000</v>
      </c>
      <c r="D131" s="23" t="s">
        <v>288</v>
      </c>
      <c r="E131" s="92">
        <f>'DOE25'!L342</f>
        <v>0</v>
      </c>
      <c r="F131" s="23" t="s">
        <v>288</v>
      </c>
      <c r="G131" s="23" t="s">
        <v>288</v>
      </c>
      <c r="H131" s="13">
        <f t="shared" si="7"/>
        <v>355000</v>
      </c>
    </row>
    <row r="132" spans="1:8" x14ac:dyDescent="0.2">
      <c r="A132" t="s">
        <v>230</v>
      </c>
      <c r="B132" s="31">
        <v>5120</v>
      </c>
      <c r="C132" s="73">
        <f>'DOE25'!L262</f>
        <v>125111.5</v>
      </c>
      <c r="D132" s="23" t="s">
        <v>288</v>
      </c>
      <c r="E132" s="92">
        <f>'DOE25'!L343</f>
        <v>0</v>
      </c>
      <c r="F132" s="23" t="s">
        <v>288</v>
      </c>
      <c r="G132" s="23" t="s">
        <v>288</v>
      </c>
      <c r="H132" s="13">
        <f t="shared" si="7"/>
        <v>125111.5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1153.97</v>
      </c>
      <c r="D138" s="23" t="s">
        <v>288</v>
      </c>
      <c r="E138" s="23" t="s">
        <v>288</v>
      </c>
      <c r="F138" s="23" t="s">
        <v>288</v>
      </c>
      <c r="G138" s="23" t="s">
        <v>288</v>
      </c>
      <c r="H138" s="13">
        <f t="shared" si="7"/>
        <v>1153.97</v>
      </c>
    </row>
    <row r="139" spans="1:8" x14ac:dyDescent="0.2">
      <c r="A139" t="s">
        <v>239</v>
      </c>
      <c r="B139" s="31">
        <v>5252</v>
      </c>
      <c r="C139" s="73">
        <f>'DOE25'!L402</f>
        <v>10953.529999999999</v>
      </c>
      <c r="D139" s="23" t="s">
        <v>288</v>
      </c>
      <c r="E139" s="23" t="s">
        <v>288</v>
      </c>
      <c r="F139" s="23" t="s">
        <v>288</v>
      </c>
      <c r="G139" s="23" t="s">
        <v>288</v>
      </c>
      <c r="H139" s="13">
        <f t="shared" si="7"/>
        <v>10953.529999999999</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-12107.499999999998</v>
      </c>
      <c r="D141" s="23" t="s">
        <v>288</v>
      </c>
      <c r="E141" s="23" t="s">
        <v>288</v>
      </c>
      <c r="F141" s="23" t="s">
        <v>288</v>
      </c>
      <c r="G141" s="23" t="s">
        <v>288</v>
      </c>
      <c r="H141" s="13">
        <f t="shared" si="7"/>
        <v>-12107.499999999998</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480111.5</v>
      </c>
      <c r="D144" s="98">
        <f>SUM(D130:D143)</f>
        <v>0</v>
      </c>
      <c r="E144" s="98">
        <f>SUM(E130:E143)</f>
        <v>0</v>
      </c>
      <c r="F144" s="98">
        <f>SUM(F130:F143)</f>
        <v>208466.96</v>
      </c>
      <c r="G144" s="98">
        <f>SUM(G130:G143)</f>
        <v>0</v>
      </c>
      <c r="H144" s="98">
        <f t="shared" si="7"/>
        <v>688578.46</v>
      </c>
    </row>
    <row r="145" spans="1:9" ht="12.75" thickTop="1" thickBot="1" x14ac:dyDescent="0.25">
      <c r="A145" s="32" t="s">
        <v>244</v>
      </c>
      <c r="C145" s="68">
        <f>(C115+C128+C144)</f>
        <v>9934283.6099999994</v>
      </c>
      <c r="D145" s="68">
        <f>(D115+D128+D144)</f>
        <v>128456.29999999999</v>
      </c>
      <c r="E145" s="68">
        <f>(E115+E128+E144)</f>
        <v>235478.45</v>
      </c>
      <c r="F145" s="68">
        <f>(F115+F128+F144)</f>
        <v>208466.96</v>
      </c>
      <c r="G145" s="68">
        <f>(G115+G128+G144)</f>
        <v>0</v>
      </c>
      <c r="H145" s="68">
        <f t="shared" si="7"/>
        <v>10506685.32</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10</v>
      </c>
      <c r="D151" s="110">
        <f>'DOE25'!H491</f>
        <v>0</v>
      </c>
      <c r="E151" s="110">
        <f>'DOE25'!I491</f>
        <v>0</v>
      </c>
      <c r="F151" s="110">
        <f>'DOE25'!J491</f>
        <v>0</v>
      </c>
      <c r="G151" s="23" t="s">
        <v>288</v>
      </c>
    </row>
    <row r="152" spans="1:9" x14ac:dyDescent="0.2">
      <c r="A152" s="21" t="s">
        <v>28</v>
      </c>
      <c r="B152" s="109" t="str">
        <f>'DOE25'!F492</f>
        <v>12/08</v>
      </c>
      <c r="C152" s="109" t="str">
        <f>'DOE25'!G492</f>
        <v>07/22</v>
      </c>
      <c r="D152" s="109">
        <f>'DOE25'!H492</f>
        <v>0</v>
      </c>
      <c r="E152" s="109">
        <f>'DOE25'!I492</f>
        <v>0</v>
      </c>
      <c r="F152" s="109">
        <f>'DOE25'!J492</f>
        <v>0</v>
      </c>
      <c r="G152" s="23" t="s">
        <v>288</v>
      </c>
    </row>
    <row r="153" spans="1:9" x14ac:dyDescent="0.2">
      <c r="A153" s="21" t="s">
        <v>29</v>
      </c>
      <c r="B153" s="109" t="str">
        <f>'DOE25'!F493</f>
        <v>01/29</v>
      </c>
      <c r="C153" s="109" t="str">
        <f>'DOE25'!G493</f>
        <v>08/32</v>
      </c>
      <c r="D153" s="109">
        <f>'DOE25'!H493</f>
        <v>0</v>
      </c>
      <c r="E153" s="109">
        <f>'DOE25'!I493</f>
        <v>0</v>
      </c>
      <c r="F153" s="109">
        <f>'DOE25'!J493</f>
        <v>0</v>
      </c>
      <c r="G153" s="23" t="s">
        <v>288</v>
      </c>
    </row>
    <row r="154" spans="1:9" x14ac:dyDescent="0.2">
      <c r="A154" s="21" t="s">
        <v>30</v>
      </c>
      <c r="B154" s="19">
        <f>'DOE25'!F494</f>
        <v>7150000</v>
      </c>
      <c r="C154" s="19">
        <f>'DOE25'!G494</f>
        <v>700000</v>
      </c>
      <c r="D154" s="19">
        <f>'DOE25'!H494</f>
        <v>0</v>
      </c>
      <c r="E154" s="19">
        <f>'DOE25'!I494</f>
        <v>0</v>
      </c>
      <c r="F154" s="19">
        <f>'DOE25'!J494</f>
        <v>0</v>
      </c>
      <c r="G154" s="23" t="s">
        <v>288</v>
      </c>
    </row>
    <row r="155" spans="1:9" x14ac:dyDescent="0.2">
      <c r="A155" s="21" t="s">
        <v>31</v>
      </c>
      <c r="B155" s="19">
        <f>'DOE25'!F495</f>
        <v>5.25</v>
      </c>
      <c r="C155" s="19">
        <f>'DOE25'!G495</f>
        <v>2.63</v>
      </c>
      <c r="D155" s="19">
        <f>'DOE25'!H495</f>
        <v>0</v>
      </c>
      <c r="E155" s="19">
        <f>'DOE25'!I495</f>
        <v>0</v>
      </c>
      <c r="F155" s="19">
        <f>'DOE25'!J495</f>
        <v>0</v>
      </c>
      <c r="G155" s="23" t="s">
        <v>288</v>
      </c>
    </row>
    <row r="156" spans="1:9" x14ac:dyDescent="0.2">
      <c r="A156" s="21" t="s">
        <v>32</v>
      </c>
      <c r="B156" s="19">
        <f>'DOE25'!F496</f>
        <v>2480000</v>
      </c>
      <c r="C156" s="19">
        <f>'DOE25'!G496</f>
        <v>622200</v>
      </c>
      <c r="D156" s="19">
        <f>'DOE25'!H496</f>
        <v>0</v>
      </c>
      <c r="E156" s="19">
        <f>'DOE25'!I496</f>
        <v>0</v>
      </c>
      <c r="F156" s="19">
        <f>'DOE25'!J496</f>
        <v>0</v>
      </c>
      <c r="G156" s="96">
        <f>SUM(B156:F156)</f>
        <v>3102200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355000</v>
      </c>
      <c r="C158" s="19">
        <f>'DOE25'!G498</f>
        <v>0</v>
      </c>
      <c r="D158" s="19">
        <f>'DOE25'!H498</f>
        <v>0</v>
      </c>
      <c r="E158" s="19">
        <f>'DOE25'!I498</f>
        <v>0</v>
      </c>
      <c r="F158" s="19">
        <f>'DOE25'!J498</f>
        <v>0</v>
      </c>
      <c r="G158" s="96">
        <f t="shared" si="8"/>
        <v>355000</v>
      </c>
    </row>
    <row r="159" spans="1:9" x14ac:dyDescent="0.2">
      <c r="A159" s="21" t="s">
        <v>35</v>
      </c>
      <c r="B159" s="19">
        <f>'DOE25'!F499</f>
        <v>2125000</v>
      </c>
      <c r="C159" s="19">
        <f>'DOE25'!G499</f>
        <v>622200</v>
      </c>
      <c r="D159" s="19">
        <f>'DOE25'!H499</f>
        <v>0</v>
      </c>
      <c r="E159" s="19">
        <f>'DOE25'!I499</f>
        <v>0</v>
      </c>
      <c r="F159" s="19">
        <f>'DOE25'!J499</f>
        <v>0</v>
      </c>
      <c r="G159" s="96">
        <f t="shared" si="8"/>
        <v>2747200</v>
      </c>
    </row>
    <row r="160" spans="1:9" x14ac:dyDescent="0.2">
      <c r="A160" s="21" t="s">
        <v>36</v>
      </c>
      <c r="B160" s="19">
        <f>'DOE25'!F500</f>
        <v>299510.78000000003</v>
      </c>
      <c r="C160" s="19">
        <f>'DOE25'!G500</f>
        <v>158620.20000000001</v>
      </c>
      <c r="D160" s="19">
        <f>'DOE25'!H500</f>
        <v>0</v>
      </c>
      <c r="E160" s="19">
        <f>'DOE25'!I500</f>
        <v>0</v>
      </c>
      <c r="F160" s="19">
        <f>'DOE25'!J500</f>
        <v>0</v>
      </c>
      <c r="G160" s="96">
        <f t="shared" si="8"/>
        <v>458130.98000000004</v>
      </c>
    </row>
    <row r="161" spans="1:7" x14ac:dyDescent="0.2">
      <c r="A161" s="21" t="s">
        <v>37</v>
      </c>
      <c r="B161" s="19">
        <f>'DOE25'!F501</f>
        <v>2424510.7800000003</v>
      </c>
      <c r="C161" s="19">
        <f>'DOE25'!G501</f>
        <v>780820.2</v>
      </c>
      <c r="D161" s="19">
        <f>'DOE25'!H501</f>
        <v>0</v>
      </c>
      <c r="E161" s="19">
        <f>'DOE25'!I501</f>
        <v>0</v>
      </c>
      <c r="F161" s="19">
        <f>'DOE25'!J501</f>
        <v>0</v>
      </c>
      <c r="G161" s="96">
        <f t="shared" si="8"/>
        <v>3205330.9800000004</v>
      </c>
    </row>
    <row r="162" spans="1:7" x14ac:dyDescent="0.2">
      <c r="A162" s="21" t="s">
        <v>38</v>
      </c>
      <c r="B162" s="19">
        <f>'DOE25'!F502</f>
        <v>355000</v>
      </c>
      <c r="C162" s="19">
        <f>'DOE25'!G502</f>
        <v>62300</v>
      </c>
      <c r="D162" s="19">
        <f>'DOE25'!H502</f>
        <v>0</v>
      </c>
      <c r="E162" s="19">
        <f>'DOE25'!I502</f>
        <v>0</v>
      </c>
      <c r="F162" s="19">
        <f>'DOE25'!J502</f>
        <v>0</v>
      </c>
      <c r="G162" s="96">
        <f t="shared" si="8"/>
        <v>417300</v>
      </c>
    </row>
    <row r="163" spans="1:7" x14ac:dyDescent="0.2">
      <c r="A163" s="21" t="s">
        <v>39</v>
      </c>
      <c r="B163" s="19">
        <f>'DOE25'!F503</f>
        <v>88338.76</v>
      </c>
      <c r="C163" s="19">
        <f>'DOE25'!G503</f>
        <v>30143.55</v>
      </c>
      <c r="D163" s="19">
        <f>'DOE25'!H503</f>
        <v>0</v>
      </c>
      <c r="E163" s="19">
        <f>'DOE25'!I503</f>
        <v>0</v>
      </c>
      <c r="F163" s="19">
        <f>'DOE25'!J503</f>
        <v>0</v>
      </c>
      <c r="G163" s="96">
        <f t="shared" si="8"/>
        <v>118482.31</v>
      </c>
    </row>
    <row r="164" spans="1:7" x14ac:dyDescent="0.2">
      <c r="A164" s="21" t="s">
        <v>246</v>
      </c>
      <c r="B164" s="19">
        <f>'DOE25'!F504</f>
        <v>443338.76</v>
      </c>
      <c r="C164" s="19">
        <f>'DOE25'!G504</f>
        <v>92443.55</v>
      </c>
      <c r="D164" s="19">
        <f>'DOE25'!H504</f>
        <v>0</v>
      </c>
      <c r="E164" s="19">
        <f>'DOE25'!I504</f>
        <v>0</v>
      </c>
      <c r="F164" s="19">
        <f>'DOE25'!J504</f>
        <v>0</v>
      </c>
      <c r="G164" s="96">
        <f t="shared" si="8"/>
        <v>535782.31000000006</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170" zoomScaleNormal="170" workbookViewId="0">
      <selection activeCell="H11" sqref="H11"/>
    </sheetView>
  </sheetViews>
  <sheetFormatPr defaultColWidth="8.6640625" defaultRowHeight="11.25" x14ac:dyDescent="0.2"/>
  <cols>
    <col min="1" max="1" width="14.1640625" customWidth="1"/>
    <col min="2" max="2" width="49" bestFit="1" customWidth="1"/>
    <col min="3" max="3" width="13.5" customWidth="1"/>
    <col min="4" max="4" width="10.1640625" customWidth="1"/>
  </cols>
  <sheetData>
    <row r="1" spans="1:4" ht="18" x14ac:dyDescent="0.25">
      <c r="A1" s="326" t="s">
        <v>736</v>
      </c>
      <c r="B1" s="326"/>
      <c r="C1" s="326"/>
      <c r="D1" s="326"/>
    </row>
    <row r="2" spans="1:4" x14ac:dyDescent="0.2">
      <c r="A2" s="136" t="s">
        <v>713</v>
      </c>
      <c r="B2" s="135" t="str">
        <f>'DOE25'!A2</f>
        <v>Grantham</v>
      </c>
    </row>
    <row r="3" spans="1:4" x14ac:dyDescent="0.2">
      <c r="B3" s="137" t="s">
        <v>1799</v>
      </c>
    </row>
    <row r="4" spans="1:4" x14ac:dyDescent="0.2">
      <c r="B4" t="s">
        <v>61</v>
      </c>
      <c r="C4" s="129">
        <f>IF('DOE25'!F666+'DOE25'!F671=0,0,ROUND('DOE25'!F673,0))</f>
        <v>22281</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22281</v>
      </c>
    </row>
    <row r="9" spans="1:4" x14ac:dyDescent="0.2">
      <c r="A9" s="136" t="s">
        <v>94</v>
      </c>
      <c r="B9" s="137" t="s">
        <v>1800</v>
      </c>
      <c r="C9" s="131" t="s">
        <v>720</v>
      </c>
      <c r="D9" s="131" t="s">
        <v>721</v>
      </c>
    </row>
    <row r="10" spans="1:4" x14ac:dyDescent="0.2">
      <c r="A10">
        <v>1100</v>
      </c>
      <c r="B10" t="s">
        <v>702</v>
      </c>
      <c r="C10" s="129">
        <f>ROUND('DOE25'!L198+'DOE25'!L216+'DOE25'!L234+'DOE25'!L277+'DOE25'!L296+'DOE25'!L315,0)</f>
        <v>5603334</v>
      </c>
      <c r="D10" s="132">
        <f>ROUND((C10/$C$28)*100,1)</f>
        <v>56.9</v>
      </c>
    </row>
    <row r="11" spans="1:4" x14ac:dyDescent="0.2">
      <c r="A11">
        <v>1200</v>
      </c>
      <c r="B11" t="s">
        <v>703</v>
      </c>
      <c r="C11" s="129">
        <f>ROUND('DOE25'!L199+'DOE25'!L217+'DOE25'!L235+'DOE25'!L278+'DOE25'!L297+'DOE25'!L316,0)</f>
        <v>1515739</v>
      </c>
      <c r="D11" s="132">
        <f>ROUND((C11/$C$28)*100,1)</f>
        <v>15.4</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800</v>
      </c>
      <c r="D13" s="132">
        <f>ROUND((C13/$C$28)*100,1)</f>
        <v>0</v>
      </c>
    </row>
    <row r="14" spans="1:4" x14ac:dyDescent="0.2">
      <c r="D14" s="132"/>
    </row>
    <row r="15" spans="1:4" x14ac:dyDescent="0.2">
      <c r="A15">
        <v>2100</v>
      </c>
      <c r="B15" t="s">
        <v>706</v>
      </c>
      <c r="C15" s="129">
        <f>ROUND('DOE25'!L203+'DOE25'!L221+'DOE25'!L239+'DOE25'!L282+'DOE25'!L301+'DOE25'!L320,0)</f>
        <v>591158</v>
      </c>
      <c r="D15" s="132">
        <f t="shared" ref="D15:D27" si="0">ROUND((C15/$C$28)*100,1)</f>
        <v>6</v>
      </c>
    </row>
    <row r="16" spans="1:4" x14ac:dyDescent="0.2">
      <c r="A16">
        <v>2200</v>
      </c>
      <c r="B16" t="s">
        <v>707</v>
      </c>
      <c r="C16" s="129">
        <f>ROUND('DOE25'!L204+'DOE25'!L222+'DOE25'!L240+'DOE25'!L283+'DOE25'!L302+'DOE25'!L321,0)</f>
        <v>341734</v>
      </c>
      <c r="D16" s="132">
        <f t="shared" si="0"/>
        <v>3.5</v>
      </c>
    </row>
    <row r="17" spans="1:4" x14ac:dyDescent="0.2">
      <c r="A17" s="133" t="s">
        <v>723</v>
      </c>
      <c r="B17" t="s">
        <v>738</v>
      </c>
      <c r="C17" s="129">
        <f>ROUND('DOE25'!L205+'DOE25'!L210+'DOE25'!L223+'DOE25'!L228+'DOE25'!L241+'DOE25'!L246+'DOE25'!L284+'DOE25'!L289+'DOE25'!L303+'DOE25'!L308+'DOE25'!L322+'DOE25'!L327,0)</f>
        <v>453682</v>
      </c>
      <c r="D17" s="132">
        <f t="shared" si="0"/>
        <v>4.5999999999999996</v>
      </c>
    </row>
    <row r="18" spans="1:4" x14ac:dyDescent="0.2">
      <c r="A18">
        <v>2400</v>
      </c>
      <c r="B18" t="s">
        <v>711</v>
      </c>
      <c r="C18" s="129">
        <f>ROUND('DOE25'!L206+'DOE25'!L224+'DOE25'!L242+'DOE25'!L285+'DOE25'!L304+'DOE25'!L323,0)</f>
        <v>267507</v>
      </c>
      <c r="D18" s="132">
        <f t="shared" si="0"/>
        <v>2.7</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594476</v>
      </c>
      <c r="D20" s="132">
        <f t="shared" si="0"/>
        <v>6</v>
      </c>
    </row>
    <row r="21" spans="1:4" x14ac:dyDescent="0.2">
      <c r="A21">
        <v>2700</v>
      </c>
      <c r="B21" t="s">
        <v>710</v>
      </c>
      <c r="C21" s="129">
        <f>ROUND('DOE25'!L209+'DOE25'!L227+'DOE25'!L245+'DOE25'!L288+'DOE25'!L307+'DOE25'!L326,0)</f>
        <v>321220</v>
      </c>
      <c r="D21" s="132">
        <f t="shared" si="0"/>
        <v>3.3</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125112</v>
      </c>
      <c r="D25" s="132">
        <f t="shared" si="0"/>
        <v>1.3</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32064.690000000002</v>
      </c>
      <c r="D27" s="132">
        <f t="shared" si="0"/>
        <v>0.3</v>
      </c>
    </row>
    <row r="28" spans="1:4" x14ac:dyDescent="0.2">
      <c r="B28" s="136" t="s">
        <v>719</v>
      </c>
      <c r="C28" s="130">
        <f>SUM(C10:C27)</f>
        <v>9846826.6899999995</v>
      </c>
      <c r="D28" s="134">
        <f>ROUND(SUM(D10:D27),0)</f>
        <v>100</v>
      </c>
    </row>
    <row r="29" spans="1:4" x14ac:dyDescent="0.2">
      <c r="A29">
        <v>4000</v>
      </c>
      <c r="B29" t="s">
        <v>724</v>
      </c>
      <c r="C29" s="129">
        <f>ROUND('DOE25'!L256+'DOE25'!L337+'DOE25'!L375+'DOE25'!L376+'DOE25'!L377+'DOE25'!L378+'DOE25'!L379+'DOE25'!L380+'DOE25'!L381,0)</f>
        <v>208467</v>
      </c>
    </row>
    <row r="30" spans="1:4" x14ac:dyDescent="0.2">
      <c r="B30" s="136" t="s">
        <v>725</v>
      </c>
      <c r="C30" s="130">
        <f>SUM(C28:C29)</f>
        <v>10055293.689999999</v>
      </c>
    </row>
    <row r="31" spans="1:4" x14ac:dyDescent="0.2">
      <c r="B31" s="32"/>
      <c r="C31" s="130"/>
    </row>
    <row r="32" spans="1:4" x14ac:dyDescent="0.2">
      <c r="A32">
        <v>5100</v>
      </c>
      <c r="B32" s="32" t="s">
        <v>726</v>
      </c>
      <c r="C32" s="130">
        <f>ROUND('DOE25'!L261+'DOE25'!L342,0)</f>
        <v>355000</v>
      </c>
    </row>
    <row r="34" spans="1:4" x14ac:dyDescent="0.2">
      <c r="A34" s="136" t="s">
        <v>94</v>
      </c>
      <c r="B34" s="137" t="s">
        <v>1801</v>
      </c>
      <c r="C34" s="131" t="s">
        <v>720</v>
      </c>
      <c r="D34" s="131" t="s">
        <v>721</v>
      </c>
    </row>
    <row r="35" spans="1:4" x14ac:dyDescent="0.2">
      <c r="A35">
        <v>1100</v>
      </c>
      <c r="B35" s="71" t="s">
        <v>727</v>
      </c>
      <c r="C35" s="129">
        <f>ROUND('DOE25'!F60+'DOE25'!G60+'DOE25'!H60+'DOE25'!I60+'DOE25'!J60,0)</f>
        <v>7571564</v>
      </c>
      <c r="D35" s="132">
        <f t="shared" ref="D35:D40" si="1">ROUND((C35/$C$41)*100,1)</f>
        <v>75.2</v>
      </c>
    </row>
    <row r="36" spans="1:4" x14ac:dyDescent="0.2">
      <c r="B36" s="71" t="s">
        <v>739</v>
      </c>
      <c r="C36" s="129">
        <f>SUM('DOE25'!F112:J112)-SUM('DOE25'!G97:G110)+('DOE25'!F175+'DOE25'!F176+'DOE25'!I175+'DOE25'!I176)-C35</f>
        <v>54507.94000000041</v>
      </c>
      <c r="D36" s="132">
        <f t="shared" si="1"/>
        <v>0.5</v>
      </c>
    </row>
    <row r="37" spans="1:4" x14ac:dyDescent="0.2">
      <c r="A37" s="133" t="s">
        <v>834</v>
      </c>
      <c r="B37" s="71" t="s">
        <v>728</v>
      </c>
      <c r="C37" s="129">
        <f>ROUND('DOE25'!F117+'DOE25'!F118,0)</f>
        <v>1880924</v>
      </c>
      <c r="D37" s="132">
        <f t="shared" si="1"/>
        <v>18.7</v>
      </c>
    </row>
    <row r="38" spans="1:4" x14ac:dyDescent="0.2">
      <c r="A38" s="133" t="s">
        <v>734</v>
      </c>
      <c r="B38" s="71" t="s">
        <v>729</v>
      </c>
      <c r="C38" s="129">
        <f>ROUND(SUM('DOE25'!F140:J140)-SUM('DOE25'!F117:F119),0)</f>
        <v>273781</v>
      </c>
      <c r="D38" s="132">
        <f t="shared" si="1"/>
        <v>2.7</v>
      </c>
    </row>
    <row r="39" spans="1:4" x14ac:dyDescent="0.2">
      <c r="A39">
        <v>4000</v>
      </c>
      <c r="B39" s="71" t="s">
        <v>730</v>
      </c>
      <c r="C39" s="129">
        <f>ROUND('DOE25'!F170+'DOE25'!G170+'DOE25'!H170+'DOE25'!I170,0)</f>
        <v>289279</v>
      </c>
      <c r="D39" s="132">
        <f t="shared" si="1"/>
        <v>2.9</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10070055.940000001</v>
      </c>
      <c r="D41" s="134">
        <f>SUM(D35:D40)</f>
        <v>100.00000000000001</v>
      </c>
    </row>
    <row r="42" spans="1:4" x14ac:dyDescent="0.2">
      <c r="A42" s="133" t="s">
        <v>737</v>
      </c>
      <c r="B42" s="71" t="s">
        <v>733</v>
      </c>
      <c r="C42" s="129">
        <f>ROUND('DOE25'!F174+'DOE25'!I174+'DOE25'!F177+'DOE25'!I177,0)</f>
        <v>700000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ColWidth="8.6640625" defaultRowHeight="11.25" x14ac:dyDescent="0.2"/>
  <cols>
    <col min="1" max="1" width="10.16406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Grantham</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ColWidth="8.6640625" defaultRowHeight="11.25" x14ac:dyDescent="0.2"/>
  <cols>
    <col min="2" max="2" width="35.1640625" customWidth="1"/>
    <col min="3" max="3" width="34" customWidth="1"/>
    <col min="4" max="4" width="10.1640625" customWidth="1"/>
    <col min="5" max="5" width="13.1640625" customWidth="1"/>
    <col min="7" max="10" width="15.1640625" customWidth="1"/>
    <col min="11" max="11" width="16.6640625" customWidth="1"/>
    <col min="12" max="12" width="16" customWidth="1"/>
    <col min="13" max="13" width="17.5" customWidth="1"/>
    <col min="14" max="14" width="13.6640625" customWidth="1"/>
    <col min="17" max="17" width="15.1640625" customWidth="1"/>
    <col min="18" max="21" width="17.5" customWidth="1"/>
    <col min="22" max="22" width="13" customWidth="1"/>
    <col min="24" max="24" width="17.6640625" customWidth="1"/>
    <col min="25" max="25" width="16.1640625" customWidth="1"/>
    <col min="26" max="26" width="14.1640625" customWidth="1"/>
    <col min="29" max="32" width="15.1640625" customWidth="1"/>
    <col min="36" max="36" width="19.6640625" customWidth="1"/>
    <col min="38" max="38" width="13.66406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103</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f>IF('School Level Expenditures'!$B$2=A106,'School Tables'!H106,"")</f>
        <v>103</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2023-08-30T19:29:39Z</cp:lastPrinted>
  <dcterms:created xsi:type="dcterms:W3CDTF">1997-12-04T19:04:30Z</dcterms:created>
  <dcterms:modified xsi:type="dcterms:W3CDTF">2023-12-28T16:59:34Z</dcterms:modified>
</cp:coreProperties>
</file>