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A9F57A4-37A9-4391-AF8F-9EC39CDEA64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Expenditures'!$J$2:$Q$2</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D7" i="14"/>
  <c r="D8" i="14"/>
  <c r="E8" i="14"/>
  <c r="E7" i="14"/>
  <c r="E6" i="14"/>
  <c r="E21" i="14" s="1"/>
  <c r="N8" i="14"/>
  <c r="N6" i="14"/>
  <c r="N7" i="14"/>
  <c r="O7" i="14"/>
  <c r="O8" i="14"/>
  <c r="O6" i="14"/>
  <c r="P7" i="14"/>
  <c r="P8" i="14"/>
  <c r="P6" i="14"/>
  <c r="L8" i="14"/>
  <c r="L7" i="14"/>
  <c r="L6" i="14"/>
  <c r="M6" i="14"/>
  <c r="M7" i="14"/>
  <c r="M8" i="14"/>
  <c r="F612" i="1"/>
  <c r="F522" i="1"/>
  <c r="H522" i="1"/>
  <c r="J469" i="1" l="1"/>
  <c r="J466" i="1"/>
  <c r="G97" i="1" l="1"/>
  <c r="K359" i="1"/>
  <c r="H359" i="1"/>
  <c r="H278" i="1"/>
  <c r="H283" i="1"/>
  <c r="H282" i="1"/>
  <c r="H280" i="1"/>
  <c r="H277" i="1"/>
  <c r="H199" i="1" l="1"/>
  <c r="I198" i="1"/>
  <c r="I204" i="1"/>
  <c r="G204" i="1"/>
  <c r="J208" i="1"/>
  <c r="F205" i="1"/>
  <c r="F203" i="1"/>
  <c r="H198" i="1"/>
  <c r="H205" i="1"/>
  <c r="H208" i="1"/>
  <c r="H204" i="1"/>
  <c r="P2" i="14" l="1"/>
  <c r="Q43" i="14"/>
  <c r="P43" i="14"/>
  <c r="O43" i="14"/>
  <c r="N43" i="14"/>
  <c r="M43" i="14"/>
  <c r="L43" i="14"/>
  <c r="K43" i="14"/>
  <c r="Q33" i="14"/>
  <c r="P33" i="14"/>
  <c r="O33" i="14"/>
  <c r="N33" i="14"/>
  <c r="M33" i="14"/>
  <c r="L33" i="14"/>
  <c r="K33" i="14"/>
  <c r="Q21" i="14"/>
  <c r="P21" i="14"/>
  <c r="O21" i="14"/>
  <c r="N21" i="14"/>
  <c r="M21" i="14"/>
  <c r="L21" i="14"/>
  <c r="K21" i="14"/>
  <c r="C2" i="1"/>
  <c r="B2" i="1"/>
  <c r="P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D21" i="14"/>
  <c r="G36" i="13" l="1"/>
  <c r="G29" i="13"/>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2" i="12" s="1"/>
  <c r="B13" i="12" s="1"/>
  <c r="C9" i="12"/>
  <c r="B18" i="12"/>
  <c r="B21" i="12" s="1"/>
  <c r="B22" i="12" s="1"/>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2" i="1"/>
  <c r="H637" i="1"/>
  <c r="H638" i="1"/>
  <c r="H639" i="1"/>
  <c r="G641" i="1"/>
  <c r="G644" i="1"/>
  <c r="G645" i="1"/>
  <c r="G646" i="1"/>
  <c r="G651" i="1"/>
  <c r="G652" i="1"/>
  <c r="J652" i="1" s="1"/>
  <c r="H653" i="1"/>
  <c r="G654" i="1"/>
  <c r="H654" i="1"/>
  <c r="H655" i="1"/>
  <c r="H656" i="1"/>
  <c r="I170" i="1"/>
  <c r="H102" i="2" l="1"/>
  <c r="G409" i="1"/>
  <c r="H646" i="1" s="1"/>
  <c r="H137" i="2"/>
  <c r="H96" i="2"/>
  <c r="H80" i="2"/>
  <c r="I409" i="1"/>
  <c r="H98" i="2"/>
  <c r="H73" i="2"/>
  <c r="C12" i="12"/>
  <c r="C11" i="12"/>
  <c r="C10" i="12"/>
  <c r="H89" i="2"/>
  <c r="H59" i="2"/>
  <c r="H34" i="2"/>
  <c r="H29" i="2"/>
  <c r="H21" i="2"/>
  <c r="O2" i="14"/>
  <c r="O3" i="14" s="1"/>
  <c r="E124" i="2"/>
  <c r="G635" i="1"/>
  <c r="F369" i="1"/>
  <c r="H100" i="2"/>
  <c r="H23" i="2"/>
  <c r="H135" i="2"/>
  <c r="H27" i="2"/>
  <c r="H24" i="2"/>
  <c r="H12" i="2"/>
  <c r="H8" i="2"/>
  <c r="C12" i="10"/>
  <c r="H101" i="2"/>
  <c r="H99" i="2"/>
  <c r="H79" i="2"/>
  <c r="H76" i="2"/>
  <c r="H58" i="2"/>
  <c r="H113" i="2"/>
  <c r="H132" i="2"/>
  <c r="G662" i="1"/>
  <c r="C110" i="2"/>
  <c r="H36" i="2"/>
  <c r="H42" i="2"/>
  <c r="H44" i="2"/>
  <c r="H48" i="2"/>
  <c r="D144" i="2"/>
  <c r="H97" i="2"/>
  <c r="H87" i="2"/>
  <c r="H61" i="2"/>
  <c r="H26" i="2"/>
  <c r="H22" i="2"/>
  <c r="C20" i="12"/>
  <c r="C19" i="12"/>
  <c r="C22" i="12" s="1"/>
  <c r="C21" i="12"/>
  <c r="E121" i="2"/>
  <c r="N2" i="14"/>
  <c r="N3" i="14" s="1"/>
  <c r="H85" i="2"/>
  <c r="H15" i="2"/>
  <c r="G62" i="2"/>
  <c r="D78" i="2"/>
  <c r="H77" i="2"/>
  <c r="H11" i="2"/>
  <c r="D29" i="13"/>
  <c r="C29" i="13" s="1"/>
  <c r="H112" i="2"/>
  <c r="M2" i="14"/>
  <c r="M3" i="14" s="1"/>
  <c r="C121" i="2"/>
  <c r="C120" i="2"/>
  <c r="H120" i="2" s="1"/>
  <c r="C119" i="2"/>
  <c r="H119" i="2" s="1"/>
  <c r="D6" i="13"/>
  <c r="C6" i="13" s="1"/>
  <c r="L2" i="14"/>
  <c r="L3" i="14" s="1"/>
  <c r="K2" i="14"/>
  <c r="K3" i="14" s="1"/>
  <c r="E119" i="2"/>
  <c r="H409" i="1"/>
  <c r="H645" i="1" s="1"/>
  <c r="G339" i="1"/>
  <c r="G353" i="1" s="1"/>
  <c r="J258" i="1"/>
  <c r="J272" i="1" s="1"/>
  <c r="E123" i="2"/>
  <c r="E110" i="2"/>
  <c r="H110" i="2" s="1"/>
  <c r="K339" i="1"/>
  <c r="K353" i="1" s="1"/>
  <c r="J656" i="1"/>
  <c r="J572" i="1"/>
  <c r="D50" i="2"/>
  <c r="E131" i="2"/>
  <c r="H131" i="2" s="1"/>
  <c r="G553" i="1"/>
  <c r="H663" i="1"/>
  <c r="F258" i="1"/>
  <c r="F272" i="1" s="1"/>
  <c r="C20" i="10"/>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E128" i="2" s="1"/>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I369" i="1"/>
  <c r="I370" i="1" s="1"/>
  <c r="H635" i="1" s="1"/>
  <c r="J635" i="1" s="1"/>
  <c r="F370" i="1"/>
  <c r="H121" i="2"/>
  <c r="C13" i="12"/>
  <c r="A13" i="12" s="1"/>
  <c r="H57" i="2"/>
  <c r="H16" i="2"/>
  <c r="H103" i="2"/>
  <c r="L572" i="1"/>
  <c r="D51" i="2"/>
  <c r="H31" i="2"/>
  <c r="B17" i="16"/>
  <c r="B19" i="16" s="1"/>
  <c r="G473" i="1"/>
  <c r="E51" i="2"/>
  <c r="H91" i="2"/>
  <c r="H62" i="2"/>
  <c r="I662" i="1"/>
  <c r="H50" i="2"/>
  <c r="H18" i="2"/>
  <c r="D128" i="2"/>
  <c r="D145" i="2" s="1"/>
  <c r="H127" i="2"/>
  <c r="C81" i="2"/>
  <c r="H81" i="2" s="1"/>
  <c r="F194" i="1"/>
  <c r="M24" i="14"/>
  <c r="F661" i="1"/>
  <c r="F665" i="1" s="1"/>
  <c r="F670" i="1" s="1"/>
  <c r="E115" i="2"/>
  <c r="H109" i="2"/>
  <c r="F144" i="2"/>
  <c r="H130" i="2"/>
  <c r="H661" i="1"/>
  <c r="H665" i="1" s="1"/>
  <c r="H194" i="1"/>
  <c r="H649" i="1"/>
  <c r="J649" i="1" s="1"/>
  <c r="C141" i="2"/>
  <c r="F51" i="2"/>
  <c r="G36" i="14"/>
  <c r="H36" i="14" s="1"/>
  <c r="E104" i="2"/>
  <c r="C36" i="10"/>
  <c r="L435" i="1"/>
  <c r="G639" i="1" s="1"/>
  <c r="J639" i="1" s="1"/>
  <c r="G104" i="2"/>
  <c r="L339" i="1"/>
  <c r="L353"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H128" i="2" s="1"/>
  <c r="D31" i="13"/>
  <c r="C31" i="13" s="1"/>
  <c r="I462" i="1"/>
  <c r="H643" i="1" s="1"/>
  <c r="J643" i="1" s="1"/>
  <c r="G661" i="1"/>
  <c r="G665" i="1" s="1"/>
  <c r="C25" i="13"/>
  <c r="I33" i="13"/>
  <c r="K553" i="1"/>
  <c r="C51" i="2"/>
  <c r="G632" i="1"/>
  <c r="J632" i="1" s="1"/>
  <c r="G194" i="1"/>
  <c r="G627" i="1"/>
  <c r="J627" i="1" s="1"/>
  <c r="J52" i="1"/>
  <c r="H622" i="1" s="1"/>
  <c r="J622" i="1" s="1"/>
  <c r="C38" i="10"/>
  <c r="G630" i="1" l="1"/>
  <c r="H469" i="1"/>
  <c r="G634" i="1"/>
  <c r="H473" i="1"/>
  <c r="G633" i="1"/>
  <c r="F473" i="1"/>
  <c r="G628" i="1"/>
  <c r="F469" i="1"/>
  <c r="C144" i="2"/>
  <c r="H141" i="2"/>
  <c r="G629" i="1"/>
  <c r="G469" i="1"/>
  <c r="H51" i="2"/>
  <c r="H636" i="1"/>
  <c r="G475" i="1"/>
  <c r="J636" i="1"/>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H633" i="1"/>
  <c r="J633" i="1"/>
  <c r="H634" i="1"/>
  <c r="H475" i="1"/>
  <c r="J634" i="1"/>
  <c r="H471" i="1"/>
  <c r="H477" i="1" s="1"/>
  <c r="H625" i="1" s="1"/>
  <c r="J625" i="1" s="1"/>
  <c r="H630" i="1"/>
  <c r="J630" i="1" s="1"/>
  <c r="H628" i="1"/>
  <c r="F471" i="1"/>
  <c r="F477" i="1" s="1"/>
  <c r="H623" i="1" s="1"/>
  <c r="J623" i="1" s="1"/>
  <c r="J628" i="1"/>
  <c r="H629" i="1"/>
  <c r="G471" i="1"/>
  <c r="G477" i="1" s="1"/>
  <c r="J629" i="1"/>
  <c r="H145" i="2"/>
  <c r="I670" i="1"/>
  <c r="I673" i="1" s="1"/>
  <c r="C7" i="10" s="1"/>
  <c r="F673" i="1"/>
  <c r="C4" i="10" s="1"/>
  <c r="I668" i="1"/>
  <c r="D28" i="10"/>
  <c r="D37" i="10"/>
  <c r="D36" i="10"/>
  <c r="D35" i="10"/>
  <c r="D40" i="10"/>
  <c r="D39" i="10"/>
  <c r="H624" i="1" l="1"/>
  <c r="B33" i="16"/>
  <c r="J624"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rgb="FF000000"/>
            <rFont val="Tahoma"/>
            <family val="2"/>
          </rPr>
          <t>Total Current Assets equal Total Liabilities &amp; Equity for All Other Special Revenue Fund 22</t>
        </r>
        <r>
          <rPr>
            <sz val="9"/>
            <color rgb="FF000000"/>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<sst xmlns="http://schemas.openxmlformats.org/spreadsheetml/2006/main" count="6559" uniqueCount="1814">
  <si>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</si>
  <si>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</si>
  <si>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</si>
  <si>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</si>
  <si>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</si>
  <si>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</si>
  <si>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</si>
  <si>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</si>
  <si>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</si>
  <si>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</si>
  <si>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</si>
  <si>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</si>
  <si>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</si>
  <si>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</si>
  <si>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</si>
  <si>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</si>
  <si>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</si>
  <si>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</si>
  <si>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</si>
  <si>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</si>
  <si>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</si>
  <si>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</si>
  <si>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</si>
  <si>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</si>
  <si>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</si>
  <si>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</si>
  <si>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</si>
  <si>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</si>
  <si>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</si>
  <si>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</si>
  <si>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</si>
  <si>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</si>
  <si>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</si>
  <si>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</si>
  <si>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</si>
  <si>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</si>
  <si>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</si>
  <si>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</si>
  <si>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</si>
  <si>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</si>
  <si>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</si>
  <si>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</si>
  <si>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</si>
  <si>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</si>
  <si>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</si>
  <si>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</si>
  <si>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</si>
  <si>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</si>
  <si>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</si>
  <si>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</si>
  <si>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</si>
  <si>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</si>
  <si>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</si>
  <si>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</si>
  <si>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</si>
  <si>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</si>
  <si>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</si>
  <si>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</si>
  <si>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</si>
  <si>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</si>
  <si>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</si>
  <si>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</si>
  <si>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</si>
  <si>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</si>
  <si>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</si>
  <si>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</si>
  <si>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</si>
  <si>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</si>
  <si>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</si>
  <si>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</si>
  <si>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</si>
  <si>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</si>
  <si>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</si>
  <si>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</si>
  <si>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</si>
  <si>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</si>
  <si>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</si>
  <si>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</si>
  <si>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</si>
  <si>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</si>
  <si>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</si>
  <si>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</si>
  <si>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</si>
  <si>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</si>
  <si>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</si>
  <si>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</si>
  <si>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</si>
  <si>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</si>
  <si>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</si>
  <si>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</si>
  <si>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</si>
  <si>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</si>
  <si>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</si>
  <si>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</si>
  <si>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</si>
  <si>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</si>
  <si>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</si>
  <si>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</si>
  <si>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</si>
  <si>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</si>
  <si>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</si>
  <si>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</si>
  <si>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</si>
  <si>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</si>
  <si>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</si>
  <si>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</si>
  <si>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</si>
  <si>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</si>
  <si>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</si>
  <si>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</si>
  <si>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</si>
  <si>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</si>
  <si>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</si>
  <si>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</si>
  <si>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</si>
  <si>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</si>
  <si>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</si>
  <si>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</si>
  <si>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</si>
  <si>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</si>
  <si>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</si>
  <si>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</si>
  <si>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</si>
  <si>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</si>
  <si>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</si>
  <si>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</si>
  <si>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</si>
  <si>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</si>
  <si>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</si>
  <si>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</si>
  <si>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</si>
  <si>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</si>
  <si>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</si>
  <si>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</si>
  <si>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</si>
  <si>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</si>
  <si>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</si>
  <si>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</si>
  <si>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</si>
  <si>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</si>
  <si>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</si>
  <si>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</si>
  <si>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</si>
  <si>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</si>
  <si>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</si>
  <si>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</si>
  <si>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</si>
  <si>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</si>
  <si>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</si>
  <si>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</si>
  <si>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</si>
  <si>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</si>
  <si>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</si>
  <si>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</si>
  <si>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</si>
  <si>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</si>
  <si>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</si>
  <si>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</si>
  <si>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</si>
  <si>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</si>
  <si>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</si>
  <si>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</si>
  <si>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</si>
  <si>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</si>
  <si>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</si>
  <si>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</si>
  <si>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</si>
  <si>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</si>
  <si>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</si>
  <si>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</si>
  <si>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</si>
  <si>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</si>
  <si>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</si>
  <si>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</si>
  <si>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</si>
  <si>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</si>
  <si>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</si>
  <si>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</si>
  <si>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</si>
  <si>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</si>
  <si>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</si>
  <si>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</si>
  <si>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</si>
  <si>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</si>
  <si>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</si>
  <si>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</si>
  <si>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</si>
  <si>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</si>
  <si>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</si>
  <si>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</si>
  <si>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</si>
  <si>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</si>
  <si>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</si>
  <si>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</si>
  <si>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</si>
  <si>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</si>
  <si>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</si>
  <si>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</si>
  <si>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</si>
  <si>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</si>
  <si>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</si>
  <si>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</si>
  <si>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</si>
  <si>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</si>
  <si>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</si>
  <si>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</si>
  <si>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</si>
  <si>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</si>
  <si>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</si>
  <si>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</si>
  <si>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</si>
  <si>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</si>
  <si>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</si>
  <si>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</si>
  <si>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</si>
  <si>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</si>
  <si>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</si>
  <si>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</si>
  <si>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</si>
  <si>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</si>
  <si>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</si>
  <si>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</si>
  <si>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</si>
  <si>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</si>
  <si>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</si>
  <si>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</si>
  <si>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</si>
  <si>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</si>
  <si>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</si>
  <si>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</si>
  <si>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</si>
  <si>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</si>
  <si>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</si>
  <si>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</si>
  <si>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</si>
  <si>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</si>
  <si>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</si>
  <si>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</si>
  <si>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</si>
  <si>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</si>
  <si>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</si>
  <si>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</si>
  <si>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</si>
  <si>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</si>
  <si>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</si>
  <si>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</si>
  <si>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</si>
  <si>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</si>
  <si>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</si>
  <si>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</si>
  <si>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</si>
  <si>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</si>
  <si>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</si>
  <si>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</si>
  <si>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</si>
  <si>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</si>
  <si>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</si>
  <si>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</si>
  <si>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</si>
  <si>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</si>
  <si>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</si>
  <si>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</si>
  <si>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</si>
  <si>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</si>
  <si>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</si>
  <si>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</si>
  <si>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</si>
  <si>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</si>
  <si>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</si>
  <si>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</si>
  <si>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</si>
  <si>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</si>
  <si>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</si>
  <si>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</si>
  <si>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</si>
  <si>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</si>
  <si>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</si>
  <si>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</si>
  <si>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</si>
  <si>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</si>
  <si>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</si>
  <si>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</si>
  <si>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</si>
  <si>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</si>
  <si>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</si>
  <si>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</si>
  <si>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</si>
  <si>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</si>
  <si>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</si>
  <si>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</si>
  <si>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</si>
  <si>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</si>
  <si>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</si>
  <si>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</si>
  <si>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</si>
  <si>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</si>
  <si>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</si>
  <si>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</si>
  <si>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</si>
  <si>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</si>
  <si>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</si>
  <si>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</si>
  <si>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</si>
  <si>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</si>
  <si>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</si>
  <si>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</si>
  <si>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</si>
  <si>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</si>
  <si>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</si>
  <si>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</si>
  <si>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</si>
  <si>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</si>
  <si>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</si>
  <si>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</si>
  <si>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</si>
  <si>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</si>
  <si>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</si>
  <si>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</si>
  <si>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</si>
  <si>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</si>
  <si>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</si>
  <si>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</si>
  <si>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</si>
  <si>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</si>
  <si>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</si>
  <si>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</si>
  <si>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</si>
  <si>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</si>
  <si>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</si>
  <si>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</si>
  <si>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</si>
  <si>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</si>
  <si>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</si>
  <si>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</si>
  <si>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</si>
  <si>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</si>
  <si>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</si>
  <si>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</si>
  <si>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</si>
  <si>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</si>
  <si>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</si>
  <si>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</si>
  <si>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</si>
  <si>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</si>
  <si>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</si>
  <si>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</si>
  <si>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</si>
  <si>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</si>
  <si>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</si>
  <si>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</si>
  <si>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</si>
  <si>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</si>
  <si>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</si>
  <si>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</si>
  <si>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</si>
  <si>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</si>
  <si>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</si>
  <si>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</si>
  <si>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</si>
  <si>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</si>
  <si>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</si>
  <si>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</si>
  <si>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</si>
  <si>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</si>
  <si>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</si>
  <si>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</si>
  <si>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</si>
  <si>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</si>
  <si>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</si>
  <si>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</si>
  <si>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</si>
  <si>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</si>
  <si>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</si>
  <si>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</si>
  <si>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</si>
  <si>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</si>
  <si>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</si>
  <si>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</si>
  <si>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</si>
  <si>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</si>
  <si>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</si>
  <si>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</si>
  <si>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</si>
  <si>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</si>
  <si>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</si>
  <si>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</si>
  <si>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</si>
  <si>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</si>
  <si>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</si>
  <si>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</si>
  <si>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</si>
  <si>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</si>
  <si>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</si>
  <si>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</si>
  <si>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</si>
  <si>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</si>
  <si>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</si>
  <si>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</si>
  <si>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</si>
  <si>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</si>
  <si>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</si>
  <si>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</si>
  <si>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</si>
  <si>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</si>
  <si>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</si>
  <si>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</si>
  <si>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</si>
  <si>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</si>
  <si>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</si>
  <si>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</si>
  <si>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</si>
  <si>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</si>
  <si>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</si>
  <si>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</si>
  <si>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</si>
  <si>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</si>
  <si>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</si>
  <si>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</si>
  <si>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</si>
  <si>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</si>
  <si>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</si>
  <si>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</si>
  <si>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</si>
  <si>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</si>
  <si>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</si>
  <si>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</si>
  <si>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</si>
  <si>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</si>
  <si>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</si>
  <si>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</si>
  <si>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</si>
  <si>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</si>
  <si>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</si>
  <si>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</si>
  <si>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</si>
  <si>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</si>
  <si>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</si>
  <si>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</si>
  <si>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</si>
  <si>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</si>
  <si>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</si>
  <si>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</si>
  <si>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</si>
  <si>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</si>
  <si>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</si>
  <si>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</si>
  <si>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</si>
  <si>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</si>
  <si>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</si>
  <si>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</si>
  <si>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</si>
  <si>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</si>
  <si>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</si>
  <si>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</si>
  <si>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</si>
  <si>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</si>
  <si>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</si>
  <si>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</si>
  <si>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</si>
  <si>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</si>
  <si>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</si>
  <si>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</si>
  <si>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</si>
  <si>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</si>
  <si>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</si>
  <si>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</si>
  <si>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</si>
  <si>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</si>
  <si>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</si>
  <si>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</si>
  <si>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</si>
  <si>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</si>
  <si>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</si>
  <si>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</si>
  <si>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</si>
  <si>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</si>
  <si>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</si>
  <si>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</si>
  <si>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</si>
  <si>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</si>
  <si>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</si>
  <si>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</si>
  <si>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</si>
  <si>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</si>
  <si>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</si>
  <si>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</si>
  <si>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</si>
  <si>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</si>
  <si>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</si>
  <si>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</si>
  <si>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</si>
  <si>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</si>
  <si>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</si>
  <si>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</si>
  <si>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</si>
  <si>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</si>
  <si>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</si>
  <si>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</si>
  <si>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</si>
  <si>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</si>
  <si>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</si>
  <si>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</si>
  <si>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</si>
  <si>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</si>
  <si>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</si>
  <si>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</si>
  <si>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</si>
  <si>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</si>
  <si>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</si>
  <si>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</si>
  <si>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</si>
  <si>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</si>
  <si>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</si>
  <si>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</si>
  <si>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</si>
  <si>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</si>
  <si>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</si>
  <si>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</si>
  <si>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</si>
  <si>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</si>
  <si>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</si>
  <si>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</si>
  <si>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</si>
  <si>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</si>
  <si>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</si>
  <si>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</si>
  <si>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</si>
  <si>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</si>
  <si>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</si>
  <si>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</si>
  <si>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</si>
  <si>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</si>
  <si>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</si>
  <si>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</si>
  <si>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</si>
  <si>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</si>
  <si>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</si>
  <si>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</si>
  <si>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</si>
  <si>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</si>
  <si>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</si>
  <si>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</si>
  <si>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</si>
  <si>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</si>
  <si>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</si>
  <si>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</si>
  <si>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</si>
  <si>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</si>
  <si>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</si>
  <si>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</si>
  <si>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</si>
  <si>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</si>
  <si>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</si>
  <si>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</si>
  <si>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</si>
  <si>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</si>
  <si>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</si>
  <si>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</si>
  <si>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</si>
  <si>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</si>
  <si>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</si>
  <si>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</si>
  <si>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</si>
  <si>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</si>
  <si>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</si>
  <si>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</si>
  <si>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</si>
  <si>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</si>
  <si>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</si>
  <si>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</si>
  <si>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</si>
  <si>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</si>
  <si>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</si>
  <si>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</si>
  <si>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</si>
  <si>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</si>
  <si>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</si>
  <si>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</si>
  <si>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</si>
  <si>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</si>
  <si>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</si>
  <si>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</si>
  <si>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</si>
  <si>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</si>
  <si>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</si>
  <si>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</si>
  <si>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</si>
  <si>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</si>
  <si>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</si>
  <si>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</si>
  <si>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</si>
  <si>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</si>
  <si>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</si>
  <si>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</si>
  <si>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</si>
  <si>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</si>
  <si>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</si>
  <si>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</si>
  <si>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</si>
  <si>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</si>
  <si>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</si>
  <si>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</si>
  <si>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</si>
  <si>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</si>
  <si>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</si>
  <si>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</si>
  <si>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</si>
  <si>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</si>
  <si>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</si>
  <si>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</si>
  <si>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</si>
  <si>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</si>
  <si>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</si>
  <si>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</si>
  <si>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</si>
  <si>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</si>
  <si>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</si>
  <si>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</si>
  <si>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</si>
  <si>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</si>
  <si>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</si>
  <si>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</si>
  <si>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</si>
  <si>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</si>
  <si>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</si>
  <si>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</si>
  <si>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</si>
  <si>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</si>
  <si>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</si>
  <si>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</si>
  <si>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</si>
  <si>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</si>
  <si>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</si>
  <si>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</si>
  <si>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</si>
  <si>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</si>
  <si>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</si>
  <si>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</si>
  <si>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</si>
  <si>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</si>
  <si>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</si>
  <si>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</si>
  <si>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</si>
  <si>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</si>
  <si>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</si>
  <si>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</si>
  <si>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</si>
  <si>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</si>
  <si>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</si>
  <si>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</si>
  <si>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</si>
  <si>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</si>
  <si>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</si>
  <si>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</si>
  <si>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</si>
  <si>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</si>
  <si>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</si>
  <si>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</si>
  <si>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</si>
  <si>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</si>
  <si>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</si>
  <si>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</si>
  <si>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</si>
  <si>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</si>
  <si>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</si>
  <si>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</si>
  <si>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</si>
  <si>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</si>
  <si>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</si>
  <si>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</si>
  <si>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</si>
  <si>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</si>
  <si>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</si>
  <si>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</si>
  <si>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</si>
  <si>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</si>
  <si>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</si>
  <si>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</si>
  <si>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</si>
  <si>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</si>
  <si>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</si>
  <si>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</si>
  <si>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</si>
  <si>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</si>
  <si>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</si>
  <si>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</si>
  <si>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</si>
  <si>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</si>
  <si>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</si>
  <si>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</si>
  <si>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</si>
  <si>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</si>
  <si>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</si>
  <si>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</si>
  <si>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</si>
  <si>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</si>
  <si>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</si>
  <si>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</si>
  <si>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</si>
  <si>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</si>
  <si>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</si>
  <si>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</si>
  <si>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</si>
  <si>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</si>
  <si>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</si>
  <si>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</si>
  <si>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</si>
  <si>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</si>
  <si>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</si>
  <si>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</si>
  <si>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</si>
  <si>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</si>
  <si>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</si>
  <si>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</si>
  <si>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</si>
  <si>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</si>
  <si>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</si>
  <si>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</si>
  <si>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</si>
  <si>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</si>
  <si>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</si>
  <si>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</si>
  <si>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</si>
  <si>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</si>
  <si>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</si>
  <si>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</si>
  <si>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</si>
  <si>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</si>
  <si>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</si>
  <si>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</si>
  <si>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</si>
  <si>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</si>
  <si>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</si>
  <si>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</si>
  <si>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</si>
  <si>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</si>
  <si>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</si>
  <si>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</si>
  <si>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</si>
  <si>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</si>
  <si>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</si>
  <si>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</si>
  <si>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</si>
  <si>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</si>
  <si>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</si>
  <si>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</si>
  <si>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</si>
  <si>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</si>
  <si>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</si>
  <si>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</si>
  <si>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</si>
  <si>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</si>
  <si>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</si>
  <si>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</si>
  <si>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</si>
  <si>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</si>
  <si>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</si>
  <si>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</si>
  <si>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</si>
  <si>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</si>
  <si>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</si>
  <si>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</si>
  <si>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</si>
  <si>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</si>
  <si>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</si>
  <si>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</si>
  <si>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</si>
  <si>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</si>
  <si>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</si>
  <si>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</si>
  <si>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</si>
  <si>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</si>
  <si>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</si>
  <si>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</si>
  <si>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</si>
  <si>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</si>
  <si>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</si>
  <si>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</si>
  <si>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</si>
  <si>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</si>
  <si>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</si>
  <si>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</si>
  <si>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</si>
  <si>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</si>
  <si>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</si>
  <si>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</si>
  <si>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</si>
  <si>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</si>
  <si>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</si>
  <si>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</si>
  <si>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</si>
  <si>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</si>
  <si>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</si>
  <si>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</si>
  <si>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</si>
  <si>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</si>
  <si>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</si>
  <si>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</si>
  <si>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</si>
  <si>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</si>
  <si>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</si>
  <si>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</si>
  <si>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</si>
  <si>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</si>
  <si>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</si>
  <si>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</si>
  <si>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</si>
  <si>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</si>
  <si>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</si>
  <si>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</si>
  <si>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</si>
  <si>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</si>
  <si>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</si>
  <si>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</si>
  <si>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</si>
  <si>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</si>
  <si>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</si>
  <si>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</si>
  <si>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</si>
  <si>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</si>
  <si>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</si>
  <si>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</si>
  <si>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</si>
  <si>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</si>
  <si>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</si>
  <si>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</si>
  <si>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</si>
  <si>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</si>
  <si>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</si>
  <si>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</si>
  <si>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</si>
  <si>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</si>
  <si>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</si>
  <si>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</si>
  <si>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</si>
  <si>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</si>
  <si>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</si>
  <si>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</si>
  <si>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</si>
  <si>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</si>
  <si>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</si>
  <si>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</si>
  <si>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</si>
  <si>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</si>
  <si>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</si>
  <si>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</si>
  <si>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</si>
  <si>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</si>
  <si>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</si>
  <si>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</si>
  <si>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</si>
  <si>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</si>
  <si>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</si>
  <si>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</si>
  <si>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</si>
  <si>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</si>
  <si>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</si>
  <si>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</si>
  <si>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</si>
  <si>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</si>
  <si>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</si>
  <si>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</si>
  <si>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</si>
  <si>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</si>
  <si>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</si>
  <si>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</si>
  <si>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</si>
  <si>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</si>
  <si>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</si>
  <si>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</si>
  <si>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</si>
  <si>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</si>
  <si>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</si>
  <si>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</si>
  <si>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</si>
  <si>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</si>
  <si>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</si>
  <si>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</si>
  <si>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</si>
  <si>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</si>
  <si>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</si>
  <si>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</si>
  <si>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</si>
  <si>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</si>
  <si>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</si>
  <si>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</si>
  <si>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</si>
  <si>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</si>
  <si>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</si>
  <si>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</si>
  <si>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</si>
  <si>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</si>
  <si>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</si>
  <si>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</si>
  <si>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</si>
  <si>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</si>
  <si>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</si>
  <si>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</si>
  <si>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</si>
  <si>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</si>
  <si>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</si>
  <si>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</si>
  <si>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</si>
  <si>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</si>
  <si>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</si>
  <si>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</si>
  <si>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</si>
  <si>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</si>
  <si>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</si>
  <si>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</si>
  <si>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</si>
  <si>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</si>
  <si>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</si>
  <si>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</si>
  <si>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</si>
  <si>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</si>
  <si>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</si>
  <si>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</si>
  <si>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</si>
  <si>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</si>
  <si>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</si>
  <si>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</si>
  <si>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</si>
  <si>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</si>
  <si>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</si>
  <si>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</si>
  <si>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</si>
  <si>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</si>
  <si>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</si>
  <si>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</si>
  <si>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</si>
  <si>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</si>
  <si>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</si>
  <si>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</si>
  <si>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</si>
  <si>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</si>
  <si>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</si>
  <si>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</si>
  <si>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</si>
  <si>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</si>
  <si>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</si>
  <si>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</si>
  <si>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</si>
  <si>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</si>
  <si>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</si>
  <si>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</si>
  <si>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</si>
  <si>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</si>
  <si>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</si>
  <si>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</si>
  <si>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</si>
  <si>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</si>
  <si>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</si>
  <si>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</si>
  <si>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</si>
  <si>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</si>
  <si>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</si>
  <si>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</si>
  <si>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</si>
  <si>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</si>
  <si>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</si>
  <si>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</si>
  <si>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</si>
  <si>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</si>
  <si>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</si>
  <si>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</si>
  <si>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</si>
  <si>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</si>
  <si>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</si>
  <si>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</si>
  <si>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</si>
  <si>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</si>
  <si>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</si>
  <si>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</si>
  <si>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</si>
  <si>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</si>
  <si>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</si>
  <si>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</si>
  <si>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</si>
  <si>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</si>
  <si>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</si>
  <si>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</si>
  <si>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</si>
  <si>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</si>
  <si>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</si>
  <si>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</si>
  <si>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</si>
  <si>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</si>
  <si>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</si>
  <si>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</si>
  <si>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</si>
  <si>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</si>
  <si>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</si>
  <si>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</si>
  <si>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</si>
  <si>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</si>
  <si>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</si>
  <si>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</si>
  <si>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</si>
  <si>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</si>
  <si>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</si>
  <si>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</si>
  <si>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</si>
  <si>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</si>
  <si>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</si>
  <si>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</si>
  <si>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</si>
  <si>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</si>
  <si>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</si>
  <si>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</si>
  <si>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</si>
  <si>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</si>
  <si>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</si>
  <si>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</si>
  <si>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</si>
  <si>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</si>
  <si>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</si>
  <si>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</si>
  <si>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</si>
  <si>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</si>
  <si>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</si>
  <si>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</si>
  <si>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</si>
  <si>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</si>
  <si>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</si>
  <si>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</si>
  <si>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</si>
  <si>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</si>
  <si>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</si>
  <si>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</si>
  <si>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</si>
  <si>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</si>
  <si>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</si>
  <si>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</si>
  <si>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</si>
  <si>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</si>
  <si>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</si>
  <si>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</si>
  <si>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</si>
  <si>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</si>
  <si>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</si>
  <si>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</si>
  <si>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</si>
  <si>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</si>
  <si>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</si>
  <si>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</si>
  <si>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</si>
  <si>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</si>
  <si>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</si>
  <si>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</si>
  <si>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</si>
  <si>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</si>
  <si>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</si>
  <si>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</si>
  <si>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</si>
  <si>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</si>
  <si>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</si>
  <si>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</si>
  <si>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</si>
  <si>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</si>
  <si>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</si>
  <si>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</si>
  <si>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</si>
  <si>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</si>
  <si>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</si>
  <si>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</si>
  <si>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</si>
  <si>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</si>
  <si>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</si>
  <si>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</si>
  <si>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</si>
  <si>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</si>
  <si>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</si>
  <si>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</si>
  <si>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</si>
  <si>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</si>
  <si>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</si>
  <si>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</si>
  <si>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</si>
  <si>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</si>
  <si>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</si>
  <si>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</si>
  <si>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</si>
  <si>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</si>
  <si>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</si>
  <si>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</si>
  <si>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</si>
  <si>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</si>
  <si>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</si>
  <si>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</si>
  <si>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</si>
  <si>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</si>
  <si>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</si>
  <si>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</si>
  <si>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</si>
  <si>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</si>
  <si>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</si>
  <si>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</si>
  <si>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</si>
  <si>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</si>
  <si>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</si>
  <si>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</si>
  <si>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</si>
  <si>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</si>
  <si>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</si>
  <si>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</si>
  <si>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</si>
  <si>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</si>
  <si>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</si>
  <si>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</si>
  <si>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</si>
  <si>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</si>
  <si>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</si>
  <si>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</si>
  <si>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</si>
  <si>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</si>
  <si>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</si>
  <si>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</si>
  <si>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</si>
  <si>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</si>
  <si>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</si>
  <si>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</si>
  <si>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</si>
  <si>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</si>
  <si>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</si>
  <si>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</si>
  <si>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</si>
  <si>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</si>
  <si>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</si>
  <si>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</si>
  <si>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</si>
  <si>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</si>
  <si>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</si>
  <si>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</si>
  <si>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</si>
  <si>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</si>
  <si>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</si>
  <si>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</si>
  <si>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</si>
  <si>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</si>
  <si>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</si>
  <si>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</si>
  <si>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</si>
  <si>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</si>
  <si>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</si>
  <si>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</si>
  <si>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</si>
  <si>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</si>
  <si>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</si>
  <si>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</si>
  <si>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</si>
  <si>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</si>
  <si>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</si>
  <si>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</si>
  <si>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</si>
  <si>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</si>
  <si>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</si>
  <si>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</si>
  <si>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</si>
  <si>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</si>
  <si>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</si>
  <si>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</si>
  <si>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</si>
  <si>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</si>
  <si>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</si>
  <si>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</si>
  <si>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</si>
  <si>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</si>
  <si>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</si>
  <si>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</si>
  <si>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</si>
  <si>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</si>
  <si>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</si>
  <si>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</si>
  <si>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</si>
  <si>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</si>
  <si>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</si>
  <si>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</si>
  <si>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</si>
  <si>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</si>
  <si>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</si>
  <si>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</si>
  <si>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</si>
  <si>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</si>
  <si>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</si>
  <si>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</si>
  <si>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</si>
  <si>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</si>
  <si>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</si>
  <si>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</si>
  <si>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</si>
  <si>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</si>
  <si>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</si>
  <si>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</si>
  <si>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</si>
  <si>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</si>
  <si>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</si>
  <si>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</si>
  <si>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</si>
  <si>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</si>
  <si>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</si>
  <si>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</si>
  <si>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</si>
  <si>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</si>
  <si>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</si>
  <si>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</si>
  <si>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</si>
  <si>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</si>
  <si>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</si>
  <si>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</si>
  <si>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</si>
  <si>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</si>
  <si>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</si>
  <si>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</si>
  <si>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</si>
  <si>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</si>
  <si>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</si>
  <si>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</si>
  <si>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</si>
  <si>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</si>
  <si>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</si>
  <si>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</si>
  <si>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</si>
  <si>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</si>
  <si>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</si>
  <si>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</si>
  <si>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</si>
  <si>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</si>
  <si>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</si>
  <si>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</si>
  <si>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</si>
  <si>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</si>
  <si>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</si>
  <si>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</si>
  <si>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</si>
  <si>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</si>
  <si>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</si>
  <si>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</si>
  <si>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</si>
  <si>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</si>
  <si>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</si>
  <si>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</si>
  <si>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</si>
  <si>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</si>
  <si>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</si>
  <si>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</si>
  <si>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</si>
  <si>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</si>
  <si>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</si>
  <si>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</si>
  <si>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</si>
  <si>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</si>
  <si>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</si>
  <si>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</si>
  <si>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</si>
  <si>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</si>
  <si>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</si>
  <si>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</si>
  <si>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</si>
  <si>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</si>
  <si>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</si>
  <si>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</si>
  <si>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</si>
  <si>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</si>
  <si>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</si>
  <si>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</si>
  <si>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</si>
  <si>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</si>
  <si>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</si>
  <si>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</si>
  <si>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</si>
  <si>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</si>
  <si>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</si>
  <si>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</si>
  <si>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</si>
  <si>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</si>
  <si>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</si>
  <si>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</si>
  <si>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</si>
  <si>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</si>
  <si>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</si>
  <si>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</si>
  <si>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</si>
  <si>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</si>
  <si>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</si>
  <si>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</si>
  <si>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</si>
  <si>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</si>
  <si>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</si>
  <si>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</si>
  <si>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</si>
  <si>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</si>
  <si>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</si>
  <si>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</si>
  <si>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</si>
  <si>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</si>
  <si>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</si>
  <si>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</si>
  <si>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</si>
  <si>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</si>
  <si>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</si>
  <si>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</si>
  <si>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</si>
  <si>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</si>
  <si>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</si>
  <si>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</si>
  <si>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</si>
  <si>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</si>
  <si>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</si>
  <si>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</si>
  <si>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</si>
  <si>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</si>
  <si>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</si>
  <si>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</si>
  <si>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</si>
  <si>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</si>
  <si>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</si>
  <si>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</si>
  <si>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</si>
  <si>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</si>
  <si>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</si>
  <si>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</si>
  <si>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</si>
  <si>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</si>
  <si>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</si>
  <si>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</si>
  <si>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</si>
  <si>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</si>
  <si>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</si>
  <si>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</si>
  <si>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</si>
  <si>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</si>
  <si>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</si>
  <si>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</si>
  <si>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</si>
  <si>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</si>
  <si>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</si>
  <si>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</si>
  <si>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</si>
  <si>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</si>
  <si>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</si>
  <si>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</si>
  <si>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</si>
  <si>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</si>
  <si>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</si>
  <si>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</si>
  <si>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</si>
  <si>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</si>
  <si>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</si>
  <si>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</si>
  <si>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</si>
  <si>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</si>
  <si>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</si>
  <si>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</si>
  <si>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</si>
  <si>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</si>
  <si>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</si>
  <si>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</si>
  <si>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</si>
  <si>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</si>
  <si>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</si>
  <si>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</si>
  <si>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</si>
  <si>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</si>
  <si>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</si>
  <si>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</si>
  <si>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</si>
  <si>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</si>
  <si>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</si>
  <si>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</si>
  <si>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</si>
  <si>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</si>
  <si>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</si>
  <si>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</si>
  <si>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</si>
  <si>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</si>
  <si>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</si>
  <si>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</si>
  <si>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</si>
  <si>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</si>
  <si>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</si>
  <si>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</si>
  <si>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</si>
  <si>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</si>
  <si>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</si>
  <si>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</si>
  <si>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</si>
  <si>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</si>
  <si>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</si>
  <si>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</si>
  <si>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</si>
  <si>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</si>
  <si>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</si>
  <si>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</si>
  <si>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</si>
  <si>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</si>
  <si>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</si>
  <si>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</si>
  <si>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</si>
  <si>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</si>
  <si>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</si>
  <si>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</si>
  <si>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</si>
  <si>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</si>
  <si>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</si>
  <si>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</si>
  <si>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</si>
  <si>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</si>
  <si>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</si>
  <si>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</si>
  <si>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</si>
  <si>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</si>
  <si>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</si>
  <si>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</si>
  <si>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</si>
  <si>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</si>
  <si>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</si>
  <si>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</si>
  <si>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</si>
  <si>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</si>
  <si>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</si>
  <si>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</si>
  <si>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</si>
  <si>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</si>
  <si>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</si>
  <si>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</si>
  <si>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</si>
  <si>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</si>
  <si>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</si>
  <si>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</si>
  <si>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</si>
  <si>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</si>
  <si>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</si>
  <si>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</si>
  <si>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</si>
  <si>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</si>
  <si>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</si>
  <si>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</si>
  <si>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</si>
  <si>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</si>
  <si>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</si>
  <si>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</si>
  <si>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</si>
  <si>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</si>
  <si>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</si>
  <si>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</si>
  <si>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</si>
  <si>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</si>
  <si>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</si>
  <si>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</si>
  <si>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</si>
  <si>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</si>
  <si>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</si>
  <si>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</si>
  <si>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</si>
  <si>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</si>
  <si>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</si>
  <si>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</si>
  <si>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</si>
  <si>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</si>
  <si>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</si>
  <si>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</si>
  <si>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</si>
  <si>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</si>
  <si>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</si>
  <si>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</si>
  <si>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</si>
  <si>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</si>
  <si>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</si>
  <si>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</si>
  <si>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</si>
  <si>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</si>
  <si>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</si>
  <si>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</si>
  <si>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</si>
  <si>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</si>
  <si>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</si>
  <si>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</si>
  <si>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</si>
  <si>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</si>
  <si>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</si>
  <si>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</si>
  <si>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</si>
  <si>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</si>
  <si>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</si>
  <si>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</si>
  <si>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</si>
  <si>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</si>
  <si>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</si>
  <si>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</si>
  <si>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</si>
  <si>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</si>
  <si>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</si>
  <si>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</si>
  <si>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</si>
  <si>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</si>
  <si>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</si>
  <si>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</si>
  <si>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</si>
  <si>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</si>
  <si>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</si>
  <si>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</si>
  <si>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</si>
  <si>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</si>
  <si>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</si>
  <si>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</si>
  <si>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</si>
  <si>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</si>
  <si>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</si>
  <si>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</si>
  <si>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</si>
  <si>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</si>
  <si>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</si>
  <si>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</si>
  <si>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</si>
  <si>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</si>
  <si>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</si>
  <si>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</si>
  <si>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</si>
  <si>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</si>
  <si>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</si>
  <si>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</si>
  <si>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</si>
  <si>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</si>
  <si>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</si>
  <si>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</si>
  <si>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</si>
  <si>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</si>
  <si>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</si>
  <si>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</si>
  <si>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</si>
  <si>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</si>
  <si>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</si>
  <si>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</si>
  <si>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</si>
  <si>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</si>
  <si>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</si>
  <si>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</si>
  <si>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</si>
  <si>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</si>
  <si>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</si>
  <si>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</si>
  <si>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</si>
  <si>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</si>
  <si>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</si>
  <si>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</si>
  <si>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</si>
  <si>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</si>
  <si>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</si>
  <si>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</si>
  <si>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</si>
  <si>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</si>
  <si>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</si>
  <si>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</si>
  <si>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</si>
  <si>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</si>
  <si>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</si>
  <si>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</si>
  <si>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</si>
  <si>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</si>
  <si>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</si>
  <si>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</si>
  <si>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</si>
  <si>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</si>
  <si>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</si>
  <si>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</si>
  <si>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</si>
  <si>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</si>
  <si>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</si>
  <si>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</si>
  <si>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</si>
  <si>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</si>
  <si>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</si>
  <si>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</si>
  <si>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</si>
  <si>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</si>
  <si>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</si>
  <si>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</si>
  <si>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</si>
  <si>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</si>
  <si>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</si>
  <si>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</si>
  <si>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</si>
  <si>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</si>
  <si>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</si>
  <si>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</si>
  <si>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</si>
  <si>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</si>
  <si>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</si>
  <si>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</si>
  <si>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</si>
  <si>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</si>
  <si>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</si>
  <si>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</si>
  <si>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</si>
  <si>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</si>
  <si>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</si>
  <si>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</si>
  <si>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</si>
  <si>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</si>
  <si>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</si>
  <si>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</si>
  <si>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</si>
  <si>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</si>
  <si>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</si>
  <si>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</si>
  <si>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</si>
  <si>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</si>
  <si>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</si>
  <si>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</si>
  <si>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</si>
  <si>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</si>
  <si>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</si>
  <si>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</si>
  <si>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</si>
  <si>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</si>
  <si>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</si>
  <si>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</si>
  <si>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</si>
  <si>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</si>
  <si>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</si>
  <si>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</si>
  <si>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</si>
  <si>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</si>
  <si>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</si>
  <si>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</si>
  <si>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</si>
  <si>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</si>
  <si>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</si>
  <si>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</si>
  <si>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</si>
  <si>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</si>
  <si>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</si>
  <si>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</si>
  <si>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</si>
  <si>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</si>
  <si>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</si>
  <si>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</si>
  <si>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</si>
  <si>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</si>
  <si>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</si>
  <si>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</si>
  <si>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</si>
  <si>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</si>
  <si>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</si>
  <si>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</si>
  <si>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</si>
  <si>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</si>
  <si>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</si>
  <si>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</si>
  <si>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</si>
  <si>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</si>
  <si>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</si>
  <si>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</si>
  <si>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</si>
  <si>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</si>
  <si>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</si>
  <si>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</si>
  <si>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</si>
  <si>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</si>
  <si>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</si>
  <si>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</si>
  <si>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</si>
  <si>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</si>
  <si>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</si>
  <si>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</si>
  <si>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</si>
  <si>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</si>
  <si>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</si>
  <si>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</si>
  <si>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</si>
  <si>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</si>
  <si>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</si>
  <si>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</si>
  <si>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</si>
  <si>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</si>
  <si>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</si>
  <si>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</si>
  <si>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</si>
  <si>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</si>
  <si>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</si>
  <si>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</si>
  <si>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</si>
  <si>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</si>
  <si>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</si>
  <si>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</si>
  <si>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</si>
  <si>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</si>
  <si>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</si>
  <si>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</si>
  <si>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</si>
  <si>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</si>
  <si>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</si>
  <si>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</si>
  <si>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</si>
  <si>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</si>
  <si>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</si>
  <si>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</si>
  <si>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</si>
  <si>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</si>
  <si>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</si>
  <si>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</si>
  <si>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</si>
  <si>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</si>
  <si>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</si>
  <si>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</si>
  <si>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</si>
  <si>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</si>
  <si>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</si>
  <si>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</si>
  <si>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</si>
  <si>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</si>
  <si>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</si>
  <si>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</si>
  <si>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</si>
  <si>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</si>
  <si>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</si>
  <si>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</si>
  <si>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</si>
  <si>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</si>
  <si>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</si>
  <si>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</si>
  <si>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</si>
  <si>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</si>
  <si>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</si>
  <si>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</si>
  <si>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</si>
  <si>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</si>
  <si>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</si>
  <si>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</si>
  <si>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</si>
  <si>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</si>
  <si>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</si>
  <si>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</si>
  <si>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</si>
  <si>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</si>
  <si>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</si>
  <si>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</si>
  <si>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</si>
  <si>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</si>
  <si>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</si>
  <si>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</si>
  <si>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</si>
  <si>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</si>
  <si>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</si>
  <si>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</si>
  <si>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</si>
  <si>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</si>
  <si>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</si>
  <si>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</si>
  <si>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</si>
  <si>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</si>
  <si>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</si>
  <si>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</si>
  <si>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</si>
  <si>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</si>
  <si>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</si>
  <si>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</si>
  <si>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</si>
  <si>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</si>
  <si>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</si>
  <si>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</si>
  <si>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</si>
  <si>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</si>
  <si>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</si>
  <si>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</si>
  <si>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</si>
  <si>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</si>
  <si>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</si>
  <si>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</si>
  <si>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</si>
  <si>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</si>
  <si>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</si>
  <si>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</si>
  <si>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</si>
  <si>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</si>
  <si>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</si>
  <si>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</si>
  <si>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</si>
  <si>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</si>
  <si>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</si>
  <si>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</si>
  <si>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</si>
  <si>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</si>
  <si>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</si>
  <si>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</si>
  <si>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</si>
  <si>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</si>
  <si>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</si>
  <si>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</si>
  <si>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</si>
  <si>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</si>
  <si>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</si>
  <si>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</si>
  <si>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</si>
  <si>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</si>
  <si>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</si>
  <si>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</si>
  <si>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</si>
  <si>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</si>
  <si>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</si>
  <si>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</si>
  <si>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</si>
  <si>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</si>
  <si>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</si>
  <si>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</si>
  <si>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</si>
  <si>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</si>
  <si>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</si>
  <si>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</si>
  <si>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</si>
  <si>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</si>
  <si>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07/17</t>
  </si>
  <si>
    <t>08/42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</si>
</sst>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Normal="100" workbookViewId="0">
      <selection activeCell="F667" sqref="F667"/>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1080</v>
      </c>
      <c r="B2">
        <f>INDEX('School Tables'!$AH$3:$AH$209,MATCH('DOE25'!A2,'School Tables'!$AJ$3:$AJ$209,0))</f>
        <v>225</v>
      </c>
      <c r="C2">
        <f>INDEX('School Tables'!$AI$3:$AI$209,MATCH('DOE25'!A2,'School Tables'!$AJ$3:$AJ$209,0))</f>
        <v>225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703506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138141</v>
      </c>
      <c r="G12" s="18">
        <v>123494</v>
      </c>
      <c r="H12" s="18">
        <v>96351</v>
      </c>
      <c r="I12" s="18"/>
      <c r="J12" s="13">
        <f>SUM(I442)</f>
        <v>175232.38</v>
      </c>
      <c r="K12" s="23" t="s">
        <v>288</v>
      </c>
      <c r="L12" s="23" t="s">
        <v>288</v>
      </c>
      <c r="M12" s="8"/>
      <c r="N12" s="165"/>
    </row>
    <row r="13" spans="1:14" s="3" customFormat="1" ht="12.2" customHeight="1" x14ac:dyDescent="0.15">
      <c r="A13" s="1" t="s">
        <v>604</v>
      </c>
      <c r="B13" s="2" t="s">
        <v>289</v>
      </c>
      <c r="C13" s="6">
        <v>5</v>
      </c>
      <c r="D13" s="2" t="s">
        <v>428</v>
      </c>
      <c r="E13" s="6">
        <v>140</v>
      </c>
      <c r="F13" s="18">
        <v>1333</v>
      </c>
      <c r="G13" s="18">
        <v>32512</v>
      </c>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842980</v>
      </c>
      <c r="G19" s="38">
        <f>SUM(G9:G18)</f>
        <v>156006</v>
      </c>
      <c r="H19" s="38">
        <f>SUM(H9:H18)</f>
        <v>96351</v>
      </c>
      <c r="I19" s="38">
        <f>SUM(I9:I18)</f>
        <v>0</v>
      </c>
      <c r="J19" s="38">
        <f>SUM(J9:J18)</f>
        <v>175232.38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41790</v>
      </c>
      <c r="G22" s="18"/>
      <c r="H22" s="18">
        <v>96351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6518</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71821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19348.939999999999</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120129</v>
      </c>
      <c r="G32" s="38">
        <f>SUM(G22:G31)</f>
        <v>19348.939999999999</v>
      </c>
      <c r="H32" s="38">
        <f>SUM(H22:H31)</f>
        <v>96351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136657</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294005</v>
      </c>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293705</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175232.38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135141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722851</v>
      </c>
      <c r="G51" s="38">
        <f>SUM(G35:G50)</f>
        <v>136657</v>
      </c>
      <c r="H51" s="38">
        <f>SUM(H35:H50)</f>
        <v>0</v>
      </c>
      <c r="I51" s="38">
        <f>SUM(I35:I50)</f>
        <v>0</v>
      </c>
      <c r="J51" s="38">
        <f>SUM(J35:J50)</f>
        <v>175232.38</v>
      </c>
      <c r="K51" s="42" t="s">
        <v>288</v>
      </c>
      <c r="L51" s="42" t="s">
        <v>288</v>
      </c>
      <c r="N51" s="131"/>
    </row>
    <row r="52" spans="1:14" s="3" customFormat="1" ht="12.2" customHeight="1" thickTop="1" x14ac:dyDescent="0.15">
      <c r="A52" s="35" t="s">
        <v>455</v>
      </c>
      <c r="B52" s="36" t="s">
        <v>289</v>
      </c>
      <c r="C52" s="6">
        <v>37</v>
      </c>
      <c r="D52" s="36" t="s">
        <v>653</v>
      </c>
      <c r="E52" s="36"/>
      <c r="F52" s="38">
        <f>F51+F32</f>
        <v>842980</v>
      </c>
      <c r="G52" s="38">
        <f>G51+G32</f>
        <v>156005.94</v>
      </c>
      <c r="H52" s="38">
        <f>H51+H32</f>
        <v>96351</v>
      </c>
      <c r="I52" s="38">
        <f>I51+I32</f>
        <v>0</v>
      </c>
      <c r="J52" s="38">
        <f>J51+J32</f>
        <v>175232.38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19573978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19573978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13598</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13598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47914</v>
      </c>
      <c r="G96" s="18"/>
      <c r="H96" s="18"/>
      <c r="I96" s="18"/>
      <c r="J96" s="18">
        <v>2262.77</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284866+9163</f>
        <v>294029</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4000</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600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33498</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139992</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226004</v>
      </c>
      <c r="G111" s="38">
        <f>SUM(G96:G110)</f>
        <v>294029</v>
      </c>
      <c r="H111" s="38">
        <f>SUM(H96:H110)</f>
        <v>0</v>
      </c>
      <c r="I111" s="38">
        <f>SUM(I96:I110)</f>
        <v>0</v>
      </c>
      <c r="J111" s="38">
        <f>SUM(J96:J110)</f>
        <v>2262.77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19813580</v>
      </c>
      <c r="G112" s="38">
        <f>G60+G111</f>
        <v>294029</v>
      </c>
      <c r="H112" s="38">
        <f>H60+H79+H94+H111</f>
        <v>0</v>
      </c>
      <c r="I112" s="38">
        <f>I60+I111</f>
        <v>0</v>
      </c>
      <c r="J112" s="38">
        <f>J60+J111</f>
        <v>2262.77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1293527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3323544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1493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4618564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236431</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18533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236431</v>
      </c>
      <c r="G136" s="38">
        <f>SUM(G123:G135)</f>
        <v>18533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4854995</v>
      </c>
      <c r="G140" s="38">
        <f>G121+SUM(G136:G137)</f>
        <v>18533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137361.22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69492.3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160310</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303046.01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83966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311839.17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83966</v>
      </c>
      <c r="G163" s="38">
        <f>SUM(G150:G162)</f>
        <v>160310</v>
      </c>
      <c r="H163" s="38">
        <f>SUM(H150:H162)</f>
        <v>821738.7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83966</v>
      </c>
      <c r="G170" s="38">
        <f>G147+G163+SUM(G164:G169)</f>
        <v>160310</v>
      </c>
      <c r="H170" s="38">
        <f>H147+H163+SUM(H164:H169)</f>
        <v>821738.7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24752541</v>
      </c>
      <c r="G194" s="38">
        <f>G112+G140+G170+G193</f>
        <v>472872</v>
      </c>
      <c r="H194" s="38">
        <f>H112+H140+H170+H193</f>
        <v>821738.7</v>
      </c>
      <c r="I194" s="38">
        <f>I112+I140+I170+I193</f>
        <v>0</v>
      </c>
      <c r="J194" s="38">
        <f>J112+J140+J193</f>
        <v>2262.77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6414110</v>
      </c>
      <c r="G198" s="18">
        <v>3054423.87</v>
      </c>
      <c r="H198" s="18">
        <f>72627.14</f>
        <v>72627.14</v>
      </c>
      <c r="I198" s="18">
        <f>180959.47+1716-0.47</f>
        <v>182675</v>
      </c>
      <c r="J198" s="18">
        <v>3303</v>
      </c>
      <c r="K198" s="18"/>
      <c r="L198" s="13">
        <f>SUM(F198:K198)</f>
        <v>9727139.0100000016</v>
      </c>
      <c r="M198" s="8"/>
      <c r="N198" s="165"/>
    </row>
    <row r="199" spans="1:14" s="3" customFormat="1" ht="12.2" customHeight="1" x14ac:dyDescent="0.15">
      <c r="A199" s="1" t="s">
        <v>439</v>
      </c>
      <c r="B199" s="2" t="s">
        <v>341</v>
      </c>
      <c r="C199" s="2" t="s">
        <v>291</v>
      </c>
      <c r="D199" s="2" t="s">
        <v>431</v>
      </c>
      <c r="E199" s="6">
        <v>1200</v>
      </c>
      <c r="F199" s="18">
        <v>2173194.06</v>
      </c>
      <c r="G199" s="18">
        <v>970361</v>
      </c>
      <c r="H199" s="18">
        <f>275488.6+759470.09-0.69</f>
        <v>1034958</v>
      </c>
      <c r="I199" s="18">
        <v>12068.4</v>
      </c>
      <c r="J199" s="18">
        <v>5379.38</v>
      </c>
      <c r="K199" s="18">
        <v>1430</v>
      </c>
      <c r="L199" s="13">
        <f>SUM(F199:K199)</f>
        <v>4197390.84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79063.3</v>
      </c>
      <c r="G201" s="18">
        <v>20693.759999999998</v>
      </c>
      <c r="H201" s="18">
        <v>39000</v>
      </c>
      <c r="I201" s="18">
        <v>13193.58</v>
      </c>
      <c r="J201" s="18"/>
      <c r="K201" s="18"/>
      <c r="L201" s="13">
        <f>SUM(F201:K201)</f>
        <v>151950.63999999998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1312166.49+1727</f>
        <v>1313893.49</v>
      </c>
      <c r="G203" s="18">
        <v>603393.26</v>
      </c>
      <c r="H203" s="18">
        <v>962.17</v>
      </c>
      <c r="I203" s="18">
        <v>7236.98</v>
      </c>
      <c r="J203" s="18"/>
      <c r="K203" s="18"/>
      <c r="L203" s="13">
        <f t="shared" ref="L203:L209" si="0">SUM(F203:K203)</f>
        <v>1925485.9</v>
      </c>
      <c r="M203" s="8"/>
      <c r="N203" s="165"/>
    </row>
    <row r="204" spans="1:14" s="3" customFormat="1" ht="12.2" customHeight="1" x14ac:dyDescent="0.15">
      <c r="A204" s="1" t="s">
        <v>443</v>
      </c>
      <c r="B204" s="2" t="s">
        <v>341</v>
      </c>
      <c r="C204" s="2" t="s">
        <v>295</v>
      </c>
      <c r="D204" s="2" t="s">
        <v>431</v>
      </c>
      <c r="E204" s="6">
        <v>2200</v>
      </c>
      <c r="F204" s="18">
        <v>641842.48</v>
      </c>
      <c r="G204" s="18">
        <f>286011.66+44578.95</f>
        <v>330590.61</v>
      </c>
      <c r="H204" s="18">
        <f>281251.06+69337+353.27</f>
        <v>350941.33</v>
      </c>
      <c r="I204" s="18">
        <f>156809.64+2149</f>
        <v>158958.64000000001</v>
      </c>
      <c r="J204" s="18">
        <v>38300.620000000003</v>
      </c>
      <c r="K204" s="18">
        <v>1093</v>
      </c>
      <c r="L204" s="13">
        <f t="shared" si="0"/>
        <v>1521726.6800000002</v>
      </c>
      <c r="M204" s="8"/>
      <c r="N204" s="165"/>
    </row>
    <row r="205" spans="1:14" s="3" customFormat="1" ht="12.2" customHeight="1" x14ac:dyDescent="0.15">
      <c r="A205" s="1" t="s">
        <v>444</v>
      </c>
      <c r="B205" s="2" t="s">
        <v>341</v>
      </c>
      <c r="C205" s="2" t="s">
        <v>296</v>
      </c>
      <c r="D205" s="2" t="s">
        <v>431</v>
      </c>
      <c r="E205" s="6">
        <v>2300</v>
      </c>
      <c r="F205" s="18">
        <f>406214+71342</f>
        <v>477556</v>
      </c>
      <c r="G205" s="18">
        <v>246292.56</v>
      </c>
      <c r="H205" s="18">
        <f>44647.88+5307.02+10024.41</f>
        <v>59979.31</v>
      </c>
      <c r="I205" s="18">
        <v>55378.5</v>
      </c>
      <c r="J205" s="18"/>
      <c r="K205" s="18">
        <v>26976.06</v>
      </c>
      <c r="L205" s="13">
        <f t="shared" si="0"/>
        <v>866182.43000000017</v>
      </c>
      <c r="M205" s="8"/>
      <c r="N205" s="165"/>
    </row>
    <row r="206" spans="1:14" s="3" customFormat="1" ht="12.2" customHeight="1" x14ac:dyDescent="0.15">
      <c r="A206" s="1" t="s">
        <v>445</v>
      </c>
      <c r="B206" s="2" t="s">
        <v>341</v>
      </c>
      <c r="C206" s="2" t="s">
        <v>297</v>
      </c>
      <c r="D206" s="2" t="s">
        <v>431</v>
      </c>
      <c r="E206" s="6">
        <v>2400</v>
      </c>
      <c r="F206" s="18">
        <v>886359.5</v>
      </c>
      <c r="G206" s="18">
        <v>486629.51</v>
      </c>
      <c r="H206" s="18">
        <v>31378.45</v>
      </c>
      <c r="I206" s="18">
        <v>11282.02</v>
      </c>
      <c r="J206" s="18"/>
      <c r="K206" s="18">
        <v>4889</v>
      </c>
      <c r="L206" s="13">
        <f t="shared" si="0"/>
        <v>1420538.48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710292.41</v>
      </c>
      <c r="G208" s="18">
        <v>325882.38</v>
      </c>
      <c r="H208" s="18">
        <f>576652.51+59993.88</f>
        <v>636646.39</v>
      </c>
      <c r="I208" s="18">
        <v>402466.86</v>
      </c>
      <c r="J208" s="18">
        <f>59716.32+8508</f>
        <v>68224.320000000007</v>
      </c>
      <c r="K208" s="18"/>
      <c r="L208" s="13">
        <f t="shared" si="0"/>
        <v>2143512.36</v>
      </c>
      <c r="M208" s="8"/>
      <c r="N208" s="165"/>
    </row>
    <row r="209" spans="1:14" s="3" customFormat="1" ht="12.2" customHeight="1" x14ac:dyDescent="0.15">
      <c r="A209" s="1" t="s">
        <v>448</v>
      </c>
      <c r="B209" s="2" t="s">
        <v>341</v>
      </c>
      <c r="C209" s="2" t="s">
        <v>300</v>
      </c>
      <c r="D209" s="2" t="s">
        <v>431</v>
      </c>
      <c r="E209" s="6">
        <v>2700</v>
      </c>
      <c r="F209" s="18"/>
      <c r="G209" s="18"/>
      <c r="H209" s="18">
        <v>1047563.66</v>
      </c>
      <c r="I209" s="18"/>
      <c r="J209" s="18"/>
      <c r="K209" s="18"/>
      <c r="L209" s="13">
        <f t="shared" si="0"/>
        <v>1047563.66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12696311.240000002</v>
      </c>
      <c r="G212" s="38">
        <f t="shared" si="1"/>
        <v>6038266.9499999993</v>
      </c>
      <c r="H212" s="38">
        <f t="shared" si="1"/>
        <v>3274056.45</v>
      </c>
      <c r="I212" s="38">
        <f t="shared" si="1"/>
        <v>843259.98</v>
      </c>
      <c r="J212" s="38">
        <f t="shared" si="1"/>
        <v>115207.32</v>
      </c>
      <c r="K212" s="38">
        <f t="shared" si="1"/>
        <v>34388.06</v>
      </c>
      <c r="L212" s="38">
        <f t="shared" si="1"/>
        <v>23001490.000000004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280995</v>
      </c>
      <c r="I256" s="18"/>
      <c r="J256" s="18"/>
      <c r="K256" s="18"/>
      <c r="L256" s="13">
        <f t="shared" si="6"/>
        <v>280995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280995</v>
      </c>
      <c r="I257" s="38">
        <f t="shared" si="7"/>
        <v>0</v>
      </c>
      <c r="J257" s="38">
        <f t="shared" si="7"/>
        <v>0</v>
      </c>
      <c r="K257" s="38">
        <f t="shared" si="7"/>
        <v>0</v>
      </c>
      <c r="L257" s="38">
        <f>SUM(F257:K257)</f>
        <v>280995</v>
      </c>
      <c r="M257" s="8"/>
      <c r="N257" s="165"/>
    </row>
    <row r="258" spans="1:14" s="3" customFormat="1" ht="12.2" customHeight="1" thickTop="1" x14ac:dyDescent="0.15">
      <c r="A258" s="35" t="s">
        <v>462</v>
      </c>
      <c r="B258" s="37">
        <v>10</v>
      </c>
      <c r="C258" s="37">
        <v>8</v>
      </c>
      <c r="D258" s="36" t="s">
        <v>431</v>
      </c>
      <c r="E258" s="37"/>
      <c r="F258" s="38">
        <f t="shared" ref="F258:L258" si="8">F212+F230+F248+F257</f>
        <v>12696311.240000002</v>
      </c>
      <c r="G258" s="38">
        <f t="shared" si="8"/>
        <v>6038266.9499999993</v>
      </c>
      <c r="H258" s="38">
        <f t="shared" si="8"/>
        <v>3555051.45</v>
      </c>
      <c r="I258" s="38">
        <f t="shared" si="8"/>
        <v>843259.98</v>
      </c>
      <c r="J258" s="38">
        <f t="shared" si="8"/>
        <v>115207.32</v>
      </c>
      <c r="K258" s="38">
        <f t="shared" si="8"/>
        <v>34388.06</v>
      </c>
      <c r="L258" s="38">
        <f t="shared" si="8"/>
        <v>23282485.000000004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640000</v>
      </c>
      <c r="L261" s="13">
        <f>SUM(F261:K261)</f>
        <v>640000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858460</v>
      </c>
      <c r="L262" s="13">
        <f>SUM(F262:K262)</f>
        <v>858460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1498460</v>
      </c>
      <c r="L271" s="38">
        <f t="shared" si="9"/>
        <v>1498460</v>
      </c>
      <c r="M271" s="8"/>
      <c r="N271" s="165"/>
    </row>
    <row r="272" spans="1:14" s="33" customFormat="1" ht="12.2" customHeight="1" thickTop="1" x14ac:dyDescent="0.2">
      <c r="A272" s="40" t="s">
        <v>464</v>
      </c>
      <c r="B272" s="37">
        <v>10</v>
      </c>
      <c r="C272" s="37">
        <v>18</v>
      </c>
      <c r="D272" s="36" t="s">
        <v>431</v>
      </c>
      <c r="E272" s="37"/>
      <c r="F272" s="39">
        <f t="shared" ref="F272:L272" si="11">F258+F271</f>
        <v>12696311.240000002</v>
      </c>
      <c r="G272" s="39">
        <f t="shared" si="11"/>
        <v>6038266.9499999993</v>
      </c>
      <c r="H272" s="39">
        <f t="shared" si="11"/>
        <v>3555051.45</v>
      </c>
      <c r="I272" s="39">
        <f t="shared" si="11"/>
        <v>843259.98</v>
      </c>
      <c r="J272" s="39">
        <f t="shared" si="11"/>
        <v>115207.32</v>
      </c>
      <c r="K272" s="39">
        <f t="shared" si="11"/>
        <v>1532848.06</v>
      </c>
      <c r="L272" s="39">
        <f t="shared" si="11"/>
        <v>24780945.000000004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75000</v>
      </c>
      <c r="G277" s="18">
        <v>24646.34</v>
      </c>
      <c r="H277" s="18">
        <f>199.88+23102.92</f>
        <v>23302.799999999999</v>
      </c>
      <c r="I277" s="18">
        <v>74753.83</v>
      </c>
      <c r="J277" s="18">
        <v>1964.59</v>
      </c>
      <c r="K277" s="18"/>
      <c r="L277" s="13">
        <f>SUM(F277:K277)</f>
        <v>199667.56</v>
      </c>
      <c r="M277" s="8"/>
      <c r="N277" s="165"/>
    </row>
    <row r="278" spans="1:14" s="3" customFormat="1" ht="12.2" customHeight="1" x14ac:dyDescent="0.15">
      <c r="A278" s="1" t="s">
        <v>439</v>
      </c>
      <c r="B278" s="2" t="s">
        <v>357</v>
      </c>
      <c r="C278" s="2" t="s">
        <v>291</v>
      </c>
      <c r="D278" s="2" t="s">
        <v>431</v>
      </c>
      <c r="E278" s="6">
        <v>1200</v>
      </c>
      <c r="F278" s="18">
        <v>215403.36</v>
      </c>
      <c r="G278" s="18"/>
      <c r="H278" s="18">
        <f>60910.41+3376.16</f>
        <v>64286.570000000007</v>
      </c>
      <c r="I278" s="18">
        <v>44670.75</v>
      </c>
      <c r="J278" s="18">
        <v>8961.6200000000008</v>
      </c>
      <c r="K278" s="18"/>
      <c r="L278" s="13">
        <f>SUM(F278:K278)</f>
        <v>333322.3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f>5932.73</f>
        <v>5932.73</v>
      </c>
      <c r="I280" s="18">
        <v>2000</v>
      </c>
      <c r="J280" s="18"/>
      <c r="K280" s="18"/>
      <c r="L280" s="13">
        <f>SUM(F280:K280)</f>
        <v>7932.73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15127.31</f>
        <v>15127.31</v>
      </c>
      <c r="I282" s="18"/>
      <c r="J282" s="18"/>
      <c r="K282" s="18"/>
      <c r="L282" s="13">
        <f t="shared" ref="L282:L288" si="12">SUM(F282:K282)</f>
        <v>15127.31</v>
      </c>
      <c r="M282" s="8"/>
      <c r="N282" s="165"/>
    </row>
    <row r="283" spans="1:14" s="3" customFormat="1" ht="12.2" customHeight="1" x14ac:dyDescent="0.15">
      <c r="A283" s="1" t="s">
        <v>443</v>
      </c>
      <c r="B283" s="2" t="s">
        <v>357</v>
      </c>
      <c r="C283" s="2" t="s">
        <v>295</v>
      </c>
      <c r="D283" s="2" t="s">
        <v>431</v>
      </c>
      <c r="E283" s="6">
        <v>2200</v>
      </c>
      <c r="F283" s="18">
        <v>76400.89</v>
      </c>
      <c r="G283" s="18">
        <v>4084.37</v>
      </c>
      <c r="H283" s="18">
        <f>130827+2437.42</f>
        <v>133264.42000000001</v>
      </c>
      <c r="I283" s="18">
        <v>9721.15</v>
      </c>
      <c r="J283" s="18">
        <v>972.15</v>
      </c>
      <c r="K283" s="18"/>
      <c r="L283" s="13">
        <f t="shared" si="12"/>
        <v>224442.97999999998</v>
      </c>
      <c r="M283" s="8"/>
      <c r="N283" s="165"/>
    </row>
    <row r="284" spans="1:14" s="3" customFormat="1" ht="12.2" customHeight="1" x14ac:dyDescent="0.15">
      <c r="A284" s="1" t="s">
        <v>444</v>
      </c>
      <c r="B284" s="2" t="s">
        <v>357</v>
      </c>
      <c r="C284" s="2" t="s">
        <v>296</v>
      </c>
      <c r="D284" s="2" t="s">
        <v>431</v>
      </c>
      <c r="E284" s="6">
        <v>2300</v>
      </c>
      <c r="F284" s="18">
        <v>2000</v>
      </c>
      <c r="G284" s="18">
        <v>153</v>
      </c>
      <c r="H284" s="18"/>
      <c r="I284" s="18"/>
      <c r="J284" s="18"/>
      <c r="K284" s="18">
        <v>860.7</v>
      </c>
      <c r="L284" s="13">
        <f t="shared" si="12"/>
        <v>3013.7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567</v>
      </c>
      <c r="I287" s="18"/>
      <c r="J287" s="18"/>
      <c r="K287" s="18"/>
      <c r="L287" s="13">
        <f t="shared" si="12"/>
        <v>567</v>
      </c>
      <c r="M287" s="8"/>
      <c r="N287" s="165"/>
    </row>
    <row r="288" spans="1:14" s="3" customFormat="1" ht="12.2" customHeight="1" x14ac:dyDescent="0.15">
      <c r="A288" s="1" t="s">
        <v>448</v>
      </c>
      <c r="B288" s="2" t="s">
        <v>357</v>
      </c>
      <c r="C288" s="2" t="s">
        <v>300</v>
      </c>
      <c r="D288" s="2" t="s">
        <v>431</v>
      </c>
      <c r="E288" s="6">
        <v>2700</v>
      </c>
      <c r="F288" s="18"/>
      <c r="G288" s="18"/>
      <c r="H288" s="18">
        <v>37665.120000000003</v>
      </c>
      <c r="I288" s="18"/>
      <c r="J288" s="18"/>
      <c r="K288" s="18"/>
      <c r="L288" s="13">
        <f t="shared" si="12"/>
        <v>37665.120000000003</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368804.25</v>
      </c>
      <c r="G291" s="39">
        <f t="shared" si="13"/>
        <v>28883.71</v>
      </c>
      <c r="H291" s="39">
        <f t="shared" si="13"/>
        <v>280145.95</v>
      </c>
      <c r="I291" s="39">
        <f t="shared" si="13"/>
        <v>131145.73000000001</v>
      </c>
      <c r="J291" s="39">
        <f t="shared" si="13"/>
        <v>11898.36</v>
      </c>
      <c r="K291" s="39">
        <f t="shared" si="13"/>
        <v>860.7</v>
      </c>
      <c r="L291" s="38">
        <f t="shared" si="13"/>
        <v>821738.7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368804.25</v>
      </c>
      <c r="G339" s="38">
        <f t="shared" si="20"/>
        <v>28883.71</v>
      </c>
      <c r="H339" s="38">
        <f t="shared" si="20"/>
        <v>280145.95</v>
      </c>
      <c r="I339" s="38">
        <f t="shared" si="20"/>
        <v>131145.73000000001</v>
      </c>
      <c r="J339" s="38">
        <f t="shared" si="20"/>
        <v>11898.36</v>
      </c>
      <c r="K339" s="38">
        <f t="shared" si="20"/>
        <v>860.7</v>
      </c>
      <c r="L339" s="38">
        <f t="shared" si="20"/>
        <v>821738.7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368804.25</v>
      </c>
      <c r="G353" s="38">
        <f>G339</f>
        <v>28883.71</v>
      </c>
      <c r="H353" s="38">
        <f>H339</f>
        <v>280145.95</v>
      </c>
      <c r="I353" s="38">
        <f>I339</f>
        <v>131145.73000000001</v>
      </c>
      <c r="J353" s="38">
        <f>J339</f>
        <v>11898.36</v>
      </c>
      <c r="K353" s="38">
        <f>K339+K352</f>
        <v>860.7</v>
      </c>
      <c r="L353" s="38">
        <f>L339+L352</f>
        <v>821738.7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213849.45</v>
      </c>
      <c r="G359" s="18"/>
      <c r="H359" s="18">
        <f>13621.65</f>
        <v>13621.65</v>
      </c>
      <c r="I359" s="18">
        <v>255037.21</v>
      </c>
      <c r="J359" s="18">
        <v>94365.39</v>
      </c>
      <c r="K359" s="18">
        <f>4631.3</f>
        <v>4631.3</v>
      </c>
      <c r="L359" s="13">
        <f>SUM(F359:K359)</f>
        <v>581505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213849.45</v>
      </c>
      <c r="G363" s="38">
        <f t="shared" si="22"/>
        <v>0</v>
      </c>
      <c r="H363" s="38">
        <f t="shared" si="22"/>
        <v>13621.65</v>
      </c>
      <c r="I363" s="38">
        <f t="shared" si="22"/>
        <v>255037.21</v>
      </c>
      <c r="J363" s="38">
        <f t="shared" si="22"/>
        <v>94365.39</v>
      </c>
      <c r="K363" s="38">
        <f t="shared" si="22"/>
        <v>4631.3</v>
      </c>
      <c r="L363" s="38">
        <f t="shared" si="22"/>
        <v>581505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229545.17</v>
      </c>
      <c r="G368" s="18"/>
      <c r="H368" s="18"/>
      <c r="I368" s="13">
        <f>SUM(F368:H368)</f>
        <v>229545.17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I363-F368</f>
        <v>25492.039999999979</v>
      </c>
      <c r="G369" s="53"/>
      <c r="H369" s="53"/>
      <c r="I369" s="13">
        <f>SUM(F369:H369)</f>
        <v>25492.039999999979</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255037.21</v>
      </c>
      <c r="G370" s="38">
        <f>SUM(G368:G369)</f>
        <v>0</v>
      </c>
      <c r="H370" s="38">
        <f>SUM(H368:H369)</f>
        <v>0</v>
      </c>
      <c r="I370" s="38">
        <f>SUM(I368:I369)</f>
        <v>255037.21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2262.77</v>
      </c>
      <c r="I398" s="18"/>
      <c r="J398" s="23" t="s">
        <v>288</v>
      </c>
      <c r="K398" s="23" t="s">
        <v>288</v>
      </c>
      <c r="L398" s="13">
        <f t="shared" si="26"/>
        <v>2262.77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2262.77</v>
      </c>
      <c r="I402" s="38">
        <f>SUM(I396:I401)</f>
        <v>0</v>
      </c>
      <c r="J402" s="42" t="s">
        <v>288</v>
      </c>
      <c r="K402" s="42" t="s">
        <v>288</v>
      </c>
      <c r="L402" s="38">
        <f>SUM(L396:L401)</f>
        <v>2262.77</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2262.77</v>
      </c>
      <c r="I409" s="38">
        <f>I394+I402+I408</f>
        <v>0</v>
      </c>
      <c r="J409" s="23" t="s">
        <v>288</v>
      </c>
      <c r="K409" s="23" t="s">
        <v>288</v>
      </c>
      <c r="L409" s="38">
        <f>L394+L402+L408</f>
        <v>2262.77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v>175232.38</v>
      </c>
      <c r="I442" s="13">
        <f t="shared" si="33"/>
        <v>175232.38</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0</v>
      </c>
      <c r="H447" s="13">
        <f>SUM(H440:H446)</f>
        <v>175232.38</v>
      </c>
      <c r="I447" s="13">
        <f>SUM(I440:I446)</f>
        <v>175232.38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v>175232.38</v>
      </c>
      <c r="I460" s="13">
        <f t="shared" si="34"/>
        <v>175232.38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0</v>
      </c>
      <c r="H461" s="65">
        <f>SUM(H455:H460)</f>
        <v>175232.38</v>
      </c>
      <c r="I461" s="65">
        <f>SUM(I455:I460)</f>
        <v>175232.38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0</v>
      </c>
      <c r="H462" s="39">
        <f>H453+H461</f>
        <v>175232.38</v>
      </c>
      <c r="I462" s="39">
        <f>I453+I461</f>
        <v>175232.38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751255</v>
      </c>
      <c r="G466" s="18">
        <v>245290</v>
      </c>
      <c r="H466" s="18"/>
      <c r="I466" s="18"/>
      <c r="J466" s="18">
        <f>135589.71+37379.9</f>
        <v>172969.61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24752541</v>
      </c>
      <c r="G469" s="18">
        <f>G194</f>
        <v>472872</v>
      </c>
      <c r="H469" s="18">
        <f>H194</f>
        <v>821738.7</v>
      </c>
      <c r="I469" s="18"/>
      <c r="J469" s="18">
        <f>-418.86+2891.75-210.12</f>
        <v>2262.77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24752541</v>
      </c>
      <c r="G471" s="19">
        <f>SUM(G469:G470)</f>
        <v>472872</v>
      </c>
      <c r="H471" s="19">
        <f>SUM(H469:H470)</f>
        <v>821738.7</v>
      </c>
      <c r="I471" s="19">
        <f>SUM(I469:I470)</f>
        <v>0</v>
      </c>
      <c r="J471" s="19">
        <f>SUM(J469:J470)</f>
        <v>2262.77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24780945.000000004</v>
      </c>
      <c r="G473" s="18">
        <f>L363</f>
        <v>581505</v>
      </c>
      <c r="H473" s="18">
        <f>L353</f>
        <v>821738.7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24780945.000000004</v>
      </c>
      <c r="G475" s="19">
        <f>SUM(G473:G474)</f>
        <v>581505</v>
      </c>
      <c r="H475" s="19">
        <f>SUM(H473:H474)</f>
        <v>821738.7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722850.99999999627</v>
      </c>
      <c r="G477" s="19">
        <f>(G466+G471)- G475</f>
        <v>136657</v>
      </c>
      <c r="H477" s="19">
        <f>(H466+H471)- H475</f>
        <v>0</v>
      </c>
      <c r="I477" s="19">
        <f>(I466+I471)- I475</f>
        <v>0</v>
      </c>
      <c r="J477" s="19">
        <f>(J466+J471)- J475</f>
        <v>175232.37999999998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23701700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3.15</v>
      </c>
      <c r="G495" s="18"/>
      <c r="H495" s="18"/>
      <c r="I495" s="18"/>
      <c r="J495" s="18"/>
      <c r="K495" s="23" t="s">
        <v>288</v>
      </c>
      <c r="L495" s="23" t="s">
        <v>288</v>
      </c>
      <c r="N495" s="131"/>
    </row>
    <row r="496" spans="1:14" ht="12.2" customHeight="1" x14ac:dyDescent="0.2">
      <c r="A496" s="21" t="s">
        <v>619</v>
      </c>
      <c r="B496" s="22">
        <v>20</v>
      </c>
      <c r="C496" s="22">
        <v>6</v>
      </c>
      <c r="D496" s="2" t="s">
        <v>432</v>
      </c>
      <c r="E496" s="22"/>
      <c r="F496" s="18">
        <v>21430000</v>
      </c>
      <c r="G496" s="18"/>
      <c r="H496" s="18"/>
      <c r="I496" s="18"/>
      <c r="J496" s="18"/>
      <c r="K496" s="19">
        <f>SUM(F496:J496)</f>
        <v>21430000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20790000</v>
      </c>
      <c r="G499" s="147"/>
      <c r="H499" s="147"/>
      <c r="I499" s="147"/>
      <c r="J499" s="147"/>
      <c r="K499" s="148">
        <f t="shared" si="35"/>
        <v>20790000</v>
      </c>
      <c r="L499" s="149" t="s">
        <v>288</v>
      </c>
      <c r="N499" s="131"/>
    </row>
    <row r="500" spans="1:14" ht="12.2" customHeight="1" thickBot="1" x14ac:dyDescent="0.25">
      <c r="A500" s="21" t="s">
        <v>623</v>
      </c>
      <c r="B500" s="22">
        <v>20</v>
      </c>
      <c r="C500" s="22">
        <v>10</v>
      </c>
      <c r="D500" s="2" t="s">
        <v>432</v>
      </c>
      <c r="E500" s="22"/>
      <c r="F500" s="18">
        <v>9518394.6999999993</v>
      </c>
      <c r="G500" s="18"/>
      <c r="H500" s="18"/>
      <c r="I500" s="18"/>
      <c r="J500" s="18"/>
      <c r="K500" s="19">
        <f t="shared" si="35"/>
        <v>9518394.6999999993</v>
      </c>
      <c r="L500" s="23" t="s">
        <v>288</v>
      </c>
      <c r="N500" s="131"/>
    </row>
    <row r="501" spans="1:14" ht="12.2" customHeight="1" thickTop="1" x14ac:dyDescent="0.2">
      <c r="A501" s="97" t="s">
        <v>624</v>
      </c>
      <c r="B501" s="41">
        <v>20</v>
      </c>
      <c r="C501" s="41">
        <v>11</v>
      </c>
      <c r="D501" s="36" t="s">
        <v>432</v>
      </c>
      <c r="E501" s="41"/>
      <c r="F501" s="39">
        <f>SUM(F499:F500)</f>
        <v>30308394.699999999</v>
      </c>
      <c r="G501" s="39">
        <f>SUM(G499:G500)</f>
        <v>0</v>
      </c>
      <c r="H501" s="39">
        <f>SUM(H499:H500)</f>
        <v>0</v>
      </c>
      <c r="I501" s="39">
        <f>SUM(I499:I500)</f>
        <v>0</v>
      </c>
      <c r="J501" s="39">
        <f>SUM(J499:J500)</f>
        <v>0</v>
      </c>
      <c r="K501" s="39">
        <f t="shared" si="35"/>
        <v>30308394.699999999</v>
      </c>
      <c r="L501" s="42" t="s">
        <v>288</v>
      </c>
      <c r="N501" s="131"/>
    </row>
    <row r="502" spans="1:14" ht="12.2" customHeight="1" x14ac:dyDescent="0.2">
      <c r="A502" s="144" t="s">
        <v>651</v>
      </c>
      <c r="B502" s="145">
        <v>20</v>
      </c>
      <c r="C502" s="145">
        <v>12</v>
      </c>
      <c r="D502" s="146" t="s">
        <v>432</v>
      </c>
      <c r="E502" s="145"/>
      <c r="F502" s="147">
        <v>675000</v>
      </c>
      <c r="G502" s="147"/>
      <c r="H502" s="147"/>
      <c r="I502" s="147"/>
      <c r="J502" s="147"/>
      <c r="K502" s="148">
        <f t="shared" si="35"/>
        <v>675000</v>
      </c>
      <c r="L502" s="149" t="s">
        <v>288</v>
      </c>
      <c r="N502" s="131"/>
    </row>
    <row r="503" spans="1:14" ht="12.2" customHeight="1" thickBot="1" x14ac:dyDescent="0.25">
      <c r="A503" s="21" t="s">
        <v>625</v>
      </c>
      <c r="B503" s="22">
        <v>20</v>
      </c>
      <c r="C503" s="22">
        <v>13</v>
      </c>
      <c r="D503" s="2" t="s">
        <v>432</v>
      </c>
      <c r="E503" s="22"/>
      <c r="F503" s="18">
        <v>824928</v>
      </c>
      <c r="G503" s="18"/>
      <c r="H503" s="18"/>
      <c r="I503" s="18"/>
      <c r="J503" s="18"/>
      <c r="K503" s="19">
        <f t="shared" si="35"/>
        <v>824928</v>
      </c>
      <c r="L503" s="23" t="s">
        <v>288</v>
      </c>
      <c r="N503" s="131"/>
    </row>
    <row r="504" spans="1:14" ht="12.2" customHeight="1" thickTop="1" x14ac:dyDescent="0.2">
      <c r="A504" s="97" t="s">
        <v>626</v>
      </c>
      <c r="B504" s="41">
        <v>20</v>
      </c>
      <c r="C504" s="41">
        <v>14</v>
      </c>
      <c r="D504" s="36" t="s">
        <v>432</v>
      </c>
      <c r="E504" s="41"/>
      <c r="F504" s="39">
        <f>SUM(F502:F503)</f>
        <v>1499928</v>
      </c>
      <c r="G504" s="39">
        <f>SUM(G502:G503)</f>
        <v>0</v>
      </c>
      <c r="H504" s="39">
        <f>SUM(H502:H503)</f>
        <v>0</v>
      </c>
      <c r="I504" s="39">
        <f>SUM(I502:I503)</f>
        <v>0</v>
      </c>
      <c r="J504" s="39">
        <f>SUM(J502:J503)</f>
        <v>0</v>
      </c>
      <c r="K504" s="39">
        <f t="shared" si="35"/>
        <v>1499928</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2388597.42-187041.69</f>
        <v>2201555.73</v>
      </c>
      <c r="G522" s="18">
        <v>526832.29</v>
      </c>
      <c r="H522" s="18">
        <f>336399.01+1848075.03-7290.4</f>
        <v>2177183.64</v>
      </c>
      <c r="I522" s="18">
        <v>56739.15</v>
      </c>
      <c r="J522" s="18">
        <v>14341</v>
      </c>
      <c r="K522" s="18">
        <v>1430</v>
      </c>
      <c r="L522" s="69">
        <f>SUM(F522:K522)</f>
        <v>4978081.8100000005</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2201555.73</v>
      </c>
      <c r="G525" s="81">
        <f t="shared" ref="G525:L525" si="36">SUM(G522:G524)</f>
        <v>526832.29</v>
      </c>
      <c r="H525" s="81">
        <f t="shared" si="36"/>
        <v>2177183.64</v>
      </c>
      <c r="I525" s="81">
        <f t="shared" si="36"/>
        <v>56739.15</v>
      </c>
      <c r="J525" s="81">
        <f t="shared" si="36"/>
        <v>14341</v>
      </c>
      <c r="K525" s="81">
        <f t="shared" si="36"/>
        <v>1430</v>
      </c>
      <c r="L525" s="70">
        <f t="shared" si="36"/>
        <v>4978081.8100000005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718243.37</v>
      </c>
      <c r="G527" s="18">
        <v>304319.71999999997</v>
      </c>
      <c r="H527" s="18">
        <v>48663.32</v>
      </c>
      <c r="I527" s="18"/>
      <c r="J527" s="18"/>
      <c r="K527" s="18"/>
      <c r="L527" s="69">
        <f>SUM(F527:K527)</f>
        <v>1071226.4099999999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718243.37</v>
      </c>
      <c r="G530" s="70">
        <f t="shared" ref="G530:L530" si="37">SUM(G527:G529)</f>
        <v>304319.71999999997</v>
      </c>
      <c r="H530" s="70">
        <f t="shared" si="37"/>
        <v>48663.32</v>
      </c>
      <c r="I530" s="70">
        <f t="shared" si="37"/>
        <v>0</v>
      </c>
      <c r="J530" s="70">
        <f t="shared" si="37"/>
        <v>0</v>
      </c>
      <c r="K530" s="70">
        <f t="shared" si="37"/>
        <v>0</v>
      </c>
      <c r="L530" s="70">
        <f t="shared" si="37"/>
        <v>1071226.4099999999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187041.69</v>
      </c>
      <c r="G532" s="18">
        <v>91201.53</v>
      </c>
      <c r="H532" s="18"/>
      <c r="I532" s="18"/>
      <c r="J532" s="18"/>
      <c r="K532" s="18"/>
      <c r="L532" s="69">
        <f>SUM(F532:K532)</f>
        <v>278243.21999999997</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187041.69</v>
      </c>
      <c r="G535" s="70">
        <f t="shared" ref="G535:L535" si="38">SUM(G532:G534)</f>
        <v>91201.53</v>
      </c>
      <c r="H535" s="70">
        <f t="shared" si="38"/>
        <v>0</v>
      </c>
      <c r="I535" s="70">
        <f t="shared" si="38"/>
        <v>0</v>
      </c>
      <c r="J535" s="70">
        <f t="shared" si="38"/>
        <v>0</v>
      </c>
      <c r="K535" s="70">
        <f t="shared" si="38"/>
        <v>0</v>
      </c>
      <c r="L535" s="70">
        <f t="shared" si="38"/>
        <v>278243.21999999997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7290.4</v>
      </c>
      <c r="I537" s="18"/>
      <c r="J537" s="18"/>
      <c r="K537" s="18"/>
      <c r="L537" s="69">
        <f>SUM(F537:K537)</f>
        <v>7290.4</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7290.4</v>
      </c>
      <c r="I540" s="70">
        <f t="shared" si="39"/>
        <v>0</v>
      </c>
      <c r="J540" s="70">
        <f t="shared" si="39"/>
        <v>0</v>
      </c>
      <c r="K540" s="70">
        <f t="shared" si="39"/>
        <v>0</v>
      </c>
      <c r="L540" s="70">
        <f t="shared" si="39"/>
        <v>7290.4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324257.96000000002</v>
      </c>
      <c r="I542" s="18"/>
      <c r="J542" s="18"/>
      <c r="K542" s="18"/>
      <c r="L542" s="69">
        <f>SUM(F542:K542)</f>
        <v>324257.96000000002</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324257.96000000002</v>
      </c>
      <c r="I545" s="141">
        <f t="shared" si="40"/>
        <v>0</v>
      </c>
      <c r="J545" s="141">
        <f t="shared" si="40"/>
        <v>0</v>
      </c>
      <c r="K545" s="141">
        <f t="shared" si="40"/>
        <v>0</v>
      </c>
      <c r="L545" s="141">
        <f t="shared" si="40"/>
        <v>324257.96000000002</v>
      </c>
      <c r="M545" s="8"/>
      <c r="N545" s="165"/>
    </row>
    <row r="546" spans="1:14" s="3" customFormat="1" ht="12.2" customHeight="1" thickTop="1" x14ac:dyDescent="0.15">
      <c r="A546" s="75" t="s">
        <v>72</v>
      </c>
      <c r="B546" s="41">
        <v>21</v>
      </c>
      <c r="C546" s="41">
        <v>21</v>
      </c>
      <c r="D546" s="115" t="s">
        <v>432</v>
      </c>
      <c r="E546" s="41"/>
      <c r="F546" s="70">
        <f>F525+F530+F535+F540+F545</f>
        <v>3106840.79</v>
      </c>
      <c r="G546" s="70">
        <f t="shared" ref="G546:L546" si="41">G525+G530+G535+G540+G545</f>
        <v>922353.54</v>
      </c>
      <c r="H546" s="70">
        <f t="shared" si="41"/>
        <v>2557395.3199999998</v>
      </c>
      <c r="I546" s="70">
        <f t="shared" si="41"/>
        <v>56739.15</v>
      </c>
      <c r="J546" s="70">
        <f t="shared" si="41"/>
        <v>14341</v>
      </c>
      <c r="K546" s="70">
        <f t="shared" si="41"/>
        <v>1430</v>
      </c>
      <c r="L546" s="70">
        <f t="shared" si="41"/>
        <v>6659099.8000000007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4978081.8100000005</v>
      </c>
      <c r="G550" s="69">
        <f>L527</f>
        <v>1071226.4099999999</v>
      </c>
      <c r="H550" s="69">
        <f>L532</f>
        <v>278243.21999999997</v>
      </c>
      <c r="I550" s="69">
        <f>L537</f>
        <v>7290.4</v>
      </c>
      <c r="J550" s="69">
        <f>L542</f>
        <v>324257.96000000002</v>
      </c>
      <c r="K550" s="69">
        <f>SUM(F550:J550)</f>
        <v>6659099.8000000007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4978081.8100000005</v>
      </c>
      <c r="G553" s="70">
        <f t="shared" si="42"/>
        <v>1071226.4099999999</v>
      </c>
      <c r="H553" s="70">
        <f t="shared" si="42"/>
        <v>278243.21999999997</v>
      </c>
      <c r="I553" s="70">
        <f t="shared" si="42"/>
        <v>7290.4</v>
      </c>
      <c r="J553" s="70">
        <f t="shared" si="42"/>
        <v>324257.96000000002</v>
      </c>
      <c r="K553" s="70">
        <f t="shared" si="42"/>
        <v>6659099.8000000007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339492.83</v>
      </c>
      <c r="G580" s="18"/>
      <c r="H580" s="18"/>
      <c r="I580" s="69">
        <f t="shared" si="47"/>
        <v>339492.83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415972.8</v>
      </c>
      <c r="G583" s="18"/>
      <c r="H583" s="18"/>
      <c r="I583" s="69">
        <f t="shared" si="47"/>
        <v>415972.8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707121.16</v>
      </c>
      <c r="I592" s="18"/>
      <c r="J592" s="18"/>
      <c r="K592" s="80">
        <f t="shared" ref="K592:K598" si="48">SUM(H592:J592)</f>
        <v>707121.16</v>
      </c>
      <c r="L592" s="23" t="s">
        <v>288</v>
      </c>
      <c r="M592" s="8"/>
      <c r="N592" s="165"/>
    </row>
    <row r="593" spans="1:14" s="3" customFormat="1" ht="12.2" customHeight="1" x14ac:dyDescent="0.15">
      <c r="A593" s="3" t="s">
        <v>638</v>
      </c>
      <c r="B593" s="22">
        <v>23</v>
      </c>
      <c r="C593" s="22">
        <v>2</v>
      </c>
      <c r="D593" s="2" t="s">
        <v>432</v>
      </c>
      <c r="E593" s="22"/>
      <c r="F593" s="78">
        <v>2722</v>
      </c>
      <c r="G593" s="79" t="s">
        <v>97</v>
      </c>
      <c r="H593" s="18">
        <v>324257.96000000002</v>
      </c>
      <c r="I593" s="18"/>
      <c r="J593" s="18"/>
      <c r="K593" s="80">
        <f t="shared" si="48"/>
        <v>324257.96000000002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7086.43</v>
      </c>
      <c r="I595" s="18"/>
      <c r="J595" s="18"/>
      <c r="K595" s="80">
        <f t="shared" si="48"/>
        <v>7086.43</v>
      </c>
      <c r="L595" s="23" t="s">
        <v>288</v>
      </c>
      <c r="M595" s="8"/>
      <c r="N595" s="165"/>
    </row>
    <row r="596" spans="1:14" s="3" customFormat="1" ht="12.2" customHeight="1" x14ac:dyDescent="0.15">
      <c r="A596" s="103" t="s">
        <v>652</v>
      </c>
      <c r="B596" s="22">
        <v>23</v>
      </c>
      <c r="C596" s="22">
        <v>5</v>
      </c>
      <c r="D596" s="2" t="s">
        <v>432</v>
      </c>
      <c r="E596" s="22"/>
      <c r="F596" s="78">
        <v>2725</v>
      </c>
      <c r="G596" s="79" t="s">
        <v>97</v>
      </c>
      <c r="H596" s="18">
        <v>9046.7800000000007</v>
      </c>
      <c r="I596" s="18"/>
      <c r="J596" s="18"/>
      <c r="K596" s="80">
        <f t="shared" si="48"/>
        <v>9046.7800000000007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51.33</v>
      </c>
      <c r="I598" s="18"/>
      <c r="J598" s="18"/>
      <c r="K598" s="80">
        <f t="shared" si="48"/>
        <v>51.33</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1047563.6600000001</v>
      </c>
      <c r="I599" s="81">
        <f>SUM(I592:I598)</f>
        <v>0</v>
      </c>
      <c r="J599" s="81">
        <f>SUM(J592:J598)</f>
        <v>0</v>
      </c>
      <c r="K599" s="81">
        <f>SUM(K592:K598)</f>
        <v>1047563.6600000001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127105.68</v>
      </c>
      <c r="I605" s="18"/>
      <c r="J605" s="18"/>
      <c r="K605" s="80">
        <f>SUM(H605:J605)</f>
        <v>127105.68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127105.68</v>
      </c>
      <c r="I606" s="81">
        <f>SUM(I603:I605)</f>
        <v>0</v>
      </c>
      <c r="J606" s="81">
        <f>SUM(J603:J605)</f>
        <v>0</v>
      </c>
      <c r="K606" s="81">
        <f>SUM(K603:K605)</f>
        <v>127105.68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45000+35400+39600+2822.71-640</f>
        <v>122182.71</v>
      </c>
      <c r="G612" s="18">
        <v>9395.85</v>
      </c>
      <c r="H612" s="18">
        <v>640</v>
      </c>
      <c r="I612" s="18"/>
      <c r="J612" s="18"/>
      <c r="K612" s="18"/>
      <c r="L612" s="69">
        <f>SUM(F612:K612)</f>
        <v>132218.56</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122182.71</v>
      </c>
      <c r="G615" s="81">
        <f t="shared" si="49"/>
        <v>9395.85</v>
      </c>
      <c r="H615" s="81">
        <f t="shared" si="49"/>
        <v>640</v>
      </c>
      <c r="I615" s="81">
        <f t="shared" si="49"/>
        <v>0</v>
      </c>
      <c r="J615" s="81">
        <f t="shared" si="49"/>
        <v>0</v>
      </c>
      <c r="K615" s="81">
        <f t="shared" si="49"/>
        <v>0</v>
      </c>
      <c r="L615" s="70">
        <f t="shared" si="49"/>
        <v>132218.56</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842980</v>
      </c>
      <c r="H618" s="80">
        <f>SUM(F52)</f>
        <v>842980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156006</v>
      </c>
      <c r="H619" s="80">
        <f>SUM(G52)</f>
        <v>156005.94</v>
      </c>
      <c r="I619" s="87" t="s">
        <v>875</v>
      </c>
      <c r="J619" s="80">
        <f>G619-H619</f>
        <v>5.9999999997671694E-2</v>
      </c>
      <c r="K619" s="80"/>
      <c r="L619" s="80"/>
      <c r="M619" s="8"/>
    </row>
    <row r="620" spans="1:14" s="3" customFormat="1" ht="12.2" customHeight="1" x14ac:dyDescent="0.15">
      <c r="A620" s="74"/>
      <c r="B620" s="22"/>
      <c r="C620" s="22"/>
      <c r="D620" s="22"/>
      <c r="E620" s="22"/>
      <c r="F620" s="87" t="s">
        <v>685</v>
      </c>
      <c r="G620" s="80">
        <f>SUM(H19)</f>
        <v>96351</v>
      </c>
      <c r="H620" s="80">
        <f>SUM(H52)</f>
        <v>96351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175232.38</v>
      </c>
      <c r="H622" s="80">
        <f>SUM(J52)</f>
        <v>175232.38</v>
      </c>
      <c r="I622" s="87" t="s">
        <v>878</v>
      </c>
      <c r="J622" s="80">
        <f>G622-H622</f>
        <v>0</v>
      </c>
      <c r="K622" s="80"/>
      <c r="L622" s="80"/>
      <c r="M622" s="8"/>
    </row>
    <row r="623" spans="1:14" s="3" customFormat="1" ht="12.2" customHeight="1" x14ac:dyDescent="0.15">
      <c r="A623" s="74"/>
      <c r="B623" s="22"/>
      <c r="C623" s="22"/>
      <c r="D623" s="22"/>
      <c r="E623" s="22"/>
      <c r="F623" s="87" t="s">
        <v>864</v>
      </c>
      <c r="G623" s="80">
        <f>F51</f>
        <v>722851</v>
      </c>
      <c r="H623" s="80">
        <f>F477</f>
        <v>722850.99999999627</v>
      </c>
      <c r="I623" s="87" t="s">
        <v>101</v>
      </c>
      <c r="J623" s="80">
        <f t="shared" ref="J623:J656" si="50">G623-H623</f>
        <v>3.7252902984619141E-9</v>
      </c>
      <c r="K623" s="80"/>
      <c r="L623" s="80"/>
      <c r="M623" s="8"/>
    </row>
    <row r="624" spans="1:14" s="3" customFormat="1" ht="12.2" customHeight="1" x14ac:dyDescent="0.15">
      <c r="A624" s="74"/>
      <c r="B624" s="22"/>
      <c r="C624" s="85"/>
      <c r="D624" s="85"/>
      <c r="E624" s="85"/>
      <c r="F624" s="85" t="s">
        <v>865</v>
      </c>
      <c r="G624" s="80">
        <f>G51</f>
        <v>136657</v>
      </c>
      <c r="H624" s="80">
        <f>G477</f>
        <v>136657</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175232.38</v>
      </c>
      <c r="H627" s="80">
        <f>J477</f>
        <v>175232.37999999998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24752541</v>
      </c>
      <c r="H628" s="80">
        <f>SUM(F469)</f>
        <v>24752541</v>
      </c>
      <c r="I628" s="87" t="s">
        <v>106</v>
      </c>
      <c r="J628" s="80">
        <f>G628-H628</f>
        <v>0</v>
      </c>
      <c r="K628" s="67"/>
      <c r="L628" s="69"/>
      <c r="M628" s="8"/>
    </row>
    <row r="629" spans="1:13" s="3" customFormat="1" ht="12.2" customHeight="1" x14ac:dyDescent="0.15">
      <c r="A629" s="21"/>
      <c r="B629" s="22"/>
      <c r="C629" s="22"/>
      <c r="D629" s="22"/>
      <c r="E629" s="22"/>
      <c r="F629" s="86" t="s">
        <v>659</v>
      </c>
      <c r="G629" s="80">
        <f>G194</f>
        <v>472872</v>
      </c>
      <c r="H629" s="80">
        <f>SUM(G469)</f>
        <v>472872</v>
      </c>
      <c r="I629" s="87" t="s">
        <v>107</v>
      </c>
      <c r="J629" s="80">
        <f>G629-H629</f>
        <v>0</v>
      </c>
      <c r="K629" s="67"/>
      <c r="L629" s="69"/>
      <c r="M629" s="8"/>
    </row>
    <row r="630" spans="1:13" s="3" customFormat="1" ht="12.2" customHeight="1" x14ac:dyDescent="0.15">
      <c r="A630" s="21"/>
      <c r="B630" s="22"/>
      <c r="C630" s="22"/>
      <c r="D630" s="22"/>
      <c r="E630" s="22"/>
      <c r="F630" s="86" t="s">
        <v>660</v>
      </c>
      <c r="G630" s="80">
        <f>H194</f>
        <v>821738.7</v>
      </c>
      <c r="H630" s="80">
        <f>SUM(H469)</f>
        <v>821738.7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2262.77</v>
      </c>
      <c r="H632" s="80">
        <f>SUM(J469)</f>
        <v>2262.77</v>
      </c>
      <c r="I632" s="87" t="s">
        <v>110</v>
      </c>
      <c r="J632" s="80">
        <f>G632-H632</f>
        <v>0</v>
      </c>
      <c r="K632" s="67"/>
      <c r="L632" s="69"/>
      <c r="M632" s="8"/>
    </row>
    <row r="633" spans="1:13" s="3" customFormat="1" ht="12.2" customHeight="1" x14ac:dyDescent="0.15">
      <c r="A633" s="21"/>
      <c r="B633" s="22"/>
      <c r="C633" s="22"/>
      <c r="D633" s="22"/>
      <c r="E633" s="22"/>
      <c r="F633" s="86" t="s">
        <v>394</v>
      </c>
      <c r="G633" s="80">
        <f>SUM(L272)</f>
        <v>24780945.000000004</v>
      </c>
      <c r="H633" s="80">
        <f>SUM(F473)</f>
        <v>24780945.000000004</v>
      </c>
      <c r="I633" s="87" t="s">
        <v>111</v>
      </c>
      <c r="J633" s="80">
        <f t="shared" si="50"/>
        <v>0</v>
      </c>
      <c r="K633" s="67"/>
      <c r="L633" s="69"/>
      <c r="M633" s="8"/>
    </row>
    <row r="634" spans="1:13" s="3" customFormat="1" ht="12.2" customHeight="1" x14ac:dyDescent="0.15">
      <c r="A634" s="21"/>
      <c r="B634" s="22"/>
      <c r="C634" s="22"/>
      <c r="D634" s="22"/>
      <c r="E634" s="22"/>
      <c r="F634" s="86" t="s">
        <v>395</v>
      </c>
      <c r="G634" s="80">
        <f>SUM(L353)</f>
        <v>821738.7</v>
      </c>
      <c r="H634" s="80">
        <f>SUM(H473)</f>
        <v>821738.7</v>
      </c>
      <c r="I634" s="87" t="s">
        <v>112</v>
      </c>
      <c r="J634" s="80">
        <f>G634-H634</f>
        <v>0</v>
      </c>
      <c r="K634" s="67"/>
      <c r="L634" s="69"/>
      <c r="M634" s="8"/>
    </row>
    <row r="635" spans="1:13" s="124" customFormat="1" ht="12.2" customHeight="1" x14ac:dyDescent="0.15">
      <c r="A635" s="21"/>
      <c r="B635" s="22"/>
      <c r="C635" s="22"/>
      <c r="D635" s="22"/>
      <c r="E635" s="22"/>
      <c r="F635" s="99" t="s">
        <v>247</v>
      </c>
      <c r="G635" s="80">
        <f>I363</f>
        <v>255037.21</v>
      </c>
      <c r="H635" s="80">
        <f>I370</f>
        <v>255037.21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581505</v>
      </c>
      <c r="H636" s="80">
        <f>SUM(G473)</f>
        <v>581505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2262.77</v>
      </c>
      <c r="H638" s="108">
        <f>SUM(J469)</f>
        <v>2262.77</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175232.38</v>
      </c>
      <c r="H642" s="80">
        <f>SUM(H462)</f>
        <v>175232.38</v>
      </c>
      <c r="I642" s="87" t="s">
        <v>842</v>
      </c>
      <c r="J642" s="80">
        <f t="shared" si="50"/>
        <v>0</v>
      </c>
      <c r="K642" s="67"/>
      <c r="L642" s="69"/>
      <c r="M642" s="8"/>
    </row>
    <row r="643" spans="1:13" s="3" customFormat="1" ht="12.2" customHeight="1" x14ac:dyDescent="0.15">
      <c r="A643" s="21"/>
      <c r="B643" s="22"/>
      <c r="C643" s="22"/>
      <c r="D643" s="22"/>
      <c r="E643" s="22"/>
      <c r="F643" s="86" t="s">
        <v>121</v>
      </c>
      <c r="G643" s="80">
        <f>SUM(I447)</f>
        <v>175232.38</v>
      </c>
      <c r="H643" s="80">
        <f>SUM(I462)</f>
        <v>175232.38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2262.77</v>
      </c>
      <c r="H645" s="80">
        <f>H409</f>
        <v>2262.77</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2262.77</v>
      </c>
      <c r="H647" s="80">
        <f>L409</f>
        <v>2262.77</v>
      </c>
      <c r="I647" s="87" t="s">
        <v>477</v>
      </c>
      <c r="J647" s="80">
        <f t="shared" si="50"/>
        <v>0</v>
      </c>
      <c r="K647" s="67"/>
      <c r="L647" s="69"/>
      <c r="M647" s="8"/>
    </row>
    <row r="648" spans="1:13" s="3" customFormat="1" ht="12.2" customHeight="1" x14ac:dyDescent="0.15">
      <c r="A648" s="21"/>
      <c r="B648" s="22"/>
      <c r="C648" s="22"/>
      <c r="D648" s="22"/>
      <c r="E648" s="22"/>
      <c r="F648" s="86" t="s">
        <v>51</v>
      </c>
      <c r="G648" s="80">
        <f>K599</f>
        <v>1047563.6600000001</v>
      </c>
      <c r="H648" s="80">
        <f>L209+L227+L245</f>
        <v>1047563.66</v>
      </c>
      <c r="I648" s="87" t="s">
        <v>396</v>
      </c>
      <c r="J648" s="80">
        <f t="shared" si="50"/>
        <v>0</v>
      </c>
      <c r="K648" s="67"/>
      <c r="L648" s="69"/>
      <c r="M648" s="8"/>
    </row>
    <row r="649" spans="1:13" s="3" customFormat="1" ht="12.2" customHeight="1" x14ac:dyDescent="0.15">
      <c r="A649" s="21"/>
      <c r="B649" s="22"/>
      <c r="C649" s="22"/>
      <c r="D649" s="22"/>
      <c r="E649" s="22"/>
      <c r="F649" s="86" t="s">
        <v>52</v>
      </c>
      <c r="G649" s="80">
        <f>K606</f>
        <v>127105.68</v>
      </c>
      <c r="H649" s="80">
        <f>(J258+J339)-(J256+J337)</f>
        <v>127105.68000000001</v>
      </c>
      <c r="I649" s="87" t="s">
        <v>699</v>
      </c>
      <c r="J649" s="80">
        <f t="shared" si="50"/>
        <v>0</v>
      </c>
      <c r="K649" s="67"/>
      <c r="L649" s="69"/>
      <c r="M649" s="8"/>
    </row>
    <row r="650" spans="1:13" s="3" customFormat="1" ht="12.2" customHeight="1" x14ac:dyDescent="0.15">
      <c r="A650" s="21"/>
      <c r="B650" s="22"/>
      <c r="C650" s="22"/>
      <c r="D650" s="22"/>
      <c r="E650" s="22"/>
      <c r="F650" s="86" t="s">
        <v>387</v>
      </c>
      <c r="G650" s="80">
        <f>L209</f>
        <v>1047563.66</v>
      </c>
      <c r="H650" s="80">
        <f>H599</f>
        <v>1047563.6600000001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5.9999994933605194E-2</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24404733.700000003</v>
      </c>
      <c r="G661" s="13">
        <f>(L230+L310+L360)</f>
        <v>0</v>
      </c>
      <c r="H661" s="13">
        <f>(L248+L329+L361)</f>
        <v>0</v>
      </c>
      <c r="I661" s="13">
        <f>SUM(F661:H661)</f>
        <v>24404733.700000003</v>
      </c>
      <c r="J661" s="13"/>
      <c r="K661" s="13"/>
      <c r="L661" s="13"/>
      <c r="M661" s="9"/>
    </row>
    <row r="662" spans="1:13" s="3" customFormat="1" ht="12.2" customHeight="1" x14ac:dyDescent="0.2">
      <c r="A662" s="1" t="s">
        <v>127</v>
      </c>
      <c r="F662" s="13">
        <f>(L359/IF(SUM(L359:L361)=0,1,SUM(L359:L361))*(SUM(G97:G110)))</f>
        <v>294029</v>
      </c>
      <c r="G662" s="13">
        <f>(L360/IF(SUM(L359:L361)=0,1,SUM(L359:L361))*(SUM(G97:G110)))</f>
        <v>0</v>
      </c>
      <c r="H662" s="13">
        <f>(L361/IF(SUM(L359:L361)=0,1,SUM(L359:L361))*(SUM(G97:G110)))</f>
        <v>0</v>
      </c>
      <c r="I662" s="13">
        <f>SUM(F662:H662)</f>
        <v>294029</v>
      </c>
      <c r="J662"/>
      <c r="K662" s="13"/>
      <c r="L662" s="13"/>
      <c r="M662" s="8"/>
    </row>
    <row r="663" spans="1:13" s="3" customFormat="1" ht="12.2" customHeight="1" x14ac:dyDescent="0.2">
      <c r="A663" s="1" t="s">
        <v>128</v>
      </c>
      <c r="F663" s="13">
        <f>(L209+L288)-(J209+J288)</f>
        <v>1085228.78</v>
      </c>
      <c r="G663" s="13">
        <f>(L227+L307)-(J227+J307)</f>
        <v>0</v>
      </c>
      <c r="H663" s="13">
        <f>(L245+L326)-(J245+J326)</f>
        <v>0</v>
      </c>
      <c r="I663" s="13">
        <f>SUM(F663:H663)</f>
        <v>1085228.78</v>
      </c>
      <c r="J663"/>
      <c r="K663" s="13"/>
      <c r="L663" s="13"/>
      <c r="M663" s="9"/>
    </row>
    <row r="664" spans="1:13" s="3" customFormat="1" ht="12.2" customHeight="1" x14ac:dyDescent="0.15">
      <c r="A664" s="142" t="s">
        <v>129</v>
      </c>
      <c r="B664" s="124"/>
      <c r="C664" s="124"/>
      <c r="D664" s="124"/>
      <c r="E664" s="124"/>
      <c r="F664" s="143">
        <f>SUM(F576:F588)+SUM(H603:H605)+SUM(L612)</f>
        <v>1014789.8700000001</v>
      </c>
      <c r="G664" s="143">
        <f>SUM(G576:G588)+SUM(I603:I605)+L613</f>
        <v>0</v>
      </c>
      <c r="H664" s="143">
        <f>SUM(H576:H588)+SUM(J603:J605)+L614</f>
        <v>0</v>
      </c>
      <c r="I664" s="13">
        <f>SUM(F664:H664)</f>
        <v>1014789.8700000001</v>
      </c>
      <c r="J664" s="13"/>
      <c r="K664" s="13"/>
      <c r="L664" s="13"/>
      <c r="M664" s="9"/>
    </row>
    <row r="665" spans="1:13" s="3" customFormat="1" ht="12.2" customHeight="1" x14ac:dyDescent="0.15">
      <c r="A665" s="1" t="s">
        <v>130</v>
      </c>
      <c r="F665" s="13">
        <f>F661-SUM(F662:F664)</f>
        <v>22010686.050000004</v>
      </c>
      <c r="G665" s="13">
        <f>G661-SUM(G662:G664)</f>
        <v>0</v>
      </c>
      <c r="H665" s="13">
        <f>H661-SUM(H662:H664)</f>
        <v>0</v>
      </c>
      <c r="I665" s="13">
        <f>I661-SUM(I662:I664)</f>
        <v>22010686.050000004</v>
      </c>
      <c r="J665" s="13"/>
      <c r="K665" s="13"/>
      <c r="L665" s="13"/>
      <c r="M665" s="8"/>
    </row>
    <row r="666" spans="1:13" s="3" customFormat="1" ht="12.2" customHeight="1" x14ac:dyDescent="0.2">
      <c r="A666" s="1" t="s">
        <v>131</v>
      </c>
      <c r="F666" s="183">
        <v>939.31</v>
      </c>
      <c r="G666" s="184"/>
      <c r="H666" s="184"/>
      <c r="I666" s="13">
        <f>SUM(F666:H666)</f>
        <v>939.31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23432.82</v>
      </c>
      <c r="G668" s="13" t="e">
        <f>ROUND(G665/G666,2)</f>
        <v>#DIV/0!</v>
      </c>
      <c r="H668" s="13" t="e">
        <f>ROUND(H665/H666,2)</f>
        <v>#DIV/0!</v>
      </c>
      <c r="I668" s="13">
        <f>ROUND(I665/I666,2)</f>
        <v>23432.82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23432.82</v>
      </c>
      <c r="G673" s="13" t="e">
        <f>ROUND((G665+G670)/(G666+G671),2)</f>
        <v>#DIV/0!</v>
      </c>
      <c r="H673" s="13" t="e">
        <f>ROUND((H665+H670)/(H666+H671),2)</f>
        <v>#DIV/0!</v>
      </c>
      <c r="I673" s="13">
        <f>ROUND((I665+I670)/(I666+I671),2)</f>
        <v>23432.82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7" sqref="E27"/>
    </sheetView>
  </sheetViews>
  <sheetFormatPr defaultColWidth="9.1640625" defaultRowHeight="15" x14ac:dyDescent="0.25"/>
  <cols>
    <col min="1" max="2" width="9.1640625" style="259"/>
    <col min="3" max="3" width="154.5" style="259" customWidth="1"/>
    <col min="4" max="4" width="9.1640625" style="259"/>
    <col min="5" max="5" width="14.1640625" style="259" customWidth="1"/>
    <col min="6" max="6" width="13.1640625" style="259" customWidth="1"/>
    <col min="7" max="7" width="9.1640625" style="259"/>
    <col min="8" max="8" width="23.1640625" style="259" customWidth="1"/>
    <col min="9" max="9" width="14.1640625" style="259" customWidth="1"/>
    <col min="10" max="16384" width="9.16406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69492.3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34259.699999999997</v>
      </c>
      <c r="F9" s="272" t="s">
        <v>1627</v>
      </c>
    </row>
    <row r="10" spans="2:8" x14ac:dyDescent="0.25">
      <c r="B10" s="271"/>
      <c r="C10" s="271"/>
      <c r="D10" s="271"/>
      <c r="E10" s="271"/>
      <c r="F10" s="271"/>
    </row>
    <row r="11" spans="2:8" x14ac:dyDescent="0.25">
      <c r="B11" s="271"/>
      <c r="C11" s="275" t="s">
        <v>1631</v>
      </c>
      <c r="D11" s="272" t="s">
        <v>1634</v>
      </c>
      <c r="E11" s="260">
        <v>6606.95</v>
      </c>
      <c r="F11" s="272" t="s">
        <v>1628</v>
      </c>
    </row>
    <row r="12" spans="2:8" x14ac:dyDescent="0.25">
      <c r="B12" s="271"/>
      <c r="C12" s="271"/>
      <c r="D12" s="272"/>
      <c r="E12" s="271"/>
      <c r="F12" s="271"/>
    </row>
    <row r="13" spans="2:8" x14ac:dyDescent="0.25">
      <c r="B13" s="271"/>
      <c r="C13" s="272" t="s">
        <v>1621</v>
      </c>
      <c r="D13" s="272" t="s">
        <v>1635</v>
      </c>
      <c r="E13" s="260">
        <v>28625.65</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0</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Hampton</v>
      </c>
      <c r="C5" s="317"/>
      <c r="D5" s="317"/>
      <c r="E5" s="317"/>
      <c r="F5" s="317"/>
    </row>
    <row r="8" spans="1:9" ht="18" x14ac:dyDescent="0.25">
      <c r="A8" s="240" t="s">
        <v>1560</v>
      </c>
      <c r="F8" s="247" t="s">
        <v>1578</v>
      </c>
    </row>
    <row r="9" spans="1:9" ht="15" x14ac:dyDescent="0.2">
      <c r="A9" s="238" t="s">
        <v>1561</v>
      </c>
      <c r="B9" s="241">
        <f>'DOE25'!G97</f>
        <v>294029</v>
      </c>
      <c r="F9" s="238" t="s">
        <v>1574</v>
      </c>
    </row>
    <row r="10" spans="1:9" ht="15" x14ac:dyDescent="0.2">
      <c r="A10" s="238" t="s">
        <v>1562</v>
      </c>
      <c r="B10" s="241">
        <f>'DOE25'!G112-'DOE25'!G97</f>
        <v>0</v>
      </c>
      <c r="F10" s="238" t="s">
        <v>1575</v>
      </c>
    </row>
    <row r="11" spans="1:9" ht="15" x14ac:dyDescent="0.2">
      <c r="A11" s="238" t="s">
        <v>1563</v>
      </c>
      <c r="B11" s="241">
        <f>'DOE25'!G140</f>
        <v>18533</v>
      </c>
      <c r="F11" s="238" t="s">
        <v>1576</v>
      </c>
    </row>
    <row r="12" spans="1:9" ht="15" x14ac:dyDescent="0.2">
      <c r="A12" s="238" t="s">
        <v>1564</v>
      </c>
      <c r="B12" s="241">
        <f>'DOE25'!G170</f>
        <v>160310</v>
      </c>
      <c r="F12" s="238" t="s">
        <v>1577</v>
      </c>
    </row>
    <row r="13" spans="1:9" ht="15" x14ac:dyDescent="0.2">
      <c r="A13" s="238" t="s">
        <v>1565</v>
      </c>
      <c r="B13" s="241">
        <f>'DOE25'!G193-'DOE25'!G180</f>
        <v>0</v>
      </c>
      <c r="F13" s="238" t="s">
        <v>1587</v>
      </c>
    </row>
    <row r="14" spans="1:9" ht="18" x14ac:dyDescent="0.25">
      <c r="A14" s="240" t="s">
        <v>732</v>
      </c>
      <c r="B14" s="242">
        <f>SUM(B9:B13)</f>
        <v>472872</v>
      </c>
    </row>
    <row r="16" spans="1:9" ht="18" x14ac:dyDescent="0.25">
      <c r="A16" s="240" t="s">
        <v>786</v>
      </c>
      <c r="F16" s="247" t="s">
        <v>1579</v>
      </c>
    </row>
    <row r="17" spans="1:6" ht="15" x14ac:dyDescent="0.2">
      <c r="A17" s="238" t="s">
        <v>1566</v>
      </c>
      <c r="B17" s="241">
        <f>'DOE25'!L363-'DOE25'!L362</f>
        <v>581505</v>
      </c>
      <c r="F17" s="238" t="s">
        <v>1580</v>
      </c>
    </row>
    <row r="18" spans="1:6" ht="15" x14ac:dyDescent="0.2">
      <c r="A18" s="238" t="s">
        <v>1567</v>
      </c>
      <c r="B18" s="251"/>
      <c r="F18" s="247" t="s">
        <v>1604</v>
      </c>
    </row>
    <row r="19" spans="1:6" ht="18" x14ac:dyDescent="0.25">
      <c r="A19" s="240" t="s">
        <v>725</v>
      </c>
      <c r="B19" s="242">
        <f>SUM(B17:B18)</f>
        <v>581505</v>
      </c>
    </row>
    <row r="21" spans="1:6" ht="18.75" thickBot="1" x14ac:dyDescent="0.3">
      <c r="A21" s="240" t="s">
        <v>1568</v>
      </c>
    </row>
    <row r="22" spans="1:6" ht="18.75" thickTop="1" x14ac:dyDescent="0.25">
      <c r="A22" s="240" t="s">
        <v>1569</v>
      </c>
      <c r="B22" s="246">
        <f>B14-B19</f>
        <v>-108633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245290</v>
      </c>
      <c r="F31" s="238" t="s">
        <v>1584</v>
      </c>
    </row>
    <row r="33" spans="1:6" ht="15" x14ac:dyDescent="0.2">
      <c r="A33" s="238" t="s">
        <v>1798</v>
      </c>
      <c r="B33" s="241">
        <f>'DOE25'!G477</f>
        <v>136657</v>
      </c>
      <c r="F33" s="238" t="s">
        <v>1585</v>
      </c>
    </row>
    <row r="36" spans="1:6" ht="15" x14ac:dyDescent="0.2">
      <c r="A36" s="238" t="s">
        <v>1571</v>
      </c>
      <c r="B36" s="252">
        <v>35390</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12" sqref="A12"/>
    </sheetView>
  </sheetViews>
  <sheetFormatPr defaultColWidth="8.6640625" defaultRowHeight="11.25" x14ac:dyDescent="0.2"/>
  <cols>
    <col min="1" max="1" width="26.6640625" customWidth="1"/>
    <col min="2" max="2" width="33.6640625" customWidth="1"/>
    <col min="3" max="3" width="29.5" customWidth="1"/>
  </cols>
  <sheetData>
    <row r="1" spans="1:3" x14ac:dyDescent="0.2">
      <c r="A1" s="171" t="s">
        <v>781</v>
      </c>
      <c r="B1" s="170" t="str">
        <f>'DOE25'!A2</f>
        <v>Hampton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6489110</v>
      </c>
      <c r="C9" s="167">
        <f>'DOE25'!G198+'DOE25'!G216+'DOE25'!G234+'DOE25'!G277+'DOE25'!G296+'DOE25'!G315</f>
        <v>3079070.21</v>
      </c>
    </row>
    <row r="10" spans="1:3" x14ac:dyDescent="0.2">
      <c r="A10" t="s">
        <v>775</v>
      </c>
      <c r="B10" s="177">
        <v>6051845.8799999999</v>
      </c>
      <c r="C10" s="177">
        <f>C9*B10/B13</f>
        <v>2871589.2263529566</v>
      </c>
    </row>
    <row r="11" spans="1:3" x14ac:dyDescent="0.2">
      <c r="A11" t="s">
        <v>776</v>
      </c>
      <c r="B11" s="177">
        <v>153901.57</v>
      </c>
      <c r="C11" s="177">
        <f>C9*B11/B13</f>
        <v>73025.9988595092</v>
      </c>
    </row>
    <row r="12" spans="1:3" x14ac:dyDescent="0.2">
      <c r="A12" t="s">
        <v>777</v>
      </c>
      <c r="B12" s="177">
        <f>B9-B10-B11</f>
        <v>283362.5500000001</v>
      </c>
      <c r="C12" s="177">
        <f>C9*B12/B13</f>
        <v>134454.98478753417</v>
      </c>
    </row>
    <row r="13" spans="1:3" x14ac:dyDescent="0.2">
      <c r="A13" t="str">
        <f>IF(B9=B13,IF(C9=C13,"Check Total OK","Check Total Error"),"Check Total Error")</f>
        <v>Check Total OK</v>
      </c>
      <c r="B13" s="169">
        <f>SUM(B10:B12)</f>
        <v>6489110</v>
      </c>
      <c r="C13" s="169">
        <f>SUM(C10:C12)</f>
        <v>3079070.21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2388597.42</v>
      </c>
      <c r="C18" s="167">
        <f>'DOE25'!G199+'DOE25'!G217+'DOE25'!G235+'DOE25'!G278+'DOE25'!G297+'DOE25'!G316</f>
        <v>970361</v>
      </c>
    </row>
    <row r="19" spans="1:3" x14ac:dyDescent="0.2">
      <c r="A19" t="s">
        <v>775</v>
      </c>
      <c r="B19" s="177">
        <v>957118.78</v>
      </c>
      <c r="C19" s="177">
        <f>C18*B19/B22</f>
        <v>388826.81891181984</v>
      </c>
    </row>
    <row r="20" spans="1:3" x14ac:dyDescent="0.2">
      <c r="A20" t="s">
        <v>776</v>
      </c>
      <c r="B20" s="177">
        <v>876129.45</v>
      </c>
      <c r="C20" s="177">
        <f>C18*B20/B22</f>
        <v>355925.13083743094</v>
      </c>
    </row>
    <row r="21" spans="1:3" x14ac:dyDescent="0.2">
      <c r="A21" t="s">
        <v>777</v>
      </c>
      <c r="B21" s="177">
        <f>B18-B19-B20</f>
        <v>555349.18999999994</v>
      </c>
      <c r="C21" s="177">
        <f>C18*B21/B22</f>
        <v>225609.05025074925</v>
      </c>
    </row>
    <row r="22" spans="1:3" x14ac:dyDescent="0.2">
      <c r="A22" t="str">
        <f>IF(B18=B22,IF(C18=C22,"Check Total OK","Check Total Error"),"Check Total Error")</f>
        <v>Check Total OK</v>
      </c>
      <c r="B22" s="169">
        <f>SUM(B19:B21)</f>
        <v>2388597.42</v>
      </c>
      <c r="C22" s="169">
        <f>SUM(C19:C21)</f>
        <v>970361</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79063.3</v>
      </c>
      <c r="C36" s="173">
        <f>'DOE25'!G201+'DOE25'!G219+'DOE25'!G237+'DOE25'!G280+'DOE25'!G299+'DOE25'!G318</f>
        <v>20693.759999999998</v>
      </c>
    </row>
    <row r="37" spans="1:3" x14ac:dyDescent="0.2">
      <c r="A37" t="s">
        <v>775</v>
      </c>
      <c r="B37" s="177">
        <v>79063.3</v>
      </c>
      <c r="C37" s="177">
        <v>20693.759999999998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79063.3</v>
      </c>
      <c r="C40" s="169">
        <f>SUM(C37:C39)</f>
        <v>20693.759999999998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Hampton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14076480.490000002</v>
      </c>
      <c r="D5" s="19">
        <f>SUM('DOE25'!L198:L201)+SUM('DOE25'!L216:L219)+SUM('DOE25'!L234:L237)-F5-G5-H5</f>
        <v>14066368.110000001</v>
      </c>
      <c r="E5" s="180"/>
      <c r="F5" s="181"/>
      <c r="G5" s="19">
        <f>SUM('DOE25'!J198:J201)+SUM('DOE25'!J216:J219)+SUM('DOE25'!J234:J237)</f>
        <v>8682.380000000001</v>
      </c>
      <c r="H5" s="19">
        <f>SUM('DOE25'!K198:K201)+SUM('DOE25'!K216:K219)+SUM('DOE25'!K234:K237)</f>
        <v>1430</v>
      </c>
      <c r="I5" s="192"/>
    </row>
    <row r="6" spans="1:9" x14ac:dyDescent="0.2">
      <c r="A6" s="31">
        <v>2100</v>
      </c>
      <c r="B6" t="s">
        <v>796</v>
      </c>
      <c r="C6" s="206">
        <f t="shared" si="0"/>
        <v>1925485.9</v>
      </c>
      <c r="D6" s="19">
        <f>'DOE25'!L203+'DOE25'!L221+'DOE25'!L239-F6-G6-H6</f>
        <v>1925485.9</v>
      </c>
      <c r="E6" s="180"/>
      <c r="F6" s="181"/>
      <c r="G6" s="19">
        <f>'DOE25'!J203+'DOE25'!J221+'DOE25'!J239</f>
        <v>0</v>
      </c>
      <c r="H6" s="19">
        <f>'DOE25'!K203+'DOE25'!K221+'DOE25'!K239</f>
        <v>0</v>
      </c>
      <c r="I6" s="192"/>
    </row>
    <row r="7" spans="1:9" x14ac:dyDescent="0.2">
      <c r="A7" s="31">
        <v>2200</v>
      </c>
      <c r="B7" t="s">
        <v>820</v>
      </c>
      <c r="C7" s="206">
        <f t="shared" si="0"/>
        <v>1521726.6800000002</v>
      </c>
      <c r="D7" s="19">
        <f>'DOE25'!L204+'DOE25'!L222+'DOE25'!L240-F7-G7-H7</f>
        <v>1482333.06</v>
      </c>
      <c r="E7" s="180"/>
      <c r="F7" s="181"/>
      <c r="G7" s="19">
        <f>'DOE25'!J204+'DOE25'!J222+'DOE25'!J240</f>
        <v>38300.620000000003</v>
      </c>
      <c r="H7" s="19">
        <f>'DOE25'!K204+'DOE25'!K222+'DOE25'!K240</f>
        <v>1093</v>
      </c>
      <c r="I7" s="192"/>
    </row>
    <row r="8" spans="1:9" x14ac:dyDescent="0.2">
      <c r="A8" s="31">
        <v>2300</v>
      </c>
      <c r="B8" t="s">
        <v>797</v>
      </c>
      <c r="C8" s="206">
        <f t="shared" si="0"/>
        <v>791781.04000000015</v>
      </c>
      <c r="D8" s="180"/>
      <c r="E8" s="19">
        <f>'DOE25'!L205+'DOE25'!L223+'DOE25'!L241-F8-G8-H8-D9-D11</f>
        <v>764804.9800000001</v>
      </c>
      <c r="F8" s="181"/>
      <c r="G8" s="19">
        <f>'DOE25'!J205+'DOE25'!J223+'DOE25'!J241</f>
        <v>0</v>
      </c>
      <c r="H8" s="19">
        <f>'DOE25'!K205+'DOE25'!K223+'DOE25'!K241</f>
        <v>26976.06</v>
      </c>
      <c r="I8" s="192"/>
    </row>
    <row r="9" spans="1:9" ht="14.25" x14ac:dyDescent="0.2">
      <c r="A9" s="31">
        <v>2310</v>
      </c>
      <c r="B9" s="71" t="s">
        <v>887</v>
      </c>
      <c r="C9" s="206">
        <f t="shared" si="0"/>
        <v>74401.39</v>
      </c>
      <c r="D9" s="181">
        <v>74401.39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1420538.48</v>
      </c>
      <c r="D12" s="19">
        <f>'DOE25'!L206+'DOE25'!L224+'DOE25'!L242-F12-G12-H12</f>
        <v>1415649.48</v>
      </c>
      <c r="E12" s="180"/>
      <c r="F12" s="181"/>
      <c r="G12" s="19">
        <f>'DOE25'!J206+'DOE25'!J224+'DOE25'!J242</f>
        <v>0</v>
      </c>
      <c r="H12" s="19">
        <f>'DOE25'!K206+'DOE25'!K224+'DOE25'!K242</f>
        <v>4889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2143512.36</v>
      </c>
      <c r="D14" s="19">
        <f>'DOE25'!L208+'DOE25'!L226+'DOE25'!L244-F14-G14-H14</f>
        <v>2075288.0399999998</v>
      </c>
      <c r="E14" s="180"/>
      <c r="F14" s="181"/>
      <c r="G14" s="19">
        <f>'DOE25'!J208+'DOE25'!J226+'DOE25'!J244</f>
        <v>68224.320000000007</v>
      </c>
      <c r="H14" s="19">
        <f>'DOE25'!K208+'DOE25'!K226+'DOE25'!K244</f>
        <v>0</v>
      </c>
      <c r="I14" s="192"/>
    </row>
    <row r="15" spans="1:9" x14ac:dyDescent="0.2">
      <c r="A15" s="31">
        <v>2700</v>
      </c>
      <c r="B15" t="s">
        <v>799</v>
      </c>
      <c r="C15" s="206">
        <f t="shared" si="0"/>
        <v>1047563.66</v>
      </c>
      <c r="D15" s="19">
        <f>'DOE25'!L209+'DOE25'!L227+'DOE25'!L245-F15-G15-H15</f>
        <v>0</v>
      </c>
      <c r="E15" s="180"/>
      <c r="F15" s="181">
        <v>1047563.66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280995</v>
      </c>
      <c r="D22" s="180"/>
      <c r="E22" s="180"/>
      <c r="F22" s="180"/>
      <c r="G22" s="19">
        <f>'DOE25'!L256+'DOE25'!L337</f>
        <v>280995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1498460</v>
      </c>
      <c r="D25" s="180"/>
      <c r="E25" s="180"/>
      <c r="F25" s="191"/>
      <c r="G25" s="180"/>
      <c r="H25" s="180"/>
      <c r="I25" s="190">
        <f>'DOE25'!L261+'DOE25'!L262+'DOE25'!L342+'DOE25'!L343</f>
        <v>1498460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351959.82999999996</v>
      </c>
      <c r="D29" s="212">
        <f>'DOE25'!L359+'DOE25'!L360+'DOE25'!L361-'DOE25'!I368-F29-G29-H29-F39</f>
        <v>252963.13999999996</v>
      </c>
      <c r="E29" s="180"/>
      <c r="F29" s="180"/>
      <c r="G29" s="19">
        <f>'DOE25'!J359+'DOE25'!J360+'DOE25'!J361</f>
        <v>94365.39</v>
      </c>
      <c r="H29" s="19">
        <f>'DOE25'!K359+'DOE25'!K360+'DOE25'!K361</f>
        <v>4631.3</v>
      </c>
      <c r="I29" s="192"/>
    </row>
    <row r="30" spans="1:9" x14ac:dyDescent="0.2">
      <c r="A30" s="31"/>
      <c r="C30" s="207"/>
      <c r="D30" s="19"/>
      <c r="F30" s="201"/>
      <c r="G30" s="19"/>
      <c r="H30" s="19"/>
      <c r="I30" s="192"/>
    </row>
    <row r="31" spans="1:9" x14ac:dyDescent="0.2">
      <c r="A31" s="31" t="s">
        <v>817</v>
      </c>
      <c r="B31" t="s">
        <v>816</v>
      </c>
      <c r="C31" s="206">
        <f>SUM(D31:I31)</f>
        <v>821738.7</v>
      </c>
      <c r="D31" s="19">
        <f>'DOE25'!L291+'DOE25'!L310+'DOE25'!L329+'DOE25'!L334+'DOE25'!L335+'DOE25'!L336-F31-G31-H31</f>
        <v>808979.64</v>
      </c>
      <c r="E31" s="180"/>
      <c r="F31" s="181"/>
      <c r="G31" s="19">
        <f>'DOE25'!J291+'DOE25'!J310+'DOE25'!J329+'DOE25'!J334+'DOE25'!J335+'DOE25'!J336</f>
        <v>11898.36</v>
      </c>
      <c r="H31" s="19">
        <f>'DOE25'!K291+'DOE25'!K310+'DOE25'!K329+'DOE25'!K334+'DOE25'!K335+'DOE25'!K336</f>
        <v>860.7</v>
      </c>
      <c r="I31" s="192"/>
    </row>
    <row r="32" spans="1:9" ht="12" thickBot="1" x14ac:dyDescent="0.25">
      <c r="C32" s="207"/>
      <c r="G32" s="188"/>
      <c r="H32" s="188"/>
      <c r="I32" s="194"/>
    </row>
    <row r="33" spans="1:9" ht="12" thickTop="1" x14ac:dyDescent="0.2">
      <c r="B33" t="s">
        <v>809</v>
      </c>
      <c r="D33" s="182">
        <f t="shared" ref="D33:I33" si="1">SUM(D5:D31)</f>
        <v>22101468.760000002</v>
      </c>
      <c r="E33" s="182">
        <f t="shared" si="1"/>
        <v>764804.9800000001</v>
      </c>
      <c r="F33" s="182">
        <f t="shared" si="1"/>
        <v>1047563.66</v>
      </c>
      <c r="G33" s="182">
        <f t="shared" si="1"/>
        <v>502466.07</v>
      </c>
      <c r="H33" s="182">
        <f t="shared" si="1"/>
        <v>39880.06</v>
      </c>
      <c r="I33" s="182">
        <f t="shared" si="1"/>
        <v>1498460</v>
      </c>
    </row>
    <row r="34" spans="1:9" ht="12" thickBot="1" x14ac:dyDescent="0.25"/>
    <row r="35" spans="1:9" ht="12" thickBot="1" x14ac:dyDescent="0.25">
      <c r="B35" s="188" t="s">
        <v>830</v>
      </c>
      <c r="D35" s="189">
        <f>E33</f>
        <v>764804.9800000001</v>
      </c>
      <c r="E35" s="185"/>
      <c r="F35" s="295" t="s">
        <v>1608</v>
      </c>
      <c r="G35" s="296"/>
      <c r="H35" s="296"/>
      <c r="I35" s="297"/>
    </row>
    <row r="36" spans="1:9" ht="12" thickTop="1" x14ac:dyDescent="0.2">
      <c r="B36" t="s">
        <v>810</v>
      </c>
      <c r="D36" s="19">
        <f>D33</f>
        <v>22101468.760000002</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6" zoomScale="80" zoomScaleNormal="80" workbookViewId="0">
      <selection activeCell="I4" sqref="I4"/>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24.1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Hampton</v>
      </c>
      <c r="B2">
        <f>'DOE25'!B2</f>
        <v>225</v>
      </c>
      <c r="J2" s="224" t="s">
        <v>1808</v>
      </c>
      <c r="K2" s="309">
        <f>SUM('DOE25'!L198:L201)+SUM('DOE25'!L216:L219)+SUM('DOE25'!L234:L237)+SUM('DOE25'!L277:L280)+SUM('DOE25'!L296:L299)+SUM('DOE25'!L315:L318)</f>
        <v>14617403.080000002</v>
      </c>
      <c r="L2" s="309">
        <f>'DOE25'!L203+'DOE25'!L221+'DOE25'!L239+'DOE25'!L282+'DOE25'!L301+'DOE25'!L320</f>
        <v>1940613.21</v>
      </c>
      <c r="M2" s="309">
        <f>'DOE25'!L204+'DOE25'!L222+'DOE25'!L240+'DOE25'!L283+'DOE25'!L302+'DOE25'!L321</f>
        <v>1746169.6600000001</v>
      </c>
      <c r="N2" s="309">
        <f>'DOE25'!L206+'DOE25'!L224+'DOE25'!L242+'DOE25'!L285+'DOE25'!L304+'DOE25'!L323</f>
        <v>1420538.48</v>
      </c>
      <c r="O2" s="309">
        <f>'Salaries-Benefits'!B10+'Salaries-Benefits'!B12+'Salaries-Benefits'!B19+'Salaries-Benefits'!B21+'Salaries-Benefits'!B28+'Salaries-Benefits'!B30+'Salaries-Benefits'!B37+'Salaries-Benefits'!B39</f>
        <v>7926739.7000000002</v>
      </c>
      <c r="P2" s="309">
        <f>'Salaries-Benefits'!B11+'Salaries-Benefits'!B20+'Salaries-Benefits'!B29+'Salaries-Benefits'!B38</f>
        <v>1030031.02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23823228.696000002</v>
      </c>
      <c r="G4" s="229">
        <f>'DOE25'!L212+'DOE25'!L291</f>
        <v>23823228.700000003</v>
      </c>
      <c r="H4" s="264">
        <f>F4-G4</f>
        <v>-4.0000006556510925E-3</v>
      </c>
      <c r="I4" s="313" t="str">
        <f>IF(H4=0,"","ISSUES!! Please review pages 7 and 11 totals in comparison with total on this page")</f>
        <v>ISSUES!! Please review pages 7 and 11 totals in comparison with total on this page</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v>16343.75</v>
      </c>
      <c r="F5" s="232">
        <f>D5+E5</f>
        <v>16343.75</v>
      </c>
      <c r="G5" s="223"/>
      <c r="H5" s="223"/>
      <c r="J5" s="223"/>
      <c r="K5" s="223"/>
      <c r="L5" s="223"/>
      <c r="M5" s="223"/>
      <c r="N5" s="223"/>
      <c r="O5" s="223"/>
      <c r="P5" s="223"/>
      <c r="Q5" s="223"/>
    </row>
    <row r="6" spans="1:21" x14ac:dyDescent="0.2">
      <c r="A6" t="str" cm="1">
        <f t="array" ref="A6">IFERROR(INDEX('School Tables'!$A$4:$G$325,'School Tables'!$J4,3),"")</f>
        <v>Adeline C. Marston School</v>
      </c>
      <c r="B6" s="230">
        <f>IFERROR(VLOOKUP(A6,'School Tables'!$C$3:$D$365,2,FALSE),"")</f>
        <v>20795</v>
      </c>
      <c r="C6" s="223" t="str">
        <f>IFERROR(INDEX('School Tables'!$B$3:$B$365,MATCH('School Level Expenditures'!B6,'School Tables'!$D$3:$D$365,0)),"")</f>
        <v>Hampton</v>
      </c>
      <c r="D6" s="220">
        <f>4364224.45+2272685.91+270829.81</f>
        <v>6907740.1699999999</v>
      </c>
      <c r="E6" s="220">
        <f>99046.49+209985.37</f>
        <v>309031.86</v>
      </c>
      <c r="F6" s="232">
        <f t="shared" ref="F6:F20" si="1">D6+E6</f>
        <v>7216772.0300000003</v>
      </c>
      <c r="G6" s="223"/>
      <c r="H6" s="223"/>
      <c r="J6" t="str">
        <f>A6</f>
        <v>Adeline C. Marston School</v>
      </c>
      <c r="K6" s="20">
        <v>4577085.37</v>
      </c>
      <c r="L6" s="20">
        <f>220803.36+186337.81+201131.08+68792.34</f>
        <v>677064.59</v>
      </c>
      <c r="M6" s="308">
        <f>182231.12+320985.01+110196.87-20549.93</f>
        <v>592863.06999999995</v>
      </c>
      <c r="N6" s="20">
        <f>304932.89+1147.91+162209.83</f>
        <v>468290.63</v>
      </c>
      <c r="O6" s="20">
        <f>2159434.58+33933.68+29958.66+104071.5+91112.04+35400</f>
        <v>2453910.4600000004</v>
      </c>
      <c r="P6" s="20">
        <f>155331.94+58691.75</f>
        <v>214023.69</v>
      </c>
      <c r="Q6" s="20"/>
    </row>
    <row r="7" spans="1:21" x14ac:dyDescent="0.2">
      <c r="A7" t="str" cm="1">
        <f t="array" ref="A7">IFERROR(INDEX('School Tables'!$A$4:$G$325,'School Tables'!$J5,3),"")</f>
        <v xml:space="preserve">Hampton Academy </v>
      </c>
      <c r="B7" s="230">
        <f>IFERROR(VLOOKUP(A7,'School Tables'!$C$3:$D$365,2,FALSE),"")</f>
        <v>20790</v>
      </c>
      <c r="C7" s="223" t="str">
        <f>IFERROR(INDEX('School Tables'!$B$3:$B$365,MATCH('School Level Expenditures'!B7,'School Tables'!$D$3:$D$365,0)),"")</f>
        <v>Hampton</v>
      </c>
      <c r="D7" s="220">
        <f>6865382.636+2272685.91</f>
        <v>9138068.5460000001</v>
      </c>
      <c r="E7" s="220">
        <f>32191.17+209985.38</f>
        <v>242176.55</v>
      </c>
      <c r="F7" s="232">
        <f t="shared" si="1"/>
        <v>9380245.0960000008</v>
      </c>
      <c r="G7" s="223"/>
      <c r="H7" s="223"/>
      <c r="J7" t="str">
        <f t="shared" ref="J7:J20" si="2">A7</f>
        <v xml:space="preserve">Hampton Academy </v>
      </c>
      <c r="K7" s="20">
        <v>5417331.5499999998</v>
      </c>
      <c r="L7" s="20">
        <f>215880.91+186337.81+201131.08+68792.34</f>
        <v>672142.1399999999</v>
      </c>
      <c r="M7" s="308">
        <f>127542.5+320985.01+110196.87</f>
        <v>558724.38</v>
      </c>
      <c r="N7" s="20">
        <f>314516.49+162209.83</f>
        <v>476726.31999999995</v>
      </c>
      <c r="O7" s="20">
        <f>2667278.72+7715+104071.5+33933.83+29958.66+91209.19-11155.96</f>
        <v>2923010.9400000004</v>
      </c>
      <c r="P7" s="20">
        <f>314955.38+58691.56</f>
        <v>373646.94</v>
      </c>
      <c r="Q7" s="20"/>
    </row>
    <row r="8" spans="1:21" x14ac:dyDescent="0.2">
      <c r="A8" t="str" cm="1">
        <f t="array" ref="A8">IFERROR(INDEX('School Tables'!$A$4:$G$325,'School Tables'!$J6,3),"")</f>
        <v>Hampton Centre School</v>
      </c>
      <c r="B8" s="230">
        <f>IFERROR(VLOOKUP(A8,'School Tables'!$C$3:$D$365,2,FALSE),"")</f>
        <v>20770</v>
      </c>
      <c r="C8" s="223" t="str">
        <f>IFERROR(INDEX('School Tables'!$B$3:$B$365,MATCH('School Level Expenditures'!B8,'School Tables'!$D$3:$D$365,0)),"")</f>
        <v>Hampton</v>
      </c>
      <c r="D8" s="220">
        <f>4682995.37+2272685.91</f>
        <v>6955681.2800000003</v>
      </c>
      <c r="E8" s="220">
        <f>29301.74+209985.38+14899.42</f>
        <v>254186.54</v>
      </c>
      <c r="F8" s="232">
        <f t="shared" si="1"/>
        <v>7209867.8200000003</v>
      </c>
      <c r="G8" s="223"/>
      <c r="H8" s="223"/>
      <c r="J8" t="str">
        <f t="shared" si="2"/>
        <v>Hampton Centre School</v>
      </c>
      <c r="K8" s="20">
        <v>4622986.16</v>
      </c>
      <c r="L8" s="20">
        <f>316145.25+186337.81+20131.08+68792.34</f>
        <v>591406.48</v>
      </c>
      <c r="M8" s="308">
        <f>163400.33+320985.01+110196.87</f>
        <v>594582.21</v>
      </c>
      <c r="N8" s="20">
        <f>313311.68+162209.85</f>
        <v>475521.53</v>
      </c>
      <c r="O8" s="20">
        <f>2180266+7805+104071.5+33933.83+29958.66+62884.77+46298.54+39600+45000</f>
        <v>2549818.3000000003</v>
      </c>
      <c r="P8" s="20">
        <f>383668.64+58691.75</f>
        <v>442360.39</v>
      </c>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23001489.995999999</v>
      </c>
      <c r="E21" s="262">
        <f>SUM(E5:E20)</f>
        <v>821738.7</v>
      </c>
      <c r="F21" s="217"/>
      <c r="G21" s="217"/>
      <c r="H21" s="217"/>
      <c r="K21" s="263">
        <f t="shared" ref="K21:Q21" si="3">SUM(K5:K20)</f>
        <v>14617403.08</v>
      </c>
      <c r="L21" s="263">
        <f t="shared" si="3"/>
        <v>1940613.21</v>
      </c>
      <c r="M21" s="263">
        <f t="shared" si="3"/>
        <v>1746169.66</v>
      </c>
      <c r="N21" s="263">
        <f t="shared" si="3"/>
        <v>1420538.48</v>
      </c>
      <c r="O21" s="263">
        <f t="shared" si="3"/>
        <v>7926739.7000000011</v>
      </c>
      <c r="P21" s="263">
        <f t="shared" si="3"/>
        <v>1030031.02</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paperSize="3"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703506</v>
      </c>
      <c r="D8" s="73">
        <f>'DOE25'!G9</f>
        <v>0</v>
      </c>
      <c r="E8" s="73">
        <f>'DOE25'!H9</f>
        <v>0</v>
      </c>
      <c r="F8" s="73">
        <f>'DOE25'!I9</f>
        <v>0</v>
      </c>
      <c r="G8" s="73">
        <f>'DOE25'!J9</f>
        <v>0</v>
      </c>
      <c r="H8" s="13">
        <f>SUM(C8:G8)</f>
        <v>703506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138141</v>
      </c>
      <c r="D11" s="73">
        <f>'DOE25'!G12</f>
        <v>123494</v>
      </c>
      <c r="E11" s="73">
        <f>'DOE25'!H12</f>
        <v>96351</v>
      </c>
      <c r="F11" s="73">
        <f>'DOE25'!I12</f>
        <v>0</v>
      </c>
      <c r="G11" s="73">
        <f>'DOE25'!J12</f>
        <v>175232.38</v>
      </c>
      <c r="H11" s="13">
        <f t="shared" si="0"/>
        <v>533218.38</v>
      </c>
      <c r="I11" s="90"/>
    </row>
    <row r="12" spans="1:9" x14ac:dyDescent="0.2">
      <c r="A12" s="1" t="s">
        <v>143</v>
      </c>
      <c r="B12" s="6">
        <v>140</v>
      </c>
      <c r="C12" s="73">
        <f>'DOE25'!F13</f>
        <v>1333</v>
      </c>
      <c r="D12" s="73">
        <f>'DOE25'!G13</f>
        <v>32512</v>
      </c>
      <c r="E12" s="73">
        <f>'DOE25'!H13</f>
        <v>0</v>
      </c>
      <c r="F12" s="73">
        <f>'DOE25'!I13</f>
        <v>0</v>
      </c>
      <c r="G12" s="73">
        <f>'DOE25'!J13</f>
        <v>0</v>
      </c>
      <c r="H12" s="13">
        <f t="shared" si="0"/>
        <v>33845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842980</v>
      </c>
      <c r="D18" s="38">
        <f>SUM(D8:D17)</f>
        <v>156006</v>
      </c>
      <c r="E18" s="38">
        <f>SUM(E8:E17)</f>
        <v>96351</v>
      </c>
      <c r="F18" s="38">
        <f>SUM(F8:F17)</f>
        <v>0</v>
      </c>
      <c r="G18" s="38">
        <f>SUM(G8:G17)</f>
        <v>175232.38</v>
      </c>
      <c r="H18" s="38">
        <f t="shared" si="0"/>
        <v>1270569.3799999999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41790</v>
      </c>
      <c r="D21" s="73">
        <f>'DOE25'!G22</f>
        <v>0</v>
      </c>
      <c r="E21" s="73">
        <f>'DOE25'!H22</f>
        <v>96351</v>
      </c>
      <c r="F21" s="73">
        <f>'DOE25'!I22</f>
        <v>0</v>
      </c>
      <c r="G21" s="73">
        <f>'DOE25'!J22</f>
        <v>0</v>
      </c>
      <c r="H21" s="13">
        <f t="shared" ref="H21:H31" si="1">SUM(C21:G21)</f>
        <v>138141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6518</v>
      </c>
      <c r="D23" s="73">
        <f>'DOE25'!G24</f>
        <v>0</v>
      </c>
      <c r="E23" s="73">
        <f>'DOE25'!H24</f>
        <v>0</v>
      </c>
      <c r="F23" s="73">
        <f>'DOE25'!I24</f>
        <v>0</v>
      </c>
      <c r="G23" s="73">
        <f>'DOE25'!J24</f>
        <v>0</v>
      </c>
      <c r="H23" s="13">
        <f t="shared" si="1"/>
        <v>6518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71821</v>
      </c>
      <c r="D27" s="73">
        <f>'DOE25'!G28</f>
        <v>0</v>
      </c>
      <c r="E27" s="73">
        <f>'DOE25'!H28</f>
        <v>0</v>
      </c>
      <c r="F27" s="73">
        <f>'DOE25'!I28</f>
        <v>0</v>
      </c>
      <c r="G27" s="23" t="s">
        <v>288</v>
      </c>
      <c r="H27" s="13">
        <f t="shared" si="1"/>
        <v>71821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19348.939999999999</v>
      </c>
      <c r="E29" s="73">
        <f>'DOE25'!H30</f>
        <v>0</v>
      </c>
      <c r="F29" s="73">
        <f>'DOE25'!I30</f>
        <v>0</v>
      </c>
      <c r="G29" s="23" t="s">
        <v>288</v>
      </c>
      <c r="H29" s="13">
        <f t="shared" si="1"/>
        <v>19348.939999999999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120129</v>
      </c>
      <c r="D31" s="38">
        <f>SUM(D21:D30)</f>
        <v>19348.939999999999</v>
      </c>
      <c r="E31" s="38">
        <f>SUM(E21:E30)</f>
        <v>96351</v>
      </c>
      <c r="F31" s="38">
        <f>SUM(F21:F30)</f>
        <v>0</v>
      </c>
      <c r="G31" s="38">
        <f>SUM(G21:G30)</f>
        <v>0</v>
      </c>
      <c r="H31" s="38">
        <f t="shared" si="1"/>
        <v>235828.94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136657</v>
      </c>
      <c r="E39" s="23" t="s">
        <v>288</v>
      </c>
      <c r="F39" s="23" t="s">
        <v>288</v>
      </c>
      <c r="G39" s="23" t="s">
        <v>288</v>
      </c>
      <c r="H39" s="13">
        <f t="shared" si="2"/>
        <v>136657</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294005</v>
      </c>
      <c r="D42" s="73">
        <f>'DOE25'!G43</f>
        <v>0</v>
      </c>
      <c r="E42" s="73">
        <f>'DOE25'!H43</f>
        <v>0</v>
      </c>
      <c r="F42" s="73">
        <f>'DOE25'!I43</f>
        <v>0</v>
      </c>
      <c r="G42" s="73">
        <f>'DOE25'!J43</f>
        <v>0</v>
      </c>
      <c r="H42" s="13">
        <f t="shared" si="2"/>
        <v>294005</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293705</v>
      </c>
      <c r="D45" s="23" t="s">
        <v>288</v>
      </c>
      <c r="E45" s="23" t="s">
        <v>288</v>
      </c>
      <c r="F45" s="23" t="s">
        <v>288</v>
      </c>
      <c r="G45" s="23" t="s">
        <v>288</v>
      </c>
      <c r="H45" s="13">
        <f t="shared" si="2"/>
        <v>293705</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175232.38</v>
      </c>
      <c r="H47" s="13">
        <f t="shared" si="2"/>
        <v>175232.38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135141</v>
      </c>
      <c r="D49" s="23" t="s">
        <v>288</v>
      </c>
      <c r="E49" s="23" t="s">
        <v>288</v>
      </c>
      <c r="F49" s="23" t="s">
        <v>288</v>
      </c>
      <c r="G49" s="23" t="s">
        <v>288</v>
      </c>
      <c r="H49" s="13">
        <f t="shared" si="2"/>
        <v>135141</v>
      </c>
      <c r="I49" s="90"/>
    </row>
    <row r="50" spans="1:9" ht="12.75" thickTop="1" thickBot="1" x14ac:dyDescent="0.25">
      <c r="A50" s="35" t="s">
        <v>883</v>
      </c>
      <c r="B50" s="44"/>
      <c r="C50" s="38">
        <f>SUM(C34:C49)</f>
        <v>722851</v>
      </c>
      <c r="D50" s="38">
        <f>SUM(D34:D49)</f>
        <v>136657</v>
      </c>
      <c r="E50" s="38">
        <f>SUM(E34:E49)</f>
        <v>0</v>
      </c>
      <c r="F50" s="38">
        <f>SUM(F34:F49)</f>
        <v>0</v>
      </c>
      <c r="G50" s="38">
        <f>SUM(G34:G49)</f>
        <v>175232.38</v>
      </c>
      <c r="H50" s="38">
        <f t="shared" si="2"/>
        <v>1034740.38</v>
      </c>
      <c r="I50" s="90"/>
    </row>
    <row r="51" spans="1:9" ht="12" thickTop="1" x14ac:dyDescent="0.2">
      <c r="A51" s="35" t="s">
        <v>884</v>
      </c>
      <c r="B51" s="2"/>
      <c r="C51" s="38">
        <f>C50+C31</f>
        <v>842980</v>
      </c>
      <c r="D51" s="38">
        <f>D50+D31</f>
        <v>156005.94</v>
      </c>
      <c r="E51" s="38">
        <f>E50+E31</f>
        <v>96351</v>
      </c>
      <c r="F51" s="38">
        <f>F50+F31</f>
        <v>0</v>
      </c>
      <c r="G51" s="38">
        <f>G50+G31</f>
        <v>175232.38</v>
      </c>
      <c r="H51" s="38">
        <f t="shared" si="2"/>
        <v>1270569.3199999998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19573978</v>
      </c>
      <c r="D56" s="73">
        <f>'DOE25'!G60</f>
        <v>0</v>
      </c>
      <c r="E56" s="73">
        <f>'DOE25'!H60</f>
        <v>0</v>
      </c>
      <c r="F56" s="73">
        <f>'DOE25'!I60</f>
        <v>0</v>
      </c>
      <c r="G56" s="73">
        <f>'DOE25'!J60</f>
        <v>0</v>
      </c>
      <c r="H56" s="13">
        <f t="shared" ref="H56:H63" si="3">SUM(C56:G56)</f>
        <v>19573978</v>
      </c>
      <c r="I56"/>
    </row>
    <row r="57" spans="1:9" x14ac:dyDescent="0.2">
      <c r="A57" s="1" t="s">
        <v>164</v>
      </c>
      <c r="B57" s="6" t="s">
        <v>165</v>
      </c>
      <c r="C57" s="73">
        <f>'DOE25'!F79</f>
        <v>13598</v>
      </c>
      <c r="D57" s="23" t="s">
        <v>288</v>
      </c>
      <c r="E57" s="73">
        <f>'DOE25'!H79</f>
        <v>0</v>
      </c>
      <c r="F57" s="23" t="s">
        <v>288</v>
      </c>
      <c r="G57" s="23" t="s">
        <v>288</v>
      </c>
      <c r="H57" s="13">
        <f t="shared" si="3"/>
        <v>13598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47914</v>
      </c>
      <c r="D59" s="73">
        <f>'DOE25'!G96</f>
        <v>0</v>
      </c>
      <c r="E59" s="73">
        <f>'DOE25'!H96</f>
        <v>0</v>
      </c>
      <c r="F59" s="73">
        <f>'DOE25'!I96</f>
        <v>0</v>
      </c>
      <c r="G59" s="73">
        <f>'DOE25'!J96</f>
        <v>2262.77</v>
      </c>
      <c r="H59" s="13">
        <f t="shared" si="3"/>
        <v>50176.77</v>
      </c>
      <c r="I59"/>
    </row>
    <row r="60" spans="1:9" x14ac:dyDescent="0.2">
      <c r="A60" s="1" t="s">
        <v>170</v>
      </c>
      <c r="B60" s="22" t="s">
        <v>171</v>
      </c>
      <c r="C60" s="23" t="s">
        <v>288</v>
      </c>
      <c r="D60" s="73">
        <f>'DOE25'!G97</f>
        <v>294029</v>
      </c>
      <c r="E60" s="23" t="s">
        <v>288</v>
      </c>
      <c r="F60" s="23" t="s">
        <v>288</v>
      </c>
      <c r="G60" s="23" t="s">
        <v>288</v>
      </c>
      <c r="H60" s="13">
        <f t="shared" si="3"/>
        <v>294029</v>
      </c>
      <c r="I60"/>
    </row>
    <row r="61" spans="1:9" ht="12" thickBot="1" x14ac:dyDescent="0.25">
      <c r="A61" s="1" t="s">
        <v>172</v>
      </c>
      <c r="B61" s="22" t="s">
        <v>173</v>
      </c>
      <c r="C61" s="73">
        <f>SUM('DOE25'!F98:F110)</f>
        <v>178090</v>
      </c>
      <c r="D61" s="73">
        <f>SUM('DOE25'!G98:G110)</f>
        <v>0</v>
      </c>
      <c r="E61" s="73">
        <f>SUM('DOE25'!H98:H110)</f>
        <v>0</v>
      </c>
      <c r="F61" s="73">
        <f>SUM('DOE25'!I98:I110)</f>
        <v>0</v>
      </c>
      <c r="G61" s="73">
        <f>SUM('DOE25'!J98:J110)</f>
        <v>0</v>
      </c>
      <c r="H61" s="13">
        <f t="shared" si="3"/>
        <v>178090</v>
      </c>
      <c r="I61"/>
    </row>
    <row r="62" spans="1:9" ht="12.75" thickTop="1" thickBot="1" x14ac:dyDescent="0.25">
      <c r="A62" s="28" t="s">
        <v>174</v>
      </c>
      <c r="B62" s="6"/>
      <c r="C62" s="93">
        <f>SUM(C57:C61)</f>
        <v>239602</v>
      </c>
      <c r="D62" s="93">
        <f>SUM(D57:D61)</f>
        <v>294029</v>
      </c>
      <c r="E62" s="93">
        <f>SUM(E57:E61)</f>
        <v>0</v>
      </c>
      <c r="F62" s="93">
        <f>SUM(F57:F61)</f>
        <v>0</v>
      </c>
      <c r="G62" s="93">
        <f>SUM(G57:G61)</f>
        <v>2262.77</v>
      </c>
      <c r="H62" s="13">
        <f t="shared" si="3"/>
        <v>535893.77</v>
      </c>
      <c r="I62"/>
    </row>
    <row r="63" spans="1:9" ht="12" thickTop="1" x14ac:dyDescent="0.2">
      <c r="A63" s="28" t="s">
        <v>175</v>
      </c>
      <c r="B63" s="6"/>
      <c r="C63" s="21">
        <f>C56+C62</f>
        <v>19813580</v>
      </c>
      <c r="D63" s="21">
        <f>D56+D62</f>
        <v>294029</v>
      </c>
      <c r="E63" s="21">
        <f>E56+E62</f>
        <v>0</v>
      </c>
      <c r="F63" s="21">
        <f>F56+F62</f>
        <v>0</v>
      </c>
      <c r="G63" s="21">
        <f>G56+G62</f>
        <v>2262.77</v>
      </c>
      <c r="H63" s="13">
        <f t="shared" si="3"/>
        <v>20109871.77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1293527</v>
      </c>
      <c r="D66" s="23" t="s">
        <v>288</v>
      </c>
      <c r="E66" s="23" t="s">
        <v>288</v>
      </c>
      <c r="F66" s="23" t="s">
        <v>288</v>
      </c>
      <c r="G66" s="23" t="s">
        <v>288</v>
      </c>
      <c r="H66" s="13">
        <f t="shared" ref="H66:H81" si="4">SUM(C66:G66)</f>
        <v>1293527</v>
      </c>
      <c r="I66"/>
    </row>
    <row r="67" spans="1:9" x14ac:dyDescent="0.2">
      <c r="A67" s="1" t="s">
        <v>770</v>
      </c>
      <c r="B67" s="6">
        <v>3112</v>
      </c>
      <c r="C67" s="73">
        <f>'DOE25'!F118</f>
        <v>3323544</v>
      </c>
      <c r="D67" s="23"/>
      <c r="E67" s="23"/>
      <c r="F67" s="23"/>
      <c r="G67" s="23"/>
      <c r="H67" s="13">
        <f t="shared" si="4"/>
        <v>3323544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1493</v>
      </c>
      <c r="D69" s="73">
        <f>'DOE25'!G120</f>
        <v>0</v>
      </c>
      <c r="E69" s="73">
        <f>'DOE25'!H120</f>
        <v>0</v>
      </c>
      <c r="F69" s="73">
        <f>'DOE25'!I120</f>
        <v>0</v>
      </c>
      <c r="G69" s="73">
        <f>'DOE25'!J120</f>
        <v>0</v>
      </c>
      <c r="H69" s="13">
        <f t="shared" si="4"/>
        <v>1493</v>
      </c>
      <c r="I69"/>
    </row>
    <row r="70" spans="1:9" ht="12" thickTop="1" x14ac:dyDescent="0.2">
      <c r="A70" s="28" t="s">
        <v>252</v>
      </c>
      <c r="B70" s="2"/>
      <c r="C70" s="97">
        <f>SUM(C66:C69)</f>
        <v>4618564</v>
      </c>
      <c r="D70" s="97">
        <f>D69</f>
        <v>0</v>
      </c>
      <c r="E70" s="97">
        <f>E69</f>
        <v>0</v>
      </c>
      <c r="F70" s="97">
        <f>F69</f>
        <v>0</v>
      </c>
      <c r="G70" s="97">
        <f>G69</f>
        <v>0</v>
      </c>
      <c r="H70" s="13">
        <f t="shared" si="4"/>
        <v>4618564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236431</v>
      </c>
      <c r="D75" s="23" t="s">
        <v>288</v>
      </c>
      <c r="E75" s="23" t="s">
        <v>288</v>
      </c>
      <c r="F75" s="23" t="s">
        <v>288</v>
      </c>
      <c r="G75" s="23" t="s">
        <v>288</v>
      </c>
      <c r="H75" s="13">
        <f t="shared" si="4"/>
        <v>236431</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18533</v>
      </c>
      <c r="E77" s="73">
        <f>SUM('DOE25'!H131:H135)</f>
        <v>0</v>
      </c>
      <c r="F77" s="73">
        <f>SUM('DOE25'!I131:I135)</f>
        <v>0</v>
      </c>
      <c r="G77" s="73">
        <f>SUM('DOE25'!J131:J135)</f>
        <v>0</v>
      </c>
      <c r="H77" s="13">
        <f t="shared" si="4"/>
        <v>18533</v>
      </c>
      <c r="I77"/>
    </row>
    <row r="78" spans="1:9" ht="12.75" thickTop="1" thickBot="1" x14ac:dyDescent="0.25">
      <c r="A78" s="28" t="s">
        <v>259</v>
      </c>
      <c r="B78" s="6"/>
      <c r="C78" s="93">
        <f>SUM(C72:C77)</f>
        <v>236431</v>
      </c>
      <c r="D78" s="93">
        <f>SUM(D72:D77)</f>
        <v>18533</v>
      </c>
      <c r="E78" s="93">
        <f>SUM(E72:E77)</f>
        <v>0</v>
      </c>
      <c r="F78" s="93">
        <f>SUM(F72:F77)</f>
        <v>0</v>
      </c>
      <c r="G78" s="93">
        <f>SUM(G72:G77)</f>
        <v>0</v>
      </c>
      <c r="H78" s="13">
        <f t="shared" si="4"/>
        <v>254964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4854995</v>
      </c>
      <c r="D81" s="93">
        <f>SUM(D79:D80)+D78+D70</f>
        <v>18533</v>
      </c>
      <c r="E81" s="93">
        <f>SUM(E79:E80)+E78+E70</f>
        <v>0</v>
      </c>
      <c r="F81" s="93">
        <f>SUM(F79:F80)+F78+F70</f>
        <v>0</v>
      </c>
      <c r="G81" s="93">
        <f>SUM(G79:G80)+G78+G70</f>
        <v>0</v>
      </c>
      <c r="H81" s="93">
        <f t="shared" si="4"/>
        <v>4873528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83966</v>
      </c>
      <c r="D88" s="253">
        <f>SUM('DOE25'!G153:G162)</f>
        <v>160310</v>
      </c>
      <c r="E88" s="253">
        <f>SUM('DOE25'!H153:H162)</f>
        <v>821738.7</v>
      </c>
      <c r="F88" s="253">
        <f>SUM('DOE25'!I153:I162)</f>
        <v>0</v>
      </c>
      <c r="G88" s="23" t="s">
        <v>288</v>
      </c>
      <c r="H88" s="13">
        <f t="shared" si="5"/>
        <v>1066014.7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83966</v>
      </c>
      <c r="D91" s="94">
        <f>SUM(D85:D90)</f>
        <v>160310</v>
      </c>
      <c r="E91" s="94">
        <f>SUM(E85:E90)</f>
        <v>821738.7</v>
      </c>
      <c r="F91" s="94">
        <f>SUM(F85:F90)</f>
        <v>0</v>
      </c>
      <c r="G91" s="23" t="s">
        <v>288</v>
      </c>
      <c r="H91" s="13">
        <f t="shared" si="5"/>
        <v>1066014.7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24752541</v>
      </c>
      <c r="D104" s="68">
        <f>D63+D81+D91+D103</f>
        <v>472872</v>
      </c>
      <c r="E104" s="68">
        <f>E63+E81+E91+E103</f>
        <v>821738.7</v>
      </c>
      <c r="F104" s="68">
        <f>F63+F81+F91+F103</f>
        <v>0</v>
      </c>
      <c r="G104" s="68">
        <f>G63+G81+G103</f>
        <v>2262.77</v>
      </c>
      <c r="H104" s="68">
        <f t="shared" si="5"/>
        <v>26049414.469999999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9727139.0100000016</v>
      </c>
      <c r="D109" s="23" t="s">
        <v>288</v>
      </c>
      <c r="E109" s="73">
        <f>('DOE25'!L277)+('DOE25'!L296)+('DOE25'!L315)</f>
        <v>199667.56</v>
      </c>
      <c r="F109" s="23" t="s">
        <v>288</v>
      </c>
      <c r="G109" s="23" t="s">
        <v>288</v>
      </c>
      <c r="H109" s="13">
        <f t="shared" ref="H109:H115" si="6">SUM(C109:G109)</f>
        <v>9926806.5700000022</v>
      </c>
    </row>
    <row r="110" spans="1:8" x14ac:dyDescent="0.2">
      <c r="A110" t="s">
        <v>198</v>
      </c>
      <c r="B110" s="31" t="s">
        <v>199</v>
      </c>
      <c r="C110" s="73">
        <f>('DOE25'!L199)+('DOE25'!L217)+('DOE25'!L235)</f>
        <v>4197390.84</v>
      </c>
      <c r="D110" s="23" t="s">
        <v>288</v>
      </c>
      <c r="E110" s="73">
        <f>('DOE25'!L278)+('DOE25'!L297)+('DOE25'!L316)</f>
        <v>333322.3</v>
      </c>
      <c r="F110" s="23" t="s">
        <v>288</v>
      </c>
      <c r="G110" s="23" t="s">
        <v>288</v>
      </c>
      <c r="H110" s="13">
        <f t="shared" si="6"/>
        <v>4530713.1399999997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151950.63999999998</v>
      </c>
      <c r="D112" s="23" t="s">
        <v>288</v>
      </c>
      <c r="E112" s="73">
        <f>+('DOE25'!L280)+('DOE25'!L299)+('DOE25'!L318)</f>
        <v>7932.73</v>
      </c>
      <c r="F112" s="23" t="s">
        <v>288</v>
      </c>
      <c r="G112" s="23" t="s">
        <v>288</v>
      </c>
      <c r="H112" s="13">
        <f t="shared" si="6"/>
        <v>159883.37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14076480.490000002</v>
      </c>
      <c r="D115" s="68">
        <f>SUM(D109:D114)</f>
        <v>0</v>
      </c>
      <c r="E115" s="68">
        <f>SUM(E109:E114)</f>
        <v>540922.59</v>
      </c>
      <c r="F115" s="68">
        <f>SUM(F109:F114)</f>
        <v>0</v>
      </c>
      <c r="G115" s="68">
        <f>SUM(G109:G114)</f>
        <v>0</v>
      </c>
      <c r="H115" s="68">
        <f t="shared" si="6"/>
        <v>14617403.080000002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1925485.9</v>
      </c>
      <c r="D118" s="23" t="s">
        <v>288</v>
      </c>
      <c r="E118" s="73">
        <f>+('DOE25'!L282)+('DOE25'!L301)+('DOE25'!L320)</f>
        <v>15127.31</v>
      </c>
      <c r="F118" s="23" t="s">
        <v>288</v>
      </c>
      <c r="G118" s="23" t="s">
        <v>288</v>
      </c>
      <c r="H118" s="13">
        <f t="shared" ref="H118:H145" si="7">SUM(C118:G118)</f>
        <v>1940613.21</v>
      </c>
    </row>
    <row r="119" spans="1:8" x14ac:dyDescent="0.2">
      <c r="A119" t="s">
        <v>208</v>
      </c>
      <c r="B119" s="31" t="s">
        <v>209</v>
      </c>
      <c r="C119" s="73">
        <f>('DOE25'!L204)+('DOE25'!L222)+('DOE25'!L240)</f>
        <v>1521726.6800000002</v>
      </c>
      <c r="D119" s="23" t="s">
        <v>288</v>
      </c>
      <c r="E119" s="73">
        <f>+('DOE25'!L283)+('DOE25'!L302)+('DOE25'!L321)</f>
        <v>224442.97999999998</v>
      </c>
      <c r="F119" s="23" t="s">
        <v>288</v>
      </c>
      <c r="G119" s="23" t="s">
        <v>288</v>
      </c>
      <c r="H119" s="13">
        <f t="shared" si="7"/>
        <v>1746169.6600000001</v>
      </c>
    </row>
    <row r="120" spans="1:8" x14ac:dyDescent="0.2">
      <c r="A120" t="s">
        <v>210</v>
      </c>
      <c r="B120" s="31" t="s">
        <v>211</v>
      </c>
      <c r="C120" s="73">
        <f>('DOE25'!L205)+('DOE25'!L223)+('DOE25'!L241)</f>
        <v>866182.43000000017</v>
      </c>
      <c r="D120" s="23" t="s">
        <v>288</v>
      </c>
      <c r="E120" s="73">
        <f>+('DOE25'!L284)+('DOE25'!L303)+('DOE25'!L322)</f>
        <v>3013.7</v>
      </c>
      <c r="F120" s="23" t="s">
        <v>288</v>
      </c>
      <c r="G120" s="23" t="s">
        <v>288</v>
      </c>
      <c r="H120" s="13">
        <f t="shared" si="7"/>
        <v>869196.13000000012</v>
      </c>
    </row>
    <row r="121" spans="1:8" x14ac:dyDescent="0.2">
      <c r="A121" t="s">
        <v>212</v>
      </c>
      <c r="B121" s="31" t="s">
        <v>213</v>
      </c>
      <c r="C121" s="73">
        <f>('DOE25'!L206)+('DOE25'!L224)+('DOE25'!L242)</f>
        <v>1420538.48</v>
      </c>
      <c r="D121" s="23" t="s">
        <v>288</v>
      </c>
      <c r="E121" s="73">
        <f>+('DOE25'!L285)+('DOE25'!L304)+('DOE25'!L323)</f>
        <v>0</v>
      </c>
      <c r="F121" s="23" t="s">
        <v>288</v>
      </c>
      <c r="G121" s="23" t="s">
        <v>288</v>
      </c>
      <c r="H121" s="13">
        <f t="shared" si="7"/>
        <v>1420538.48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2143512.36</v>
      </c>
      <c r="D123" s="23" t="s">
        <v>288</v>
      </c>
      <c r="E123" s="73">
        <f>+('DOE25'!L287)+('DOE25'!L306)+('DOE25'!L325)</f>
        <v>567</v>
      </c>
      <c r="F123" s="23" t="s">
        <v>288</v>
      </c>
      <c r="G123" s="23" t="s">
        <v>288</v>
      </c>
      <c r="H123" s="13">
        <f t="shared" si="7"/>
        <v>2144079.36</v>
      </c>
    </row>
    <row r="124" spans="1:8" x14ac:dyDescent="0.2">
      <c r="A124" t="s">
        <v>218</v>
      </c>
      <c r="B124" s="31" t="s">
        <v>219</v>
      </c>
      <c r="C124" s="73">
        <f>('DOE25'!L209)+('DOE25'!L227)+('DOE25'!L245+'DOE25'!L255)</f>
        <v>1047563.66</v>
      </c>
      <c r="D124" s="23" t="s">
        <v>288</v>
      </c>
      <c r="E124" s="73">
        <f>+('DOE25'!L288)+('DOE25'!L307)+('DOE25'!L326)</f>
        <v>37665.120000000003</v>
      </c>
      <c r="F124" s="23" t="s">
        <v>288</v>
      </c>
      <c r="G124" s="23" t="s">
        <v>288</v>
      </c>
      <c r="H124" s="13">
        <f t="shared" si="7"/>
        <v>1085228.78</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581505</v>
      </c>
      <c r="E127" s="23" t="s">
        <v>288</v>
      </c>
      <c r="F127" s="23" t="s">
        <v>288</v>
      </c>
      <c r="G127" s="23" t="s">
        <v>288</v>
      </c>
      <c r="H127" s="13">
        <f t="shared" si="7"/>
        <v>581505</v>
      </c>
    </row>
    <row r="128" spans="1:8" ht="12.75" thickTop="1" thickBot="1" x14ac:dyDescent="0.25">
      <c r="A128" s="32" t="s">
        <v>226</v>
      </c>
      <c r="C128" s="68">
        <f>SUM(C118:C127)</f>
        <v>8925009.5099999998</v>
      </c>
      <c r="D128" s="68">
        <f>SUM(D118:D127)</f>
        <v>581505</v>
      </c>
      <c r="E128" s="68">
        <f>SUM(E118:E127)</f>
        <v>280816.11</v>
      </c>
      <c r="F128" s="68">
        <f>SUM(F118:F127)</f>
        <v>0</v>
      </c>
      <c r="G128" s="68">
        <f>SUM(G118:G127)</f>
        <v>0</v>
      </c>
      <c r="H128" s="68">
        <f t="shared" si="7"/>
        <v>9787330.6199999992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280995</v>
      </c>
      <c r="D130" s="23" t="s">
        <v>288</v>
      </c>
      <c r="E130" s="92">
        <f>'DOE25'!L337</f>
        <v>0</v>
      </c>
      <c r="F130" s="92">
        <f>SUM('DOE25'!L375:'DOE25'!L381)</f>
        <v>0</v>
      </c>
      <c r="G130" s="23" t="s">
        <v>288</v>
      </c>
      <c r="H130" s="13">
        <f t="shared" si="7"/>
        <v>280995</v>
      </c>
    </row>
    <row r="131" spans="1:8" x14ac:dyDescent="0.2">
      <c r="A131" t="s">
        <v>229</v>
      </c>
      <c r="B131" s="31">
        <v>5110</v>
      </c>
      <c r="C131" s="73">
        <f>'DOE25'!L261</f>
        <v>640000</v>
      </c>
      <c r="D131" s="23" t="s">
        <v>288</v>
      </c>
      <c r="E131" s="92">
        <f>'DOE25'!L342</f>
        <v>0</v>
      </c>
      <c r="F131" s="23" t="s">
        <v>288</v>
      </c>
      <c r="G131" s="23" t="s">
        <v>288</v>
      </c>
      <c r="H131" s="13">
        <f t="shared" si="7"/>
        <v>640000</v>
      </c>
    </row>
    <row r="132" spans="1:8" x14ac:dyDescent="0.2">
      <c r="A132" t="s">
        <v>230</v>
      </c>
      <c r="B132" s="31">
        <v>5120</v>
      </c>
      <c r="C132" s="73">
        <f>'DOE25'!L262</f>
        <v>858460</v>
      </c>
      <c r="D132" s="23" t="s">
        <v>288</v>
      </c>
      <c r="E132" s="92">
        <f>'DOE25'!L343</f>
        <v>0</v>
      </c>
      <c r="F132" s="23" t="s">
        <v>288</v>
      </c>
      <c r="G132" s="23" t="s">
        <v>288</v>
      </c>
      <c r="H132" s="13">
        <f t="shared" si="7"/>
        <v>858460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2262.77</v>
      </c>
      <c r="D139" s="23" t="s">
        <v>288</v>
      </c>
      <c r="E139" s="23" t="s">
        <v>288</v>
      </c>
      <c r="F139" s="23" t="s">
        <v>288</v>
      </c>
      <c r="G139" s="23" t="s">
        <v>288</v>
      </c>
      <c r="H139" s="13">
        <f t="shared" si="7"/>
        <v>2262.77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-2262.77</v>
      </c>
      <c r="D141" s="23" t="s">
        <v>288</v>
      </c>
      <c r="E141" s="23" t="s">
        <v>288</v>
      </c>
      <c r="F141" s="23" t="s">
        <v>288</v>
      </c>
      <c r="G141" s="23" t="s">
        <v>288</v>
      </c>
      <c r="H141" s="13">
        <f t="shared" si="7"/>
        <v>-2262.77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1779455</v>
      </c>
      <c r="D144" s="98">
        <f>SUM(D130:D143)</f>
        <v>0</v>
      </c>
      <c r="E144" s="98">
        <f>SUM(E130:E143)</f>
        <v>0</v>
      </c>
      <c r="F144" s="98">
        <f>SUM(F130:F143)</f>
        <v>0</v>
      </c>
      <c r="G144" s="98">
        <f>SUM(G130:G143)</f>
        <v>0</v>
      </c>
      <c r="H144" s="98">
        <f t="shared" si="7"/>
        <v>1779455</v>
      </c>
    </row>
    <row r="145" spans="1:9" ht="12.75" thickTop="1" thickBot="1" x14ac:dyDescent="0.25">
      <c r="A145" s="32" t="s">
        <v>244</v>
      </c>
      <c r="C145" s="68">
        <f>(C115+C128+C144)</f>
        <v>24780945</v>
      </c>
      <c r="D145" s="68">
        <f>(D115+D128+D144)</f>
        <v>581505</v>
      </c>
      <c r="E145" s="68">
        <f>(E115+E128+E144)</f>
        <v>821738.7</v>
      </c>
      <c r="F145" s="68">
        <f>(F115+F128+F144)</f>
        <v>0</v>
      </c>
      <c r="G145" s="68">
        <f>(G115+G128+G144)</f>
        <v>0</v>
      </c>
      <c r="H145" s="68">
        <f t="shared" si="7"/>
        <v>26184188.699999999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25</v>
      </c>
      <c r="C151" s="110">
        <f>'DOE25'!G491</f>
        <v>0</v>
      </c>
      <c r="D151" s="110">
        <f>'DOE25'!H491</f>
        <v>0</v>
      </c>
      <c r="E151" s="110">
        <f>'DOE25'!I491</f>
        <v>0</v>
      </c>
      <c r="F151" s="110">
        <f>'DOE25'!J491</f>
        <v>0</v>
      </c>
      <c r="G151" s="23" t="s">
        <v>288</v>
      </c>
    </row>
    <row r="152" spans="1:9" x14ac:dyDescent="0.2">
      <c r="A152" s="21" t="s">
        <v>28</v>
      </c>
      <c r="B152" s="109" t="str">
        <f>'DOE25'!F492</f>
        <v>07/17</v>
      </c>
      <c r="C152" s="109">
        <f>'DOE25'!G492</f>
        <v>0</v>
      </c>
      <c r="D152" s="109">
        <f>'DOE25'!H492</f>
        <v>0</v>
      </c>
      <c r="E152" s="109">
        <f>'DOE25'!I492</f>
        <v>0</v>
      </c>
      <c r="F152" s="109">
        <f>'DOE25'!J492</f>
        <v>0</v>
      </c>
      <c r="G152" s="23" t="s">
        <v>288</v>
      </c>
    </row>
    <row r="153" spans="1:9" x14ac:dyDescent="0.2">
      <c r="A153" s="21" t="s">
        <v>29</v>
      </c>
      <c r="B153" s="109" t="str">
        <f>'DOE25'!F493</f>
        <v>08/42</v>
      </c>
      <c r="C153" s="109">
        <f>'DOE25'!G493</f>
        <v>0</v>
      </c>
      <c r="D153" s="109">
        <f>'DOE25'!H493</f>
        <v>0</v>
      </c>
      <c r="E153" s="109">
        <f>'DOE25'!I493</f>
        <v>0</v>
      </c>
      <c r="F153" s="109">
        <f>'DOE25'!J493</f>
        <v>0</v>
      </c>
      <c r="G153" s="23" t="s">
        <v>288</v>
      </c>
    </row>
    <row r="154" spans="1:9" x14ac:dyDescent="0.2">
      <c r="A154" s="21" t="s">
        <v>30</v>
      </c>
      <c r="B154" s="19">
        <f>'DOE25'!F494</f>
        <v>23701700</v>
      </c>
      <c r="C154" s="19">
        <f>'DOE25'!G494</f>
        <v>0</v>
      </c>
      <c r="D154" s="19">
        <f>'DOE25'!H494</f>
        <v>0</v>
      </c>
      <c r="E154" s="19">
        <f>'DOE25'!I494</f>
        <v>0</v>
      </c>
      <c r="F154" s="19">
        <f>'DOE25'!J494</f>
        <v>0</v>
      </c>
      <c r="G154" s="23" t="s">
        <v>288</v>
      </c>
    </row>
    <row r="155" spans="1:9" x14ac:dyDescent="0.2">
      <c r="A155" s="21" t="s">
        <v>31</v>
      </c>
      <c r="B155" s="19">
        <f>'DOE25'!F495</f>
        <v>3.15</v>
      </c>
      <c r="C155" s="19">
        <f>'DOE25'!G495</f>
        <v>0</v>
      </c>
      <c r="D155" s="19">
        <f>'DOE25'!H495</f>
        <v>0</v>
      </c>
      <c r="E155" s="19">
        <f>'DOE25'!I495</f>
        <v>0</v>
      </c>
      <c r="F155" s="19">
        <f>'DOE25'!J495</f>
        <v>0</v>
      </c>
      <c r="G155" s="23" t="s">
        <v>288</v>
      </c>
    </row>
    <row r="156" spans="1:9" x14ac:dyDescent="0.2">
      <c r="A156" s="21" t="s">
        <v>32</v>
      </c>
      <c r="B156" s="19">
        <f>'DOE25'!F496</f>
        <v>21430000</v>
      </c>
      <c r="C156" s="19">
        <f>'DOE25'!G496</f>
        <v>0</v>
      </c>
      <c r="D156" s="19">
        <f>'DOE25'!H496</f>
        <v>0</v>
      </c>
      <c r="E156" s="19">
        <f>'DOE25'!I496</f>
        <v>0</v>
      </c>
      <c r="F156" s="19">
        <f>'DOE25'!J496</f>
        <v>0</v>
      </c>
      <c r="G156" s="96">
        <f>SUM(B156:F156)</f>
        <v>21430000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20790000</v>
      </c>
      <c r="C159" s="19">
        <f>'DOE25'!G499</f>
        <v>0</v>
      </c>
      <c r="D159" s="19">
        <f>'DOE25'!H499</f>
        <v>0</v>
      </c>
      <c r="E159" s="19">
        <f>'DOE25'!I499</f>
        <v>0</v>
      </c>
      <c r="F159" s="19">
        <f>'DOE25'!J499</f>
        <v>0</v>
      </c>
      <c r="G159" s="96">
        <f t="shared" si="8"/>
        <v>20790000</v>
      </c>
    </row>
    <row r="160" spans="1:9" x14ac:dyDescent="0.2">
      <c r="A160" s="21" t="s">
        <v>36</v>
      </c>
      <c r="B160" s="19">
        <f>'DOE25'!F500</f>
        <v>9518394.6999999993</v>
      </c>
      <c r="C160" s="19">
        <f>'DOE25'!G500</f>
        <v>0</v>
      </c>
      <c r="D160" s="19">
        <f>'DOE25'!H500</f>
        <v>0</v>
      </c>
      <c r="E160" s="19">
        <f>'DOE25'!I500</f>
        <v>0</v>
      </c>
      <c r="F160" s="19">
        <f>'DOE25'!J500</f>
        <v>0</v>
      </c>
      <c r="G160" s="96">
        <f t="shared" si="8"/>
        <v>9518394.6999999993</v>
      </c>
    </row>
    <row r="161" spans="1:7" x14ac:dyDescent="0.2">
      <c r="A161" s="21" t="s">
        <v>37</v>
      </c>
      <c r="B161" s="19">
        <f>'DOE25'!F501</f>
        <v>30308394.699999999</v>
      </c>
      <c r="C161" s="19">
        <f>'DOE25'!G501</f>
        <v>0</v>
      </c>
      <c r="D161" s="19">
        <f>'DOE25'!H501</f>
        <v>0</v>
      </c>
      <c r="E161" s="19">
        <f>'DOE25'!I501</f>
        <v>0</v>
      </c>
      <c r="F161" s="19">
        <f>'DOE25'!J501</f>
        <v>0</v>
      </c>
      <c r="G161" s="96">
        <f t="shared" si="8"/>
        <v>30308394.699999999</v>
      </c>
    </row>
    <row r="162" spans="1:7" x14ac:dyDescent="0.2">
      <c r="A162" s="21" t="s">
        <v>38</v>
      </c>
      <c r="B162" s="19">
        <f>'DOE25'!F502</f>
        <v>675000</v>
      </c>
      <c r="C162" s="19">
        <f>'DOE25'!G502</f>
        <v>0</v>
      </c>
      <c r="D162" s="19">
        <f>'DOE25'!H502</f>
        <v>0</v>
      </c>
      <c r="E162" s="19">
        <f>'DOE25'!I502</f>
        <v>0</v>
      </c>
      <c r="F162" s="19">
        <f>'DOE25'!J502</f>
        <v>0</v>
      </c>
      <c r="G162" s="96">
        <f t="shared" si="8"/>
        <v>675000</v>
      </c>
    </row>
    <row r="163" spans="1:7" x14ac:dyDescent="0.2">
      <c r="A163" s="21" t="s">
        <v>39</v>
      </c>
      <c r="B163" s="19">
        <f>'DOE25'!F503</f>
        <v>824928</v>
      </c>
      <c r="C163" s="19">
        <f>'DOE25'!G503</f>
        <v>0</v>
      </c>
      <c r="D163" s="19">
        <f>'DOE25'!H503</f>
        <v>0</v>
      </c>
      <c r="E163" s="19">
        <f>'DOE25'!I503</f>
        <v>0</v>
      </c>
      <c r="F163" s="19">
        <f>'DOE25'!J503</f>
        <v>0</v>
      </c>
      <c r="G163" s="96">
        <f t="shared" si="8"/>
        <v>824928</v>
      </c>
    </row>
    <row r="164" spans="1:7" x14ac:dyDescent="0.2">
      <c r="A164" s="21" t="s">
        <v>246</v>
      </c>
      <c r="B164" s="19">
        <f>'DOE25'!F504</f>
        <v>1499928</v>
      </c>
      <c r="C164" s="19">
        <f>'DOE25'!G504</f>
        <v>0</v>
      </c>
      <c r="D164" s="19">
        <f>'DOE25'!H504</f>
        <v>0</v>
      </c>
      <c r="E164" s="19">
        <f>'DOE25'!I504</f>
        <v>0</v>
      </c>
      <c r="F164" s="19">
        <f>'DOE25'!J504</f>
        <v>0</v>
      </c>
      <c r="G164" s="96">
        <f t="shared" si="8"/>
        <v>1499928</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26" t="s">
        <v>736</v>
      </c>
      <c r="B1" s="326"/>
      <c r="C1" s="326"/>
      <c r="D1" s="326"/>
    </row>
    <row r="2" spans="1:4" x14ac:dyDescent="0.2">
      <c r="A2" s="136" t="s">
        <v>713</v>
      </c>
      <c r="B2" s="135" t="str">
        <f>'DOE25'!A2</f>
        <v>Hampton</v>
      </c>
    </row>
    <row r="3" spans="1:4" x14ac:dyDescent="0.2">
      <c r="B3" s="137" t="s">
        <v>1799</v>
      </c>
    </row>
    <row r="4" spans="1:4" x14ac:dyDescent="0.2">
      <c r="B4" t="s">
        <v>61</v>
      </c>
      <c r="C4" s="129">
        <f>IF('DOE25'!F666+'DOE25'!F671=0,0,ROUND('DOE25'!F673,0))</f>
        <v>23433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23433</v>
      </c>
    </row>
    <row r="9" spans="1:4" x14ac:dyDescent="0.2">
      <c r="A9" s="136" t="s">
        <v>94</v>
      </c>
      <c r="B9" s="137" t="s">
        <v>1800</v>
      </c>
      <c r="C9" s="131" t="s">
        <v>720</v>
      </c>
      <c r="D9" s="131" t="s">
        <v>721</v>
      </c>
    </row>
    <row r="10" spans="1:4" x14ac:dyDescent="0.2">
      <c r="A10">
        <v>1100</v>
      </c>
      <c r="B10" t="s">
        <v>702</v>
      </c>
      <c r="C10" s="129">
        <f>ROUND('DOE25'!L198+'DOE25'!L216+'DOE25'!L234+'DOE25'!L277+'DOE25'!L296+'DOE25'!L315,0)</f>
        <v>9926807</v>
      </c>
      <c r="D10" s="132">
        <f>ROUND((C10/$C$28)*100,1)</f>
        <v>39.799999999999997</v>
      </c>
    </row>
    <row r="11" spans="1:4" x14ac:dyDescent="0.2">
      <c r="A11">
        <v>1200</v>
      </c>
      <c r="B11" t="s">
        <v>703</v>
      </c>
      <c r="C11" s="129">
        <f>ROUND('DOE25'!L199+'DOE25'!L217+'DOE25'!L235+'DOE25'!L278+'DOE25'!L297+'DOE25'!L316,0)</f>
        <v>4530713</v>
      </c>
      <c r="D11" s="132">
        <f>ROUND((C11/$C$28)*100,1)</f>
        <v>18.100000000000001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159883</v>
      </c>
      <c r="D13" s="132">
        <f>ROUND((C13/$C$28)*100,1)</f>
        <v>0.6</v>
      </c>
    </row>
    <row r="14" spans="1:4" x14ac:dyDescent="0.2">
      <c r="D14" s="132"/>
    </row>
    <row r="15" spans="1:4" x14ac:dyDescent="0.2">
      <c r="A15">
        <v>2100</v>
      </c>
      <c r="B15" t="s">
        <v>706</v>
      </c>
      <c r="C15" s="129">
        <f>ROUND('DOE25'!L203+'DOE25'!L221+'DOE25'!L239+'DOE25'!L282+'DOE25'!L301+'DOE25'!L320,0)</f>
        <v>1940613</v>
      </c>
      <c r="D15" s="132">
        <f t="shared" ref="D15:D27" si="0">ROUND((C15/$C$28)*100,1)</f>
        <v>7.8</v>
      </c>
    </row>
    <row r="16" spans="1:4" x14ac:dyDescent="0.2">
      <c r="A16">
        <v>2200</v>
      </c>
      <c r="B16" t="s">
        <v>707</v>
      </c>
      <c r="C16" s="129">
        <f>ROUND('DOE25'!L204+'DOE25'!L222+'DOE25'!L240+'DOE25'!L283+'DOE25'!L302+'DOE25'!L321,0)</f>
        <v>1746170</v>
      </c>
      <c r="D16" s="132">
        <f t="shared" si="0"/>
        <v>7</v>
      </c>
    </row>
    <row r="17" spans="1:4" x14ac:dyDescent="0.2">
      <c r="A17" s="133" t="s">
        <v>723</v>
      </c>
      <c r="B17" t="s">
        <v>738</v>
      </c>
      <c r="C17" s="129">
        <f>ROUND('DOE25'!L205+'DOE25'!L210+'DOE25'!L223+'DOE25'!L228+'DOE25'!L241+'DOE25'!L246+'DOE25'!L284+'DOE25'!L289+'DOE25'!L303+'DOE25'!L308+'DOE25'!L322+'DOE25'!L327,0)</f>
        <v>869196</v>
      </c>
      <c r="D17" s="132">
        <f t="shared" si="0"/>
        <v>3.5</v>
      </c>
    </row>
    <row r="18" spans="1:4" x14ac:dyDescent="0.2">
      <c r="A18">
        <v>2400</v>
      </c>
      <c r="B18" t="s">
        <v>711</v>
      </c>
      <c r="C18" s="129">
        <f>ROUND('DOE25'!L206+'DOE25'!L224+'DOE25'!L242+'DOE25'!L285+'DOE25'!L304+'DOE25'!L323,0)</f>
        <v>1420538</v>
      </c>
      <c r="D18" s="132">
        <f t="shared" si="0"/>
        <v>5.7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2144079</v>
      </c>
      <c r="D20" s="132">
        <f t="shared" si="0"/>
        <v>8.6</v>
      </c>
    </row>
    <row r="21" spans="1:4" x14ac:dyDescent="0.2">
      <c r="A21">
        <v>2700</v>
      </c>
      <c r="B21" t="s">
        <v>710</v>
      </c>
      <c r="C21" s="129">
        <f>ROUND('DOE25'!L209+'DOE25'!L227+'DOE25'!L245+'DOE25'!L288+'DOE25'!L307+'DOE25'!L326,0)</f>
        <v>1085229</v>
      </c>
      <c r="D21" s="132">
        <f t="shared" si="0"/>
        <v>4.3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858460</v>
      </c>
      <c r="D25" s="132">
        <f t="shared" si="0"/>
        <v>3.4</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287476</v>
      </c>
      <c r="D27" s="132">
        <f t="shared" si="0"/>
        <v>1.2</v>
      </c>
    </row>
    <row r="28" spans="1:4" x14ac:dyDescent="0.2">
      <c r="B28" s="136" t="s">
        <v>719</v>
      </c>
      <c r="C28" s="130">
        <f>SUM(C10:C27)</f>
        <v>24969164</v>
      </c>
      <c r="D28" s="134">
        <f>ROUND(SUM(D10:D27),0)</f>
        <v>100</v>
      </c>
    </row>
    <row r="29" spans="1:4" x14ac:dyDescent="0.2">
      <c r="A29">
        <v>4000</v>
      </c>
      <c r="B29" t="s">
        <v>724</v>
      </c>
      <c r="C29" s="129">
        <f>ROUND('DOE25'!L256+'DOE25'!L337+'DOE25'!L375+'DOE25'!L376+'DOE25'!L377+'DOE25'!L378+'DOE25'!L379+'DOE25'!L380+'DOE25'!L381,0)</f>
        <v>280995</v>
      </c>
    </row>
    <row r="30" spans="1:4" x14ac:dyDescent="0.2">
      <c r="B30" s="136" t="s">
        <v>725</v>
      </c>
      <c r="C30" s="130">
        <f>SUM(C28:C29)</f>
        <v>25250159</v>
      </c>
    </row>
    <row r="31" spans="1:4" x14ac:dyDescent="0.2">
      <c r="B31" s="32"/>
      <c r="C31" s="130"/>
    </row>
    <row r="32" spans="1:4" x14ac:dyDescent="0.2">
      <c r="A32">
        <v>5100</v>
      </c>
      <c r="B32" s="32" t="s">
        <v>726</v>
      </c>
      <c r="C32" s="130">
        <f>ROUND('DOE25'!L261+'DOE25'!L342,0)</f>
        <v>640000</v>
      </c>
    </row>
    <row r="34" spans="1:4" x14ac:dyDescent="0.2">
      <c r="A34" s="136" t="s">
        <v>94</v>
      </c>
      <c r="B34" s="137" t="s">
        <v>1801</v>
      </c>
      <c r="C34" s="131" t="s">
        <v>720</v>
      </c>
      <c r="D34" s="131" t="s">
        <v>721</v>
      </c>
    </row>
    <row r="35" spans="1:4" x14ac:dyDescent="0.2">
      <c r="A35">
        <v>1100</v>
      </c>
      <c r="B35" s="71" t="s">
        <v>727</v>
      </c>
      <c r="C35" s="129">
        <f>ROUND('DOE25'!F60+'DOE25'!G60+'DOE25'!H60+'DOE25'!I60+'DOE25'!J60,0)</f>
        <v>19573978</v>
      </c>
      <c r="D35" s="132">
        <f t="shared" ref="D35:D40" si="1">ROUND((C35/$C$41)*100,1)</f>
        <v>76</v>
      </c>
    </row>
    <row r="36" spans="1:4" x14ac:dyDescent="0.2">
      <c r="B36" s="71" t="s">
        <v>739</v>
      </c>
      <c r="C36" s="129">
        <f>SUM('DOE25'!F112:J112)-SUM('DOE25'!G97:G110)+('DOE25'!F175+'DOE25'!F176+'DOE25'!I175+'DOE25'!I176)-C35</f>
        <v>241864.76999999955</v>
      </c>
      <c r="D36" s="132">
        <f t="shared" si="1"/>
        <v>0.9</v>
      </c>
    </row>
    <row r="37" spans="1:4" x14ac:dyDescent="0.2">
      <c r="A37" s="133" t="s">
        <v>834</v>
      </c>
      <c r="B37" s="71" t="s">
        <v>728</v>
      </c>
      <c r="C37" s="129">
        <f>ROUND('DOE25'!F117+'DOE25'!F118,0)</f>
        <v>4617071</v>
      </c>
      <c r="D37" s="132">
        <f t="shared" si="1"/>
        <v>17.899999999999999</v>
      </c>
    </row>
    <row r="38" spans="1:4" x14ac:dyDescent="0.2">
      <c r="A38" s="133" t="s">
        <v>734</v>
      </c>
      <c r="B38" s="71" t="s">
        <v>729</v>
      </c>
      <c r="C38" s="129">
        <f>ROUND(SUM('DOE25'!F140:J140)-SUM('DOE25'!F117:F119),0)</f>
        <v>256457</v>
      </c>
      <c r="D38" s="132">
        <f t="shared" si="1"/>
        <v>1</v>
      </c>
    </row>
    <row r="39" spans="1:4" x14ac:dyDescent="0.2">
      <c r="A39">
        <v>4000</v>
      </c>
      <c r="B39" s="71" t="s">
        <v>730</v>
      </c>
      <c r="C39" s="129">
        <f>ROUND('DOE25'!F170+'DOE25'!G170+'DOE25'!H170+'DOE25'!I170,0)</f>
        <v>1066015</v>
      </c>
      <c r="D39" s="132">
        <f t="shared" si="1"/>
        <v>4.0999999999999996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25755385.77</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ColWidth="8.6640625" defaultRowHeight="11.25" x14ac:dyDescent="0.2"/>
  <cols>
    <col min="1" max="1" width="10.16406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Hampton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112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f>IF('School Level Expenditures'!$B$2=A6,'School Tables'!H6,"")</f>
        <v>3</v>
      </c>
      <c r="J6" s="282">
        <f>IFERROR(SMALL($I$4:$I$325,ROWS($I$4:I6)),"")</f>
        <v>113</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51"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f>IF('School Level Expenditures'!$B$2=A115,'School Tables'!H115,"")</f>
        <v>112</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f>IF('School Level Expenditures'!$B$2=A116,'School Tables'!H116,"")</f>
        <v>113</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63.75"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63.75"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2023-08-17T14:14:33Z</cp:lastPrinted>
  <dcterms:created xsi:type="dcterms:W3CDTF">1997-12-04T19:04:30Z</dcterms:created>
  <dcterms:modified xsi:type="dcterms:W3CDTF">2023-12-28T18:36:04Z</dcterms:modified>
</cp:coreProperties>
</file>