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1EA12689-9066-452D-8E8D-7CC28A9B980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4" l="1"/>
  <c r="D5" i="14"/>
  <c r="F57" i="1"/>
  <c r="F118" i="1"/>
  <c r="F50" i="1" l="1"/>
  <c r="B19" i="12" l="1"/>
  <c r="B20" i="12"/>
  <c r="B10" i="12"/>
  <c r="B12" i="12"/>
  <c r="B11" i="12"/>
  <c r="F583" i="1"/>
  <c r="H537" i="1"/>
  <c r="I543" i="1"/>
  <c r="I542" i="1"/>
  <c r="H524" i="1"/>
  <c r="H522" i="1"/>
  <c r="F499" i="1"/>
  <c r="H401" i="1"/>
  <c r="J96" i="1"/>
  <c r="J473" i="1"/>
  <c r="J469" i="1"/>
  <c r="H427" i="1"/>
  <c r="G198" i="1"/>
  <c r="H473" i="1"/>
  <c r="H469" i="1"/>
  <c r="H161" i="1"/>
  <c r="H159" i="1"/>
  <c r="G278" i="1"/>
  <c r="H277" i="1"/>
  <c r="G277" i="1"/>
  <c r="F29" i="1"/>
  <c r="F1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E112" i="2" s="1"/>
  <c r="L282" i="1"/>
  <c r="L283" i="1"/>
  <c r="L284" i="1"/>
  <c r="L285" i="1"/>
  <c r="L286" i="1"/>
  <c r="L287" i="1"/>
  <c r="L288" i="1"/>
  <c r="L289" i="1"/>
  <c r="E125" i="2" s="1"/>
  <c r="H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H79" i="2" s="1"/>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C119"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2" i="1"/>
  <c r="J652" i="1" s="1"/>
  <c r="H653" i="1"/>
  <c r="G654" i="1"/>
  <c r="H654" i="1"/>
  <c r="H655" i="1"/>
  <c r="H656" i="1"/>
  <c r="I170" i="1"/>
  <c r="H35" i="2" l="1"/>
  <c r="H102" i="2"/>
  <c r="H100" i="2"/>
  <c r="H98" i="2"/>
  <c r="H73" i="2"/>
  <c r="H15" i="2"/>
  <c r="H11" i="2"/>
  <c r="G663" i="1"/>
  <c r="C13" i="10"/>
  <c r="H17" i="2"/>
  <c r="H77" i="2"/>
  <c r="D15" i="13"/>
  <c r="C15" i="13" s="1"/>
  <c r="C12" i="10"/>
  <c r="H69" i="2"/>
  <c r="H25" i="2"/>
  <c r="H143" i="2"/>
  <c r="H89" i="2"/>
  <c r="H72" i="2"/>
  <c r="H59" i="2"/>
  <c r="H34" i="2"/>
  <c r="H29" i="2"/>
  <c r="H132" i="2"/>
  <c r="H36" i="2"/>
  <c r="H44" i="2"/>
  <c r="H48" i="2"/>
  <c r="D144" i="2"/>
  <c r="H13" i="2"/>
  <c r="H131" i="2"/>
  <c r="H28" i="2"/>
  <c r="H112" i="2"/>
  <c r="H94" i="2"/>
  <c r="H27" i="2"/>
  <c r="H24" i="2"/>
  <c r="H12" i="2"/>
  <c r="J112" i="1"/>
  <c r="H57" i="2"/>
  <c r="E121" i="2"/>
  <c r="N2" i="14"/>
  <c r="N3" i="14" s="1"/>
  <c r="H9" i="2"/>
  <c r="H76" i="2"/>
  <c r="H58" i="2"/>
  <c r="G409" i="1"/>
  <c r="H646" i="1" s="1"/>
  <c r="H96" i="2"/>
  <c r="H47" i="2"/>
  <c r="H8" i="2"/>
  <c r="I409" i="1"/>
  <c r="G62" i="2"/>
  <c r="G63" i="2" s="1"/>
  <c r="H61" i="2"/>
  <c r="H477" i="1"/>
  <c r="H625" i="1" s="1"/>
  <c r="J625" i="1" s="1"/>
  <c r="G477" i="1"/>
  <c r="H30" i="2"/>
  <c r="H23" i="2"/>
  <c r="H119" i="2"/>
  <c r="M2" i="14"/>
  <c r="M3" i="14" s="1"/>
  <c r="G651" i="1"/>
  <c r="C110" i="2"/>
  <c r="C121" i="2"/>
  <c r="K2" i="14"/>
  <c r="K3" i="14" s="1"/>
  <c r="C120" i="2"/>
  <c r="H120" i="2" s="1"/>
  <c r="D6" i="13"/>
  <c r="C6" i="13" s="1"/>
  <c r="L2" i="14"/>
  <c r="L3" i="14" s="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78" i="2" l="1"/>
  <c r="H21" i="2"/>
  <c r="H121" i="2"/>
  <c r="H134" i="2"/>
  <c r="L572" i="1"/>
  <c r="I663" i="1"/>
  <c r="H16" i="2"/>
  <c r="E128" i="2"/>
  <c r="H42" i="2"/>
  <c r="I662" i="1"/>
  <c r="H103" i="2"/>
  <c r="F194" i="1"/>
  <c r="H50" i="2"/>
  <c r="H18" i="2"/>
  <c r="E51" i="2"/>
  <c r="E91" i="2"/>
  <c r="H91" i="2" s="1"/>
  <c r="H85" i="2"/>
  <c r="H62" i="2"/>
  <c r="D51" i="2"/>
  <c r="H31" i="2"/>
  <c r="D128" i="2"/>
  <c r="D145" i="2" s="1"/>
  <c r="H127" i="2"/>
  <c r="H110" i="2"/>
  <c r="C81" i="2"/>
  <c r="H81" i="2" s="1"/>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E104" i="2"/>
  <c r="H51" i="2"/>
  <c r="C144" i="2"/>
  <c r="H144" i="2" s="1"/>
  <c r="H141" i="2"/>
  <c r="C104" i="2"/>
  <c r="H104" i="2" s="1"/>
  <c r="H63"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<sst xmlns="http://schemas.openxmlformats.org/spreadsheetml/2006/main" count="6560" uniqueCount="1815">
  <si>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</si>
  <si>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</si>
  <si>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</si>
  <si>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</si>
  <si>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</si>
  <si>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</si>
  <si>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</si>
  <si>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</si>
  <si>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</si>
  <si>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</si>
  <si>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</si>
  <si>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</si>
  <si>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</si>
  <si>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</si>
  <si>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</si>
  <si>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</si>
  <si>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</si>
  <si>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</si>
  <si>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</si>
  <si>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</si>
  <si>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</si>
  <si>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</si>
  <si>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</si>
  <si>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</si>
  <si>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</si>
  <si>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</si>
  <si>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</si>
  <si>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</si>
  <si>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</si>
  <si>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</si>
  <si>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</si>
  <si>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</si>
  <si>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</si>
  <si>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</si>
  <si>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</si>
  <si>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</si>
  <si>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</si>
  <si>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</si>
  <si>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</si>
  <si>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</si>
  <si>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</si>
  <si>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</si>
  <si>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</si>
  <si>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</si>
  <si>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</si>
  <si>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</si>
  <si>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</si>
  <si>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</si>
  <si>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</si>
  <si>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</si>
  <si>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</si>
  <si>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</si>
  <si>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</si>
  <si>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</si>
  <si>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</si>
  <si>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</si>
  <si>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</si>
  <si>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</si>
  <si>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</si>
  <si>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</si>
  <si>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</si>
  <si>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</si>
  <si>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</si>
  <si>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</si>
  <si>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</si>
  <si>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</si>
  <si>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</si>
  <si>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</si>
  <si>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</si>
  <si>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</si>
  <si>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</si>
  <si>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</si>
  <si>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</si>
  <si>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</si>
  <si>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</si>
  <si>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</si>
  <si>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</si>
  <si>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</si>
  <si>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</si>
  <si>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</si>
  <si>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</si>
  <si>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</si>
  <si>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</si>
  <si>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</si>
  <si>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</si>
  <si>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</si>
  <si>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</si>
  <si>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</si>
  <si>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</si>
  <si>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</si>
  <si>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</si>
  <si>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</si>
  <si>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</si>
  <si>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</si>
  <si>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</si>
  <si>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</si>
  <si>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</si>
  <si>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</si>
  <si>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</si>
  <si>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</si>
  <si>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</si>
  <si>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</si>
  <si>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</si>
  <si>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</si>
  <si>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</si>
  <si>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</si>
  <si>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</si>
  <si>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</si>
  <si>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</si>
  <si>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</si>
  <si>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</si>
  <si>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</si>
  <si>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</si>
  <si>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</si>
  <si>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</si>
  <si>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</si>
  <si>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</si>
  <si>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</si>
  <si>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</si>
  <si>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</si>
  <si>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</si>
  <si>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</si>
  <si>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</si>
  <si>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</si>
  <si>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</si>
  <si>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</si>
  <si>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</si>
  <si>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</si>
  <si>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</si>
  <si>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</si>
  <si>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</si>
  <si>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</si>
  <si>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</si>
  <si>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</si>
  <si>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</si>
  <si>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</si>
  <si>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</si>
  <si>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</si>
  <si>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</si>
  <si>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</si>
  <si>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</si>
  <si>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</si>
  <si>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</si>
  <si>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</si>
  <si>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</si>
  <si>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</si>
  <si>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</si>
  <si>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</si>
  <si>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</si>
  <si>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</si>
  <si>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</si>
  <si>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</si>
  <si>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</si>
  <si>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</si>
  <si>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</si>
  <si>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</si>
  <si>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</si>
  <si>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</si>
  <si>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</si>
  <si>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</si>
  <si>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</si>
  <si>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</si>
  <si>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</si>
  <si>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</si>
  <si>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</si>
  <si>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</si>
  <si>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</si>
  <si>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</si>
  <si>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</si>
  <si>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</si>
  <si>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</si>
  <si>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</si>
  <si>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</si>
  <si>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</si>
  <si>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</si>
  <si>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</si>
  <si>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</si>
  <si>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</si>
  <si>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</si>
  <si>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</si>
  <si>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</si>
  <si>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</si>
  <si>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</si>
  <si>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</si>
  <si>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</si>
  <si>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</si>
  <si>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</si>
  <si>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</si>
  <si>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</si>
  <si>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</si>
  <si>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</si>
  <si>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</si>
  <si>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</si>
  <si>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</si>
  <si>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</si>
  <si>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</si>
  <si>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</si>
  <si>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</si>
  <si>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</si>
  <si>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</si>
  <si>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</si>
  <si>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</si>
  <si>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</si>
  <si>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</si>
  <si>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</si>
  <si>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</si>
  <si>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</si>
  <si>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</si>
  <si>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</si>
  <si>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</si>
  <si>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</si>
  <si>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</si>
  <si>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</si>
  <si>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</si>
  <si>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</si>
  <si>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</si>
  <si>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</si>
  <si>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</si>
  <si>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</si>
  <si>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</si>
  <si>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</si>
  <si>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</si>
  <si>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</si>
  <si>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</si>
  <si>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</si>
  <si>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</si>
  <si>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</si>
  <si>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</si>
  <si>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</si>
  <si>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</si>
  <si>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</si>
  <si>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</si>
  <si>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</si>
  <si>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</si>
  <si>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</si>
  <si>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</si>
  <si>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</si>
  <si>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</si>
  <si>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</si>
  <si>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</si>
  <si>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</si>
  <si>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</si>
  <si>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</si>
  <si>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</si>
  <si>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</si>
  <si>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</si>
  <si>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</si>
  <si>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</si>
  <si>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</si>
  <si>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</si>
  <si>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</si>
  <si>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</si>
  <si>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</si>
  <si>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</si>
  <si>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</si>
  <si>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</si>
  <si>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</si>
  <si>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</si>
  <si>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</si>
  <si>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</si>
  <si>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</si>
  <si>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</si>
  <si>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</si>
  <si>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</si>
  <si>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</si>
  <si>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</si>
  <si>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</si>
  <si>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</si>
  <si>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</si>
  <si>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</si>
  <si>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</si>
  <si>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</si>
  <si>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</si>
  <si>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</si>
  <si>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</si>
  <si>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</si>
  <si>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</si>
  <si>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</si>
  <si>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</si>
  <si>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</si>
  <si>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</si>
  <si>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</si>
  <si>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</si>
  <si>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</si>
  <si>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</si>
  <si>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</si>
  <si>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</si>
  <si>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</si>
  <si>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</si>
  <si>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</si>
  <si>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</si>
  <si>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</si>
  <si>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</si>
  <si>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</si>
  <si>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</si>
  <si>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</si>
  <si>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</si>
  <si>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</si>
  <si>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</si>
  <si>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</si>
  <si>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</si>
  <si>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</si>
  <si>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</si>
  <si>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</si>
  <si>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</si>
  <si>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</si>
  <si>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</si>
  <si>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</si>
  <si>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</si>
  <si>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</si>
  <si>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</si>
  <si>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</si>
  <si>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</si>
  <si>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</si>
  <si>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</si>
  <si>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</si>
  <si>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</si>
  <si>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</si>
  <si>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</si>
  <si>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</si>
  <si>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</si>
  <si>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</si>
  <si>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</si>
  <si>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</si>
  <si>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</si>
  <si>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</si>
  <si>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</si>
  <si>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</si>
  <si>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</si>
  <si>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</si>
  <si>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</si>
  <si>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</si>
  <si>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</si>
  <si>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</si>
  <si>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</si>
  <si>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</si>
  <si>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</si>
  <si>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</si>
  <si>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</si>
  <si>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</si>
  <si>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</si>
  <si>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</si>
  <si>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</si>
  <si>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</si>
  <si>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</si>
  <si>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</si>
  <si>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</si>
  <si>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</si>
  <si>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</si>
  <si>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</si>
  <si>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</si>
  <si>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</si>
  <si>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</si>
  <si>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</si>
  <si>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</si>
  <si>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</si>
  <si>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</si>
  <si>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</si>
  <si>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</si>
  <si>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</si>
  <si>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</si>
  <si>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</si>
  <si>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</si>
  <si>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</si>
  <si>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</si>
  <si>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</si>
  <si>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</si>
  <si>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</si>
  <si>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</si>
  <si>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</si>
  <si>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</si>
  <si>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</si>
  <si>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</si>
  <si>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</si>
  <si>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</si>
  <si>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</si>
  <si>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</si>
  <si>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</si>
  <si>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</si>
  <si>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</si>
  <si>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</si>
  <si>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</si>
  <si>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</si>
  <si>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</si>
  <si>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</si>
  <si>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</si>
  <si>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</si>
  <si>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</si>
  <si>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</si>
  <si>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</si>
  <si>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</si>
  <si>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</si>
  <si>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</si>
  <si>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</si>
  <si>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</si>
  <si>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</si>
  <si>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</si>
  <si>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</si>
  <si>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</si>
  <si>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</si>
  <si>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</si>
  <si>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</si>
  <si>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</si>
  <si>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</si>
  <si>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</si>
  <si>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</si>
  <si>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</si>
  <si>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</si>
  <si>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</si>
  <si>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</si>
  <si>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</si>
  <si>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</si>
  <si>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</si>
  <si>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</si>
  <si>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</si>
  <si>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</si>
  <si>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</si>
  <si>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</si>
  <si>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</si>
  <si>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</si>
  <si>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</si>
  <si>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</si>
  <si>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</si>
  <si>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</si>
  <si>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</si>
  <si>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</si>
  <si>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</si>
  <si>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</si>
  <si>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</si>
  <si>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</si>
  <si>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</si>
  <si>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</si>
  <si>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</si>
  <si>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</si>
  <si>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</si>
  <si>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</si>
  <si>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</si>
  <si>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</si>
  <si>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</si>
  <si>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</si>
  <si>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</si>
  <si>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</si>
  <si>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</si>
  <si>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</si>
  <si>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</si>
  <si>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</si>
  <si>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</si>
  <si>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</si>
  <si>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</si>
  <si>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</si>
  <si>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</si>
  <si>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</si>
  <si>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</si>
  <si>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</si>
  <si>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</si>
  <si>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</si>
  <si>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</si>
  <si>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</si>
  <si>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</si>
  <si>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</si>
  <si>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</si>
  <si>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</si>
  <si>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</si>
  <si>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</si>
  <si>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</si>
  <si>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</si>
  <si>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</si>
  <si>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</si>
  <si>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</si>
  <si>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</si>
  <si>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</si>
  <si>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</si>
  <si>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</si>
  <si>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</si>
  <si>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</si>
  <si>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</si>
  <si>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</si>
  <si>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</si>
  <si>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</si>
  <si>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</si>
  <si>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</si>
  <si>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</si>
  <si>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</si>
  <si>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</si>
  <si>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</si>
  <si>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</si>
  <si>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</si>
  <si>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</si>
  <si>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</si>
  <si>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</si>
  <si>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</si>
  <si>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</si>
  <si>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</si>
  <si>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</si>
  <si>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</si>
  <si>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</si>
  <si>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</si>
  <si>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</si>
  <si>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</si>
  <si>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</si>
  <si>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</si>
  <si>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</si>
  <si>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</si>
  <si>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</si>
  <si>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</si>
  <si>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</si>
  <si>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</si>
  <si>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</si>
  <si>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</si>
  <si>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</si>
  <si>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</si>
  <si>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</si>
  <si>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</si>
  <si>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</si>
  <si>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</si>
  <si>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</si>
  <si>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</si>
  <si>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</si>
  <si>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</si>
  <si>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</si>
  <si>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</si>
  <si>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</si>
  <si>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</si>
  <si>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</si>
  <si>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</si>
  <si>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</si>
  <si>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</si>
  <si>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</si>
  <si>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</si>
  <si>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</si>
  <si>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</si>
  <si>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</si>
  <si>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</si>
  <si>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</si>
  <si>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</si>
  <si>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</si>
  <si>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</si>
  <si>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</si>
  <si>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</si>
  <si>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</si>
  <si>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</si>
  <si>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</si>
  <si>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</si>
  <si>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</si>
  <si>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</si>
  <si>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</si>
  <si>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</si>
  <si>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</si>
  <si>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</si>
  <si>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</si>
  <si>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</si>
  <si>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</si>
  <si>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</si>
  <si>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</si>
  <si>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</si>
  <si>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</si>
  <si>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</si>
  <si>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</si>
  <si>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</si>
  <si>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</si>
  <si>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</si>
  <si>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</si>
  <si>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</si>
  <si>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</si>
  <si>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</si>
  <si>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</si>
  <si>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</si>
  <si>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</si>
  <si>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</si>
  <si>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</si>
  <si>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</si>
  <si>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</si>
  <si>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</si>
  <si>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</si>
  <si>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</si>
  <si>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</si>
  <si>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</si>
  <si>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</si>
  <si>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</si>
  <si>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</si>
  <si>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</si>
  <si>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</si>
  <si>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</si>
  <si>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</si>
  <si>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</si>
  <si>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</si>
  <si>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</si>
  <si>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</si>
  <si>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</si>
  <si>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</si>
  <si>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</si>
  <si>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</si>
  <si>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</si>
  <si>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</si>
  <si>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</si>
  <si>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</si>
  <si>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</si>
  <si>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</si>
  <si>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</si>
  <si>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</si>
  <si>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</si>
  <si>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</si>
  <si>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</si>
  <si>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</si>
  <si>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</si>
  <si>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</si>
  <si>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</si>
  <si>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</si>
  <si>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</si>
  <si>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</si>
  <si>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</si>
  <si>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</si>
  <si>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</si>
  <si>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</si>
  <si>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</si>
  <si>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</si>
  <si>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</si>
  <si>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</si>
  <si>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</si>
  <si>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</si>
  <si>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</si>
  <si>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</si>
  <si>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</si>
  <si>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</si>
  <si>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</si>
  <si>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</si>
  <si>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</si>
  <si>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</si>
  <si>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</si>
  <si>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</si>
  <si>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</si>
  <si>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</si>
  <si>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</si>
  <si>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</si>
  <si>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</si>
  <si>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</si>
  <si>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</si>
  <si>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</si>
  <si>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</si>
  <si>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</si>
  <si>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</si>
  <si>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</si>
  <si>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</si>
  <si>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</si>
  <si>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</si>
  <si>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</si>
  <si>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</si>
  <si>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</si>
  <si>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</si>
  <si>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</si>
  <si>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</si>
  <si>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</si>
  <si>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</si>
  <si>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</si>
  <si>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</si>
  <si>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</si>
  <si>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</si>
  <si>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</si>
  <si>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</si>
  <si>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</si>
  <si>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</si>
  <si>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</si>
  <si>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</si>
  <si>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</si>
  <si>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</si>
  <si>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</si>
  <si>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</si>
  <si>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</si>
  <si>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</si>
  <si>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</si>
  <si>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</si>
  <si>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</si>
  <si>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</si>
  <si>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</si>
  <si>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</si>
  <si>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</si>
  <si>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</si>
  <si>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</si>
  <si>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</si>
  <si>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</si>
  <si>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</si>
  <si>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</si>
  <si>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</si>
  <si>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</si>
  <si>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</si>
  <si>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</si>
  <si>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</si>
  <si>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</si>
  <si>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</si>
  <si>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</si>
  <si>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</si>
  <si>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</si>
  <si>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</si>
  <si>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</si>
  <si>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</si>
  <si>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</si>
  <si>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</si>
  <si>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</si>
  <si>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</si>
  <si>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</si>
  <si>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</si>
  <si>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</si>
  <si>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</si>
  <si>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</si>
  <si>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</si>
  <si>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</si>
  <si>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</si>
  <si>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</si>
  <si>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</si>
  <si>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</si>
  <si>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</si>
  <si>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</si>
  <si>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</si>
  <si>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</si>
  <si>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</si>
  <si>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</si>
  <si>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</si>
  <si>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</si>
  <si>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</si>
  <si>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</si>
  <si>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</si>
  <si>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</si>
  <si>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</si>
  <si>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</si>
  <si>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</si>
  <si>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</si>
  <si>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</si>
  <si>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</si>
  <si>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</si>
  <si>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</si>
  <si>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</si>
  <si>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</si>
  <si>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</si>
  <si>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</si>
  <si>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</si>
  <si>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</si>
  <si>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</si>
  <si>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</si>
  <si>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</si>
  <si>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</si>
  <si>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</si>
  <si>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</si>
  <si>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</si>
  <si>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</si>
  <si>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</si>
  <si>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</si>
  <si>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</si>
  <si>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</si>
  <si>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</si>
  <si>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</si>
  <si>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</si>
  <si>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</si>
  <si>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</si>
  <si>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</si>
  <si>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</si>
  <si>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</si>
  <si>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</si>
  <si>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</si>
  <si>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</si>
  <si>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</si>
  <si>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</si>
  <si>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</si>
  <si>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</si>
  <si>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</si>
  <si>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</si>
  <si>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</si>
  <si>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</si>
  <si>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</si>
  <si>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</si>
  <si>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</si>
  <si>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</si>
  <si>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</si>
  <si>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</si>
  <si>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</si>
  <si>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</si>
  <si>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</si>
  <si>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</si>
  <si>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</si>
  <si>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</si>
  <si>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</si>
  <si>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</si>
  <si>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</si>
  <si>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</si>
  <si>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</si>
  <si>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</si>
  <si>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</si>
  <si>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</si>
  <si>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</si>
  <si>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</si>
  <si>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</si>
  <si>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</si>
  <si>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</si>
  <si>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</si>
  <si>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</si>
  <si>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</si>
  <si>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</si>
  <si>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</si>
  <si>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</si>
  <si>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</si>
  <si>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</si>
  <si>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</si>
  <si>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</si>
  <si>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</si>
  <si>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</si>
  <si>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</si>
  <si>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</si>
  <si>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</si>
  <si>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</si>
  <si>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</si>
  <si>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</si>
  <si>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</si>
  <si>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</si>
  <si>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</si>
  <si>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</si>
  <si>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</si>
  <si>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</si>
  <si>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</si>
  <si>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</si>
  <si>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</si>
  <si>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</si>
  <si>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</si>
  <si>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</si>
  <si>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</si>
  <si>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</si>
  <si>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</si>
  <si>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</si>
  <si>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</si>
  <si>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</si>
  <si>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</si>
  <si>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</si>
  <si>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</si>
  <si>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</si>
  <si>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</si>
  <si>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</si>
  <si>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</si>
  <si>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</si>
  <si>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</si>
  <si>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</si>
  <si>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</si>
  <si>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</si>
  <si>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</si>
  <si>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</si>
  <si>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</si>
  <si>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</si>
  <si>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</si>
  <si>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</si>
  <si>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</si>
  <si>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</si>
  <si>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</si>
  <si>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</si>
  <si>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</si>
  <si>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</si>
  <si>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</si>
  <si>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</si>
  <si>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</si>
  <si>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</si>
  <si>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</si>
  <si>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</si>
  <si>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</si>
  <si>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</si>
  <si>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</si>
  <si>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</si>
  <si>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</si>
  <si>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</si>
  <si>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</si>
  <si>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</si>
  <si>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</si>
  <si>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</si>
  <si>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</si>
  <si>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</si>
  <si>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</si>
  <si>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</si>
  <si>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</si>
  <si>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</si>
  <si>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</si>
  <si>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</si>
  <si>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</si>
  <si>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</si>
  <si>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</si>
  <si>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</si>
  <si>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</si>
  <si>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</si>
  <si>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</si>
  <si>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</si>
  <si>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</si>
  <si>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</si>
  <si>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</si>
  <si>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</si>
  <si>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</si>
  <si>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</si>
  <si>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</si>
  <si>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</si>
  <si>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</si>
  <si>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</si>
  <si>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</si>
  <si>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</si>
  <si>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</si>
  <si>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</si>
  <si>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</si>
  <si>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</si>
  <si>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</si>
  <si>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</si>
  <si>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</si>
  <si>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</si>
  <si>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</si>
  <si>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</si>
  <si>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</si>
  <si>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</si>
  <si>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</si>
  <si>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</si>
  <si>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</si>
  <si>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</si>
  <si>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</si>
  <si>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</si>
  <si>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</si>
  <si>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</si>
  <si>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</si>
  <si>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</si>
  <si>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</si>
  <si>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</si>
  <si>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</si>
  <si>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</si>
  <si>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</si>
  <si>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</si>
  <si>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</si>
  <si>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</si>
  <si>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</si>
  <si>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</si>
  <si>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</si>
  <si>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</si>
  <si>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</si>
  <si>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</si>
  <si>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</si>
  <si>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</si>
  <si>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</si>
  <si>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</si>
  <si>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</si>
  <si>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</si>
  <si>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</si>
  <si>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</si>
  <si>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</si>
  <si>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</si>
  <si>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</si>
  <si>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</si>
  <si>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</si>
  <si>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</si>
  <si>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</si>
  <si>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</si>
  <si>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</si>
  <si>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</si>
  <si>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</si>
  <si>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</si>
  <si>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</si>
  <si>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</si>
  <si>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</si>
  <si>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</si>
  <si>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</si>
  <si>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</si>
  <si>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</si>
  <si>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</si>
  <si>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</si>
  <si>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</si>
  <si>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</si>
  <si>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</si>
  <si>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</si>
  <si>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</si>
  <si>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</si>
  <si>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</si>
  <si>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</si>
  <si>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</si>
  <si>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</si>
  <si>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</si>
  <si>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</si>
  <si>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</si>
  <si>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</si>
  <si>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</si>
  <si>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</si>
  <si>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</si>
  <si>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</si>
  <si>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</si>
  <si>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</si>
  <si>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</si>
  <si>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</si>
  <si>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</si>
  <si>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</si>
  <si>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</si>
  <si>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</si>
  <si>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</si>
  <si>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</si>
  <si>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</si>
  <si>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</si>
  <si>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</si>
  <si>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</si>
  <si>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</si>
  <si>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</si>
  <si>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</si>
  <si>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</si>
  <si>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</si>
  <si>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</si>
  <si>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</si>
  <si>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</si>
  <si>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</si>
  <si>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</si>
  <si>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</si>
  <si>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</si>
  <si>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</si>
  <si>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</si>
  <si>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</si>
  <si>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</si>
  <si>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</si>
  <si>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</si>
  <si>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</si>
  <si>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</si>
  <si>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</si>
  <si>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</si>
  <si>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</si>
  <si>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</si>
  <si>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</si>
  <si>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</si>
  <si>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</si>
  <si>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</si>
  <si>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</si>
  <si>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</si>
  <si>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</si>
  <si>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</si>
  <si>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</si>
  <si>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</si>
  <si>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</si>
  <si>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</si>
  <si>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</si>
  <si>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</si>
  <si>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</si>
  <si>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</si>
  <si>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</si>
  <si>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</si>
  <si>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</si>
  <si>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</si>
  <si>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</si>
  <si>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</si>
  <si>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</si>
  <si>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</si>
  <si>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</si>
  <si>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</si>
  <si>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</si>
  <si>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</si>
  <si>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</si>
  <si>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</si>
  <si>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</si>
  <si>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</si>
  <si>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</si>
  <si>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</si>
  <si>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</si>
  <si>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</si>
  <si>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</si>
  <si>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</si>
  <si>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</si>
  <si>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</si>
  <si>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</si>
  <si>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</si>
  <si>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</si>
  <si>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</si>
  <si>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</si>
  <si>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</si>
  <si>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</si>
  <si>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</si>
  <si>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</si>
  <si>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</si>
  <si>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</si>
  <si>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</si>
  <si>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</si>
  <si>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</si>
  <si>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</si>
  <si>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</si>
  <si>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</si>
  <si>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</si>
  <si>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</si>
  <si>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</si>
  <si>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</si>
  <si>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</si>
  <si>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</si>
  <si>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</si>
  <si>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</si>
  <si>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</si>
  <si>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</si>
  <si>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</si>
  <si>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</si>
  <si>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</si>
  <si>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</si>
  <si>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</si>
  <si>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</si>
  <si>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</si>
  <si>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</si>
  <si>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</si>
  <si>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</si>
  <si>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</si>
  <si>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</si>
  <si>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</si>
  <si>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</si>
  <si>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</si>
  <si>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</si>
  <si>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</si>
  <si>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</si>
  <si>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</si>
  <si>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</si>
  <si>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</si>
  <si>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</si>
  <si>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</si>
  <si>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</si>
  <si>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</si>
  <si>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</si>
  <si>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</si>
  <si>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</si>
  <si>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</si>
  <si>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</si>
  <si>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</si>
  <si>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</si>
  <si>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</si>
  <si>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</si>
  <si>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</si>
  <si>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</si>
  <si>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</si>
  <si>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</si>
  <si>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</si>
  <si>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</si>
  <si>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</si>
  <si>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</si>
  <si>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</si>
  <si>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</si>
  <si>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</si>
  <si>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</si>
  <si>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</si>
  <si>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</si>
  <si>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</si>
  <si>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</si>
  <si>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</si>
  <si>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</si>
  <si>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</si>
  <si>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</si>
  <si>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</si>
  <si>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</si>
  <si>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</si>
  <si>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</si>
  <si>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</si>
  <si>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</si>
  <si>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</si>
  <si>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</si>
  <si>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</si>
  <si>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</si>
  <si>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</si>
  <si>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</si>
  <si>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</si>
  <si>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</si>
  <si>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</si>
  <si>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</si>
  <si>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</si>
  <si>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</si>
  <si>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</si>
  <si>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</si>
  <si>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</si>
  <si>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</si>
  <si>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</si>
  <si>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</si>
  <si>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</si>
  <si>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</si>
  <si>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</si>
  <si>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</si>
  <si>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</si>
  <si>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</si>
  <si>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</si>
  <si>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</si>
  <si>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</si>
  <si>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</si>
  <si>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</si>
  <si>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</si>
  <si>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</si>
  <si>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</si>
  <si>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</si>
  <si>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</si>
  <si>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</si>
  <si>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</si>
  <si>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</si>
  <si>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</si>
  <si>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</si>
  <si>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</si>
  <si>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</si>
  <si>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</si>
  <si>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</si>
  <si>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</si>
  <si>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</si>
  <si>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</si>
  <si>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</si>
  <si>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</si>
  <si>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</si>
  <si>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</si>
  <si>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</si>
  <si>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</si>
  <si>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</si>
  <si>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</si>
  <si>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</si>
  <si>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</si>
  <si>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</si>
  <si>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</si>
  <si>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</si>
  <si>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</si>
  <si>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</si>
  <si>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</si>
  <si>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</si>
  <si>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</si>
  <si>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</si>
  <si>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</si>
  <si>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</si>
  <si>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</si>
  <si>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</si>
  <si>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</si>
  <si>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</si>
  <si>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</si>
  <si>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</si>
  <si>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</si>
  <si>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</si>
  <si>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</si>
  <si>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</si>
  <si>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</si>
  <si>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</si>
  <si>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</si>
  <si>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</si>
  <si>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</si>
  <si>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</si>
  <si>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</si>
  <si>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</si>
  <si>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</si>
  <si>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</si>
  <si>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</si>
  <si>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</si>
  <si>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</si>
  <si>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</si>
  <si>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</si>
  <si>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</si>
  <si>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</si>
  <si>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</si>
  <si>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</si>
  <si>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</si>
  <si>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</si>
  <si>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</si>
  <si>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</si>
  <si>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</si>
  <si>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</si>
  <si>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</si>
  <si>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</si>
  <si>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</si>
  <si>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</si>
  <si>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</si>
  <si>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</si>
  <si>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</si>
  <si>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</si>
  <si>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</si>
  <si>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</si>
  <si>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</si>
  <si>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</si>
  <si>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</si>
  <si>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</si>
  <si>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</si>
  <si>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</si>
  <si>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</si>
  <si>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</si>
  <si>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</si>
  <si>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</si>
  <si>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</si>
  <si>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</si>
  <si>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</si>
  <si>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</si>
  <si>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</si>
  <si>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</si>
  <si>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</si>
  <si>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</si>
  <si>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</si>
  <si>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</si>
  <si>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</si>
  <si>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</si>
  <si>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</si>
  <si>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</si>
  <si>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</si>
  <si>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</si>
  <si>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</si>
  <si>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</si>
  <si>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</si>
  <si>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</si>
  <si>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</si>
  <si>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</si>
  <si>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</si>
  <si>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</si>
  <si>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</si>
  <si>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</si>
  <si>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</si>
  <si>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</si>
  <si>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</si>
  <si>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</si>
  <si>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</si>
  <si>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</si>
  <si>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</si>
  <si>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</si>
  <si>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</si>
  <si>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</si>
  <si>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</si>
  <si>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</si>
  <si>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</si>
  <si>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</si>
  <si>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</si>
  <si>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</si>
  <si>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</si>
  <si>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</si>
  <si>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</si>
  <si>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</si>
  <si>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</si>
  <si>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</si>
  <si>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</si>
  <si>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</si>
  <si>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</si>
  <si>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</si>
  <si>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</si>
  <si>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</si>
  <si>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</si>
  <si>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</si>
  <si>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</si>
  <si>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</si>
  <si>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</si>
  <si>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</si>
  <si>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</si>
  <si>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</si>
  <si>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</si>
  <si>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</si>
  <si>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</si>
  <si>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</si>
  <si>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</si>
  <si>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</si>
  <si>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</si>
  <si>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</si>
  <si>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</si>
  <si>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</si>
  <si>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</si>
  <si>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</si>
  <si>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</si>
  <si>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</si>
  <si>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</si>
  <si>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</si>
  <si>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</si>
  <si>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</si>
  <si>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</si>
  <si>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</si>
  <si>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</si>
  <si>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</si>
  <si>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</si>
  <si>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</si>
  <si>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</si>
  <si>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</si>
  <si>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</si>
  <si>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</si>
  <si>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</si>
  <si>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</si>
  <si>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</si>
  <si>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</si>
  <si>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</si>
  <si>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</si>
  <si>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</si>
  <si>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</si>
  <si>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</si>
  <si>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</si>
  <si>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</si>
  <si>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</si>
  <si>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</si>
  <si>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</si>
  <si>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</si>
  <si>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</si>
  <si>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</si>
  <si>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</si>
  <si>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</si>
  <si>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</si>
  <si>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</si>
  <si>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</si>
  <si>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</si>
  <si>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</si>
  <si>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</si>
  <si>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</si>
  <si>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</si>
  <si>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</si>
  <si>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</si>
  <si>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</si>
  <si>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</si>
  <si>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</si>
  <si>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</si>
  <si>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</si>
  <si>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</si>
  <si>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</si>
  <si>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</si>
  <si>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</si>
  <si>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</si>
  <si>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</si>
  <si>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</si>
  <si>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</si>
  <si>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</si>
  <si>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</si>
  <si>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</si>
  <si>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</si>
  <si>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</si>
  <si>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</si>
  <si>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</si>
  <si>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</si>
  <si>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</si>
  <si>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</si>
  <si>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</si>
  <si>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</si>
  <si>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</si>
  <si>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</si>
  <si>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</si>
  <si>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</si>
  <si>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</si>
  <si>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</si>
  <si>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</si>
  <si>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</si>
  <si>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</si>
  <si>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</si>
  <si>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</si>
  <si>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</si>
  <si>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</si>
  <si>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</si>
  <si>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</si>
  <si>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</si>
  <si>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</si>
  <si>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</si>
  <si>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</si>
  <si>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</si>
  <si>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</si>
  <si>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</si>
  <si>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</si>
  <si>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</si>
  <si>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</si>
  <si>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</si>
  <si>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</si>
  <si>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</si>
  <si>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</si>
  <si>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</si>
  <si>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</si>
  <si>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</si>
  <si>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</si>
  <si>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</si>
  <si>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</si>
  <si>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</si>
  <si>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</si>
  <si>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</si>
  <si>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</si>
  <si>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</si>
  <si>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</si>
  <si>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</si>
  <si>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</si>
  <si>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</si>
  <si>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</si>
  <si>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</si>
  <si>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</si>
  <si>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</si>
  <si>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</si>
  <si>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</si>
  <si>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</si>
  <si>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</si>
  <si>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</si>
  <si>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</si>
  <si>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</si>
  <si>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</si>
  <si>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</si>
  <si>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</si>
  <si>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</si>
  <si>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</si>
  <si>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</si>
  <si>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</si>
  <si>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</si>
  <si>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</si>
  <si>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</si>
  <si>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</si>
  <si>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</si>
  <si>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</si>
  <si>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</si>
  <si>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</si>
  <si>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</si>
  <si>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</si>
  <si>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</si>
  <si>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</si>
  <si>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</si>
  <si>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</si>
  <si>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</si>
  <si>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</si>
  <si>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</si>
  <si>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</si>
  <si>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</si>
  <si>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</si>
  <si>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</si>
  <si>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</si>
  <si>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</si>
  <si>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</si>
  <si>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</si>
  <si>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</si>
  <si>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</si>
  <si>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</si>
  <si>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</si>
  <si>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</si>
  <si>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</si>
  <si>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</si>
  <si>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</si>
  <si>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</si>
  <si>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</si>
  <si>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</si>
  <si>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</si>
  <si>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</si>
  <si>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</si>
  <si>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</si>
  <si>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</si>
  <si>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</si>
  <si>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</si>
  <si>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</si>
  <si>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</si>
  <si>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</si>
  <si>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</si>
  <si>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</si>
  <si>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</si>
  <si>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</si>
  <si>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</si>
  <si>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</si>
  <si>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</si>
  <si>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</si>
  <si>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</si>
  <si>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</si>
  <si>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</si>
  <si>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</si>
  <si>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</si>
  <si>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</si>
  <si>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</si>
  <si>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</si>
  <si>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</si>
  <si>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</si>
  <si>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</si>
  <si>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</si>
  <si>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</si>
  <si>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</si>
  <si>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</si>
  <si>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</si>
  <si>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</si>
  <si>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</si>
  <si>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</si>
  <si>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</si>
  <si>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</si>
  <si>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</si>
  <si>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</si>
  <si>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</si>
  <si>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</si>
  <si>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</si>
  <si>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</si>
  <si>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</si>
  <si>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</si>
  <si>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</si>
  <si>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</si>
  <si>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</si>
  <si>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</si>
  <si>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</si>
  <si>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</si>
  <si>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</si>
  <si>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</si>
  <si>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</si>
  <si>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</si>
  <si>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</si>
  <si>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</si>
  <si>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</si>
  <si>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</si>
  <si>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</si>
  <si>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</si>
  <si>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</si>
  <si>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</si>
  <si>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</si>
  <si>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</si>
  <si>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</si>
  <si>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</si>
  <si>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</si>
  <si>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</si>
  <si>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</si>
  <si>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</si>
  <si>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</si>
  <si>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</si>
  <si>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</si>
  <si>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</si>
  <si>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</si>
  <si>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</si>
  <si>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</si>
  <si>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</si>
  <si>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</si>
  <si>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</si>
  <si>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</si>
  <si>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</si>
  <si>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</si>
  <si>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</si>
  <si>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</si>
  <si>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</si>
  <si>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</si>
  <si>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</si>
  <si>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</si>
  <si>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</si>
  <si>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</si>
  <si>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</si>
  <si>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</si>
  <si>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</si>
  <si>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</si>
  <si>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</si>
  <si>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</si>
  <si>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</si>
  <si>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</si>
  <si>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</si>
  <si>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</si>
  <si>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</si>
  <si>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</si>
  <si>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</si>
  <si>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</si>
  <si>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</si>
  <si>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</si>
  <si>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</si>
  <si>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</si>
  <si>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</si>
  <si>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</si>
  <si>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</si>
  <si>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</si>
  <si>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</si>
  <si>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</si>
  <si>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</si>
  <si>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</si>
  <si>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</si>
  <si>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</si>
  <si>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</si>
  <si>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</si>
  <si>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</si>
  <si>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</si>
  <si>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</si>
  <si>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</si>
  <si>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</si>
  <si>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</si>
  <si>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</si>
  <si>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</si>
  <si>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</si>
  <si>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</si>
  <si>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</si>
  <si>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</si>
  <si>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</si>
  <si>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</si>
  <si>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</si>
  <si>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</si>
  <si>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</si>
  <si>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</si>
  <si>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</si>
  <si>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</si>
  <si>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</si>
  <si>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</si>
  <si>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</si>
  <si>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</si>
  <si>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</si>
  <si>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</si>
  <si>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</si>
  <si>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</si>
  <si>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</si>
  <si>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</si>
  <si>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</si>
  <si>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</si>
  <si>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</si>
  <si>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</si>
  <si>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</si>
  <si>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</si>
  <si>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</si>
  <si>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</si>
  <si>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</si>
  <si>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</si>
  <si>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</si>
  <si>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</si>
  <si>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</si>
  <si>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</si>
  <si>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</si>
  <si>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</si>
  <si>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</si>
  <si>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</si>
  <si>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</si>
  <si>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</si>
  <si>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</si>
  <si>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</si>
  <si>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</si>
  <si>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</si>
  <si>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</si>
  <si>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</si>
  <si>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</si>
  <si>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</si>
  <si>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</si>
  <si>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</si>
  <si>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</si>
  <si>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</si>
  <si>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</si>
  <si>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</si>
  <si>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</si>
  <si>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</si>
  <si>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</si>
  <si>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</si>
  <si>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</si>
  <si>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</si>
  <si>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</si>
  <si>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</si>
  <si>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</si>
  <si>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</si>
  <si>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</si>
  <si>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</si>
  <si>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</si>
  <si>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</si>
  <si>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</si>
  <si>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</si>
  <si>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</si>
  <si>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</si>
  <si>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</si>
  <si>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</si>
  <si>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</si>
  <si>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</si>
  <si>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</si>
  <si>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</si>
  <si>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</si>
  <si>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</si>
  <si>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</si>
  <si>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</si>
  <si>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</si>
  <si>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</si>
  <si>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</si>
  <si>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</si>
  <si>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</si>
  <si>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</si>
  <si>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</si>
  <si>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</si>
  <si>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</si>
  <si>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</si>
  <si>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</si>
  <si>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</si>
  <si>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</si>
  <si>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</si>
  <si>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</si>
  <si>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</si>
  <si>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</si>
  <si>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</si>
  <si>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</si>
  <si>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</si>
  <si>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</si>
  <si>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</si>
  <si>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</si>
  <si>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</si>
  <si>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</si>
  <si>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</si>
  <si>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</si>
  <si>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</si>
  <si>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</si>
  <si>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</si>
  <si>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</si>
  <si>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</si>
  <si>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</si>
  <si>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</si>
  <si>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</si>
  <si>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</si>
  <si>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</si>
  <si>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</si>
  <si>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</si>
  <si>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</si>
  <si>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</si>
  <si>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</si>
  <si>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</si>
  <si>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</si>
  <si>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</si>
  <si>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</si>
  <si>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</si>
  <si>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</si>
  <si>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</si>
  <si>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</si>
  <si>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</si>
  <si>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</si>
  <si>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</si>
  <si>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</si>
  <si>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</si>
  <si>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</si>
  <si>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</si>
  <si>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</si>
  <si>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</si>
  <si>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</si>
  <si>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</si>
  <si>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</si>
  <si>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</si>
  <si>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</si>
  <si>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</si>
  <si>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</si>
  <si>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</si>
  <si>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</si>
  <si>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</si>
  <si>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</si>
  <si>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</si>
  <si>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</si>
  <si>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</si>
  <si>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</si>
  <si>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</si>
  <si>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</si>
  <si>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</si>
  <si>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</si>
  <si>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</si>
  <si>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</si>
  <si>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</si>
  <si>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</si>
  <si>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</si>
  <si>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</si>
  <si>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</si>
  <si>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</si>
  <si>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</si>
  <si>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</si>
  <si>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receivable from prior year in transit</t>
  </si>
  <si>
    <t>02/15</t>
  </si>
  <si>
    <t>02/36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</si>
</sst>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zoomScaleSheetLayoutView="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1085</v>
      </c>
      <c r="B2">
        <f>INDEX('School Tables'!$AH$3:$AH$209,MATCH('DOE25'!A2,'School Tables'!$AJ$3:$AJ$209,0))</f>
        <v>233</v>
      </c>
      <c r="C2">
        <f>INDEX('School Tables'!$AI$3:$AI$209,MATCH('DOE25'!A2,'School Tables'!$AJ$3:$AJ$209,0))</f>
        <v>233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1645351.74</v>
      </c>
      <c r="G9" s="18"/>
      <c r="H9" s="18"/>
      <c r="I9" s="18"/>
      <c r="J9" s="13">
        <f>SUM(I440)</f>
        <v>2642389</v>
      </c>
      <c r="K9" s="23" t="s">
        <v>288</v>
      </c>
      <c r="L9" s="23" t="s">
        <v>288</v>
      </c>
      <c r="M9" s="8"/>
      <c r="N9" s="165"/>
    </row>
    <row r="10" spans="1:14" s="3" customFormat="1" ht="12.2" customHeight="1" x14ac:dyDescent="0.15">
      <c r="A10" s="1" t="s">
        <v>562</v>
      </c>
      <c r="B10" s="2" t="s">
        <v>289</v>
      </c>
      <c r="C10" s="6">
        <v>2</v>
      </c>
      <c r="D10" s="2" t="s">
        <v>428</v>
      </c>
      <c r="E10" s="6">
        <v>110</v>
      </c>
      <c r="F10" s="18">
        <v>2208743.66</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25850</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722309.94-834.7</f>
        <v>721475.24</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22002.400000000001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4623423.040000001</v>
      </c>
      <c r="G19" s="38">
        <f>SUM(G9:G18)</f>
        <v>0</v>
      </c>
      <c r="H19" s="38">
        <f>SUM(H9:H18)</f>
        <v>0</v>
      </c>
      <c r="I19" s="38">
        <f>SUM(I9:I18)</f>
        <v>0</v>
      </c>
      <c r="J19" s="38">
        <f>SUM(J9:J18)</f>
        <v>2642389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30293.43</v>
      </c>
      <c r="G22" s="18">
        <v>-15622.45</v>
      </c>
      <c r="H22" s="18">
        <v>-14671.3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487803.24</v>
      </c>
      <c r="G24" s="18">
        <v>0</v>
      </c>
      <c r="H24" s="18">
        <v>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0.06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6.71-3895.59-32310.68</f>
        <v>-36199.56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9296.9500000000007</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2240355.04</v>
      </c>
      <c r="G31" s="18">
        <v>6325.5</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2722252.21</v>
      </c>
      <c r="G32" s="38">
        <f>SUM(G22:G31)</f>
        <v>0</v>
      </c>
      <c r="H32" s="38">
        <f>SUM(H22:H31)</f>
        <v>-14671.199999999999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0.42</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23295</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700000</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104620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470669</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14671.2</v>
      </c>
      <c r="I48" s="18"/>
      <c r="J48" s="13">
        <f>SUM(I460)</f>
        <v>2642389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602586.9-0.49</f>
        <v>602586.41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1901170.83</v>
      </c>
      <c r="G51" s="38">
        <f>SUM(G35:G50)</f>
        <v>0</v>
      </c>
      <c r="H51" s="38">
        <f>SUM(H35:H50)</f>
        <v>14671.2</v>
      </c>
      <c r="I51" s="38">
        <f>SUM(I35:I50)</f>
        <v>0</v>
      </c>
      <c r="J51" s="38">
        <f>SUM(J35:J50)</f>
        <v>2642389</v>
      </c>
      <c r="K51" s="42" t="s">
        <v>288</v>
      </c>
      <c r="L51" s="42" t="s">
        <v>288</v>
      </c>
      <c r="N51" s="131"/>
    </row>
    <row r="52" spans="1:14" s="3" customFormat="1" ht="12.2" customHeight="1" thickTop="1" x14ac:dyDescent="0.15">
      <c r="A52" s="35" t="s">
        <v>455</v>
      </c>
      <c r="B52" s="36" t="s">
        <v>289</v>
      </c>
      <c r="C52" s="6">
        <v>37</v>
      </c>
      <c r="D52" s="36" t="s">
        <v>653</v>
      </c>
      <c r="E52" s="36"/>
      <c r="F52" s="38">
        <f>F51+F32</f>
        <v>4623423.04</v>
      </c>
      <c r="G52" s="38">
        <f>G51+G32</f>
        <v>0</v>
      </c>
      <c r="H52" s="38">
        <f>H51+H32</f>
        <v>0</v>
      </c>
      <c r="I52" s="38">
        <f>I51+I32</f>
        <v>0</v>
      </c>
      <c r="J52" s="38">
        <f>J51+J32</f>
        <v>2642389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10025470-1682381</f>
        <v>8343089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8343089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156070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156070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123536.25</v>
      </c>
      <c r="G96" s="18"/>
      <c r="H96" s="18"/>
      <c r="I96" s="18"/>
      <c r="J96" s="18">
        <f>142773+66587</f>
        <v>209360</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155934.76999999999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11877.83</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37624.99</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74494.429999999993</v>
      </c>
      <c r="G110" s="18"/>
      <c r="H110" s="18">
        <v>16775.169999999998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247533.49999999997</v>
      </c>
      <c r="G111" s="38">
        <f>SUM(G96:G110)</f>
        <v>155934.76999999999</v>
      </c>
      <c r="H111" s="38">
        <f>SUM(H96:H110)</f>
        <v>16775.169999999998</v>
      </c>
      <c r="I111" s="38">
        <f>SUM(I96:I110)</f>
        <v>0</v>
      </c>
      <c r="J111" s="38">
        <f>SUM(J96:J110)</f>
        <v>209360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8746692.5</v>
      </c>
      <c r="G112" s="38">
        <f>G60+G111</f>
        <v>155934.76999999999</v>
      </c>
      <c r="H112" s="38">
        <f>H60+H79+H94+H111</f>
        <v>16775.169999999998</v>
      </c>
      <c r="I112" s="38">
        <f>I60+I111</f>
        <v>0</v>
      </c>
      <c r="J112" s="38">
        <f>J60+J111</f>
        <v>209360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1308224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1741268+1682381</f>
        <v>3423649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4731873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71642.55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610458.38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682100.93</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5413973.9299999997</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v>71274.55</v>
      </c>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71274.55</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3576.68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7153.57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121709+7506+920.43</f>
        <v>130135.43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43430.96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16406.98+59222.5</f>
        <v>75629.48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43430.96</v>
      </c>
      <c r="G163" s="38">
        <f>SUM(G150:G162)</f>
        <v>0</v>
      </c>
      <c r="H163" s="38">
        <f>SUM(H150:H162)</f>
        <v>216495.15999999997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3286.98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46717.94</v>
      </c>
      <c r="G170" s="38">
        <f>G147+G163+SUM(G164:G169)</f>
        <v>0</v>
      </c>
      <c r="H170" s="38">
        <f>H147+H163+SUM(H164:H169)</f>
        <v>287769.70999999996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28957.35</v>
      </c>
      <c r="H180" s="18"/>
      <c r="I180" s="18"/>
      <c r="J180" s="18">
        <v>150000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28957.35</v>
      </c>
      <c r="H184" s="38">
        <f>SUM(H180:H183)</f>
        <v>0</v>
      </c>
      <c r="I184" s="38">
        <f>SUM(I180:I183)</f>
        <v>0</v>
      </c>
      <c r="J184" s="38">
        <f>SUM(J180:J183)</f>
        <v>150000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30000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30000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30000</v>
      </c>
      <c r="G193" s="38">
        <f>G184+SUM(G189:G192)</f>
        <v>28957.35</v>
      </c>
      <c r="H193" s="38">
        <f>+H184+SUM(H189:H192)</f>
        <v>0</v>
      </c>
      <c r="I193" s="38">
        <f>I178+I184+SUM(I189:I192)</f>
        <v>0</v>
      </c>
      <c r="J193" s="38">
        <f>J184</f>
        <v>150000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14237384.369999999</v>
      </c>
      <c r="G194" s="38">
        <f>G112+G140+G170+G193</f>
        <v>184892.12</v>
      </c>
      <c r="H194" s="38">
        <f>H112+H140+H170+H193</f>
        <v>304544.87999999995</v>
      </c>
      <c r="I194" s="38">
        <f>I112+I140+I170+I193</f>
        <v>0</v>
      </c>
      <c r="J194" s="38">
        <f>J112+J140+J193</f>
        <v>359360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3548504.91</v>
      </c>
      <c r="G198" s="18">
        <f>1815238.03-4.16</f>
        <v>1815233.87</v>
      </c>
      <c r="H198" s="18">
        <v>99380.83</v>
      </c>
      <c r="I198" s="18">
        <v>59751.53</v>
      </c>
      <c r="J198" s="18">
        <v>101444.26</v>
      </c>
      <c r="K198" s="18"/>
      <c r="L198" s="13">
        <f>SUM(F198:K198)</f>
        <v>5624315.4000000004</v>
      </c>
      <c r="M198" s="8"/>
      <c r="N198" s="165"/>
    </row>
    <row r="199" spans="1:14" s="3" customFormat="1" ht="12.2" customHeight="1" x14ac:dyDescent="0.15">
      <c r="A199" s="1" t="s">
        <v>439</v>
      </c>
      <c r="B199" s="2" t="s">
        <v>341</v>
      </c>
      <c r="C199" s="2" t="s">
        <v>291</v>
      </c>
      <c r="D199" s="2" t="s">
        <v>431</v>
      </c>
      <c r="E199" s="6">
        <v>1200</v>
      </c>
      <c r="F199" s="18">
        <v>1503259.9</v>
      </c>
      <c r="G199" s="18">
        <v>903971.57</v>
      </c>
      <c r="H199" s="18">
        <v>386680.24</v>
      </c>
      <c r="I199" s="18">
        <v>7267.46</v>
      </c>
      <c r="J199" s="18">
        <v>1351.4</v>
      </c>
      <c r="K199" s="18"/>
      <c r="L199" s="13">
        <f>SUM(F199:K199)</f>
        <v>2802530.57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253087.54</v>
      </c>
      <c r="G203" s="18">
        <v>139372.20000000001</v>
      </c>
      <c r="H203" s="18">
        <v>2237.4</v>
      </c>
      <c r="I203" s="18">
        <v>1662.06</v>
      </c>
      <c r="J203" s="18"/>
      <c r="K203" s="18"/>
      <c r="L203" s="13">
        <f t="shared" ref="L203:L209" si="0">SUM(F203:K203)</f>
        <v>396359.2</v>
      </c>
      <c r="M203" s="8"/>
      <c r="N203" s="165"/>
    </row>
    <row r="204" spans="1:14" s="3" customFormat="1" ht="12.2" customHeight="1" x14ac:dyDescent="0.15">
      <c r="A204" s="1" t="s">
        <v>443</v>
      </c>
      <c r="B204" s="2" t="s">
        <v>341</v>
      </c>
      <c r="C204" s="2" t="s">
        <v>295</v>
      </c>
      <c r="D204" s="2" t="s">
        <v>431</v>
      </c>
      <c r="E204" s="6">
        <v>2200</v>
      </c>
      <c r="F204" s="18">
        <v>129755.01</v>
      </c>
      <c r="G204" s="18">
        <v>129704.61</v>
      </c>
      <c r="H204" s="18">
        <v>35925.25</v>
      </c>
      <c r="I204" s="18">
        <v>8874.51</v>
      </c>
      <c r="J204" s="18">
        <v>5427.51</v>
      </c>
      <c r="K204" s="18"/>
      <c r="L204" s="13">
        <f t="shared" si="0"/>
        <v>309686.89</v>
      </c>
      <c r="M204" s="8"/>
      <c r="N204" s="165"/>
    </row>
    <row r="205" spans="1:14" s="3" customFormat="1" ht="12.2" customHeight="1" x14ac:dyDescent="0.15">
      <c r="A205" s="1" t="s">
        <v>444</v>
      </c>
      <c r="B205" s="2" t="s">
        <v>341</v>
      </c>
      <c r="C205" s="2" t="s">
        <v>296</v>
      </c>
      <c r="D205" s="2" t="s">
        <v>431</v>
      </c>
      <c r="E205" s="6">
        <v>2300</v>
      </c>
      <c r="F205" s="18">
        <v>9156.5</v>
      </c>
      <c r="G205" s="18">
        <v>716.91</v>
      </c>
      <c r="H205" s="18">
        <v>541703.28</v>
      </c>
      <c r="I205" s="18"/>
      <c r="J205" s="18"/>
      <c r="K205" s="18">
        <v>7594.64</v>
      </c>
      <c r="L205" s="13">
        <f t="shared" si="0"/>
        <v>559171.33000000007</v>
      </c>
      <c r="M205" s="8"/>
      <c r="N205" s="165"/>
    </row>
    <row r="206" spans="1:14" s="3" customFormat="1" ht="12.2" customHeight="1" x14ac:dyDescent="0.15">
      <c r="A206" s="1" t="s">
        <v>445</v>
      </c>
      <c r="B206" s="2" t="s">
        <v>341</v>
      </c>
      <c r="C206" s="2" t="s">
        <v>297</v>
      </c>
      <c r="D206" s="2" t="s">
        <v>431</v>
      </c>
      <c r="E206" s="6">
        <v>2400</v>
      </c>
      <c r="F206" s="18">
        <v>323128.18</v>
      </c>
      <c r="G206" s="18">
        <v>241260.99</v>
      </c>
      <c r="H206" s="18">
        <v>17203.55</v>
      </c>
      <c r="I206" s="18">
        <v>1849.7</v>
      </c>
      <c r="J206" s="18">
        <v>2725.98</v>
      </c>
      <c r="K206" s="18">
        <v>1344</v>
      </c>
      <c r="L206" s="13">
        <f t="shared" si="0"/>
        <v>587512.39999999991</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88032.68</v>
      </c>
      <c r="G208" s="18">
        <v>71520.3</v>
      </c>
      <c r="H208" s="18">
        <v>387944.42</v>
      </c>
      <c r="I208" s="18">
        <v>155170.84</v>
      </c>
      <c r="J208" s="18">
        <v>1453.89</v>
      </c>
      <c r="K208" s="18"/>
      <c r="L208" s="13">
        <f t="shared" si="0"/>
        <v>704122.12999999989</v>
      </c>
      <c r="M208" s="8"/>
      <c r="N208" s="165"/>
    </row>
    <row r="209" spans="1:14" s="3" customFormat="1" ht="12.2" customHeight="1" x14ac:dyDescent="0.15">
      <c r="A209" s="1" t="s">
        <v>448</v>
      </c>
      <c r="B209" s="2" t="s">
        <v>341</v>
      </c>
      <c r="C209" s="2" t="s">
        <v>300</v>
      </c>
      <c r="D209" s="2" t="s">
        <v>431</v>
      </c>
      <c r="E209" s="6">
        <v>2700</v>
      </c>
      <c r="F209" s="18"/>
      <c r="G209" s="18"/>
      <c r="H209" s="18">
        <v>338636.57</v>
      </c>
      <c r="I209" s="18">
        <v>36503.949999999997</v>
      </c>
      <c r="J209" s="18"/>
      <c r="K209" s="18"/>
      <c r="L209" s="13">
        <f t="shared" si="0"/>
        <v>375140.52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5854924.7199999997</v>
      </c>
      <c r="G212" s="38">
        <f t="shared" si="1"/>
        <v>3301780.45</v>
      </c>
      <c r="H212" s="38">
        <f t="shared" si="1"/>
        <v>1809711.54</v>
      </c>
      <c r="I212" s="38">
        <f t="shared" si="1"/>
        <v>271080.05</v>
      </c>
      <c r="J212" s="38">
        <f t="shared" si="1"/>
        <v>112403.03999999998</v>
      </c>
      <c r="K212" s="38">
        <f t="shared" si="1"/>
        <v>8938.64</v>
      </c>
      <c r="L212" s="38">
        <f t="shared" si="1"/>
        <v>11358838.440000001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v>41731.93</v>
      </c>
      <c r="I217" s="18"/>
      <c r="J217" s="18"/>
      <c r="K217" s="18"/>
      <c r="L217" s="13">
        <f>SUM(F217:K217)</f>
        <v>41731.93</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136249.57</v>
      </c>
      <c r="I227" s="18">
        <v>28835.72</v>
      </c>
      <c r="J227" s="18"/>
      <c r="K227" s="18"/>
      <c r="L227" s="13">
        <f t="shared" si="2"/>
        <v>165085.29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177981.5</v>
      </c>
      <c r="I230" s="38">
        <f>SUM(I216:I229)</f>
        <v>28835.72</v>
      </c>
      <c r="J230" s="38">
        <f>SUM(J216:J229)</f>
        <v>0</v>
      </c>
      <c r="K230" s="38">
        <f t="shared" si="3"/>
        <v>0</v>
      </c>
      <c r="L230" s="38">
        <f t="shared" si="3"/>
        <v>206817.22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v>938189.69</v>
      </c>
      <c r="I235" s="18"/>
      <c r="J235" s="18"/>
      <c r="K235" s="18"/>
      <c r="L235" s="13">
        <f>SUM(F235:K235)</f>
        <v>938189.69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247966.68</v>
      </c>
      <c r="I245" s="18">
        <v>52479.41</v>
      </c>
      <c r="J245" s="18"/>
      <c r="K245" s="18"/>
      <c r="L245" s="13">
        <f t="shared" si="4"/>
        <v>300446.08999999997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1186156.3699999999</v>
      </c>
      <c r="I248" s="38">
        <f t="shared" si="5"/>
        <v>52479.41</v>
      </c>
      <c r="J248" s="38">
        <f t="shared" si="5"/>
        <v>0</v>
      </c>
      <c r="K248" s="38">
        <f t="shared" si="5"/>
        <v>0</v>
      </c>
      <c r="L248" s="38">
        <f t="shared" si="5"/>
        <v>1238635.7799999998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243127.53</v>
      </c>
      <c r="I256" s="18"/>
      <c r="J256" s="18"/>
      <c r="K256" s="18"/>
      <c r="L256" s="13">
        <f t="shared" si="6"/>
        <v>243127.53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243127.53</v>
      </c>
      <c r="I257" s="38">
        <f t="shared" si="7"/>
        <v>0</v>
      </c>
      <c r="J257" s="38">
        <f t="shared" si="7"/>
        <v>0</v>
      </c>
      <c r="K257" s="38">
        <f t="shared" si="7"/>
        <v>0</v>
      </c>
      <c r="L257" s="38">
        <f>SUM(F257:K257)</f>
        <v>243127.53</v>
      </c>
      <c r="M257" s="8"/>
      <c r="N257" s="165"/>
    </row>
    <row r="258" spans="1:14" s="3" customFormat="1" ht="12.2" customHeight="1" thickTop="1" x14ac:dyDescent="0.15">
      <c r="A258" s="35" t="s">
        <v>462</v>
      </c>
      <c r="B258" s="37">
        <v>10</v>
      </c>
      <c r="C258" s="37">
        <v>8</v>
      </c>
      <c r="D258" s="36" t="s">
        <v>431</v>
      </c>
      <c r="E258" s="37"/>
      <c r="F258" s="38">
        <f t="shared" ref="F258:L258" si="8">F212+F230+F248+F257</f>
        <v>5854924.7199999997</v>
      </c>
      <c r="G258" s="38">
        <f t="shared" si="8"/>
        <v>3301780.45</v>
      </c>
      <c r="H258" s="38">
        <f t="shared" si="8"/>
        <v>3416976.94</v>
      </c>
      <c r="I258" s="38">
        <f t="shared" si="8"/>
        <v>352395.18000000005</v>
      </c>
      <c r="J258" s="38">
        <f t="shared" si="8"/>
        <v>112403.03999999998</v>
      </c>
      <c r="K258" s="38">
        <f t="shared" si="8"/>
        <v>8938.64</v>
      </c>
      <c r="L258" s="38">
        <f t="shared" si="8"/>
        <v>13047418.970000001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240000</v>
      </c>
      <c r="L261" s="13">
        <f>SUM(F261:K261)</f>
        <v>240000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153933.76000000001</v>
      </c>
      <c r="L262" s="13">
        <f>SUM(F262:K262)</f>
        <v>153933.76000000001</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28957.35</v>
      </c>
      <c r="L264" s="13">
        <f>SUM(F264:K264)</f>
        <v>28957.35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572891.11</v>
      </c>
      <c r="L271" s="38">
        <f t="shared" si="9"/>
        <v>572891.11</v>
      </c>
      <c r="M271" s="8"/>
      <c r="N271" s="165"/>
    </row>
    <row r="272" spans="1:14" s="33" customFormat="1" ht="12.2" customHeight="1" thickTop="1" x14ac:dyDescent="0.2">
      <c r="A272" s="40" t="s">
        <v>464</v>
      </c>
      <c r="B272" s="37">
        <v>10</v>
      </c>
      <c r="C272" s="37">
        <v>18</v>
      </c>
      <c r="D272" s="36" t="s">
        <v>431</v>
      </c>
      <c r="E272" s="37"/>
      <c r="F272" s="39">
        <f t="shared" ref="F272:L272" si="11">F258+F271</f>
        <v>5854924.7199999997</v>
      </c>
      <c r="G272" s="39">
        <f t="shared" si="11"/>
        <v>3301780.45</v>
      </c>
      <c r="H272" s="39">
        <f t="shared" si="11"/>
        <v>3416976.94</v>
      </c>
      <c r="I272" s="39">
        <f t="shared" si="11"/>
        <v>352395.18000000005</v>
      </c>
      <c r="J272" s="39">
        <f t="shared" si="11"/>
        <v>112403.03999999998</v>
      </c>
      <c r="K272" s="39">
        <f t="shared" si="11"/>
        <v>581829.75</v>
      </c>
      <c r="L272" s="39">
        <f t="shared" si="11"/>
        <v>13620310.08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3259.7</v>
      </c>
      <c r="G277" s="18">
        <f>249.37+3130</f>
        <v>3379.37</v>
      </c>
      <c r="H277" s="18">
        <f>21487.5+813.2</f>
        <v>22300.7</v>
      </c>
      <c r="I277" s="18">
        <v>3022.59</v>
      </c>
      <c r="J277" s="18">
        <v>43832</v>
      </c>
      <c r="K277" s="18"/>
      <c r="L277" s="13">
        <f>SUM(F277:K277)</f>
        <v>75794.36</v>
      </c>
      <c r="M277" s="8"/>
      <c r="N277" s="165"/>
    </row>
    <row r="278" spans="1:14" s="3" customFormat="1" ht="12.2" customHeight="1" x14ac:dyDescent="0.15">
      <c r="A278" s="1" t="s">
        <v>439</v>
      </c>
      <c r="B278" s="2" t="s">
        <v>357</v>
      </c>
      <c r="C278" s="2" t="s">
        <v>291</v>
      </c>
      <c r="D278" s="2" t="s">
        <v>431</v>
      </c>
      <c r="E278" s="6">
        <v>1200</v>
      </c>
      <c r="F278" s="18">
        <v>181539.01</v>
      </c>
      <c r="G278" s="18">
        <f>5241.54+375</f>
        <v>5616.54</v>
      </c>
      <c r="H278" s="18">
        <v>13334</v>
      </c>
      <c r="I278" s="18">
        <v>920.43</v>
      </c>
      <c r="J278" s="18"/>
      <c r="K278" s="18"/>
      <c r="L278" s="13">
        <f>SUM(F278:K278)</f>
        <v>201409.98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v>9700</v>
      </c>
      <c r="I283" s="18">
        <v>865.37</v>
      </c>
      <c r="J283" s="18"/>
      <c r="K283" s="18"/>
      <c r="L283" s="13">
        <f t="shared" si="12"/>
        <v>10565.37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v>21566.080000000002</v>
      </c>
      <c r="I289" s="18"/>
      <c r="J289" s="18"/>
      <c r="K289" s="18"/>
      <c r="L289" s="13">
        <f>SUM(F289:K289)</f>
        <v>21566.080000000002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184798.71000000002</v>
      </c>
      <c r="G291" s="39">
        <f t="shared" si="13"/>
        <v>8995.91</v>
      </c>
      <c r="H291" s="39">
        <f t="shared" si="13"/>
        <v>66900.78</v>
      </c>
      <c r="I291" s="39">
        <f t="shared" si="13"/>
        <v>4808.3900000000003</v>
      </c>
      <c r="J291" s="39">
        <f t="shared" si="13"/>
        <v>43832</v>
      </c>
      <c r="K291" s="39">
        <f t="shared" si="13"/>
        <v>0</v>
      </c>
      <c r="L291" s="38">
        <f t="shared" si="13"/>
        <v>309335.79000000004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184798.71000000002</v>
      </c>
      <c r="G339" s="38">
        <f t="shared" si="20"/>
        <v>8995.91</v>
      </c>
      <c r="H339" s="38">
        <f t="shared" si="20"/>
        <v>66900.78</v>
      </c>
      <c r="I339" s="38">
        <f t="shared" si="20"/>
        <v>4808.3900000000003</v>
      </c>
      <c r="J339" s="38">
        <f t="shared" si="20"/>
        <v>43832</v>
      </c>
      <c r="K339" s="38">
        <f t="shared" si="20"/>
        <v>0</v>
      </c>
      <c r="L339" s="38">
        <f t="shared" si="20"/>
        <v>309335.79000000004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184798.71000000002</v>
      </c>
      <c r="G353" s="38">
        <f>G339</f>
        <v>8995.91</v>
      </c>
      <c r="H353" s="38">
        <f>H339</f>
        <v>66900.78</v>
      </c>
      <c r="I353" s="38">
        <f>I339</f>
        <v>4808.3900000000003</v>
      </c>
      <c r="J353" s="38">
        <f>J339</f>
        <v>43832</v>
      </c>
      <c r="K353" s="38">
        <f>K339+K352</f>
        <v>0</v>
      </c>
      <c r="L353" s="38">
        <f>L339+L352</f>
        <v>309335.79000000004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184892.67</v>
      </c>
      <c r="I359" s="18"/>
      <c r="J359" s="18"/>
      <c r="K359" s="18"/>
      <c r="L359" s="13">
        <f>SUM(F359:K359)</f>
        <v>184892.67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184892.67</v>
      </c>
      <c r="I363" s="38">
        <f t="shared" si="22"/>
        <v>0</v>
      </c>
      <c r="J363" s="38">
        <f t="shared" si="22"/>
        <v>0</v>
      </c>
      <c r="K363" s="38">
        <f t="shared" si="22"/>
        <v>0</v>
      </c>
      <c r="L363" s="38">
        <f t="shared" si="22"/>
        <v>184892.67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150000</v>
      </c>
      <c r="H397" s="18">
        <v>341</v>
      </c>
      <c r="I397" s="18"/>
      <c r="J397" s="23" t="s">
        <v>288</v>
      </c>
      <c r="K397" s="23" t="s">
        <v>288</v>
      </c>
      <c r="L397" s="13">
        <f t="shared" si="26"/>
        <v>150341</v>
      </c>
      <c r="M397" s="8"/>
      <c r="N397" s="165"/>
    </row>
    <row r="398" spans="1:14" s="3" customFormat="1" ht="12.2" customHeight="1" x14ac:dyDescent="0.15">
      <c r="A398" s="62" t="s">
        <v>515</v>
      </c>
      <c r="B398" s="2" t="s">
        <v>381</v>
      </c>
      <c r="C398" s="6">
        <v>10</v>
      </c>
      <c r="D398" s="2" t="s">
        <v>432</v>
      </c>
      <c r="E398" s="6"/>
      <c r="F398" s="18"/>
      <c r="G398" s="18"/>
      <c r="H398" s="18">
        <v>8736</v>
      </c>
      <c r="I398" s="18"/>
      <c r="J398" s="23" t="s">
        <v>288</v>
      </c>
      <c r="K398" s="23" t="s">
        <v>288</v>
      </c>
      <c r="L398" s="13">
        <f t="shared" si="26"/>
        <v>8736</v>
      </c>
      <c r="M398" s="8"/>
      <c r="N398" s="165"/>
    </row>
    <row r="399" spans="1:14" s="3" customFormat="1" ht="12.2" customHeight="1" x14ac:dyDescent="0.15">
      <c r="A399" s="62" t="s">
        <v>558</v>
      </c>
      <c r="B399" s="2" t="s">
        <v>381</v>
      </c>
      <c r="C399" s="6">
        <v>11</v>
      </c>
      <c r="D399" s="2" t="s">
        <v>432</v>
      </c>
      <c r="E399" s="6"/>
      <c r="F399" s="18"/>
      <c r="G399" s="18"/>
      <c r="H399" s="18">
        <v>14911</v>
      </c>
      <c r="I399" s="18"/>
      <c r="J399" s="23" t="s">
        <v>288</v>
      </c>
      <c r="K399" s="23" t="s">
        <v>288</v>
      </c>
      <c r="L399" s="13">
        <f t="shared" si="26"/>
        <v>14911</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42599+142773</f>
        <v>185372</v>
      </c>
      <c r="I401" s="18"/>
      <c r="J401" s="23" t="s">
        <v>288</v>
      </c>
      <c r="K401" s="23" t="s">
        <v>288</v>
      </c>
      <c r="L401" s="13">
        <f t="shared" si="26"/>
        <v>185372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209360</v>
      </c>
      <c r="I402" s="38">
        <f>SUM(I396:I401)</f>
        <v>0</v>
      </c>
      <c r="J402" s="42" t="s">
        <v>288</v>
      </c>
      <c r="K402" s="42" t="s">
        <v>288</v>
      </c>
      <c r="L402" s="38">
        <f>SUM(L396:L401)</f>
        <v>359360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150000</v>
      </c>
      <c r="H409" s="38">
        <f>H394+H402+H408</f>
        <v>209360</v>
      </c>
      <c r="I409" s="38">
        <f>I394+I402+I408</f>
        <v>0</v>
      </c>
      <c r="J409" s="23" t="s">
        <v>288</v>
      </c>
      <c r="K409" s="23" t="s">
        <v>288</v>
      </c>
      <c r="L409" s="38">
        <f>L394+L402+L408</f>
        <v>359360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f>46279+8176</f>
        <v>54455</v>
      </c>
      <c r="I427" s="18"/>
      <c r="J427" s="18"/>
      <c r="K427" s="18"/>
      <c r="L427" s="13">
        <f t="shared" si="29"/>
        <v>54455</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54455</v>
      </c>
      <c r="I428" s="38">
        <f t="shared" si="30"/>
        <v>0</v>
      </c>
      <c r="J428" s="38">
        <f t="shared" si="30"/>
        <v>0</v>
      </c>
      <c r="K428" s="38">
        <f t="shared" si="30"/>
        <v>0</v>
      </c>
      <c r="L428" s="38">
        <f t="shared" si="30"/>
        <v>54455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54455</v>
      </c>
      <c r="I435" s="38">
        <f t="shared" si="32"/>
        <v>0</v>
      </c>
      <c r="J435" s="38">
        <f t="shared" si="32"/>
        <v>0</v>
      </c>
      <c r="K435" s="38">
        <f t="shared" si="32"/>
        <v>0</v>
      </c>
      <c r="L435" s="38">
        <f t="shared" si="32"/>
        <v>54455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2642389</v>
      </c>
      <c r="H440" s="18"/>
      <c r="I440" s="13">
        <f t="shared" ref="I440:I446" si="33">SUM(F440:H440)</f>
        <v>2642389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2642389</v>
      </c>
      <c r="H447" s="13">
        <f>SUM(H440:H446)</f>
        <v>0</v>
      </c>
      <c r="I447" s="13">
        <f>SUM(I440:I446)</f>
        <v>2642389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2642389</v>
      </c>
      <c r="H460" s="18"/>
      <c r="I460" s="13">
        <f t="shared" si="34"/>
        <v>2642389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2642389</v>
      </c>
      <c r="H461" s="65">
        <f>SUM(H455:H460)</f>
        <v>0</v>
      </c>
      <c r="I461" s="65">
        <f>SUM(I455:I460)</f>
        <v>2642389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2642389</v>
      </c>
      <c r="H462" s="39">
        <f>H453+H461</f>
        <v>0</v>
      </c>
      <c r="I462" s="39">
        <f>I453+I461</f>
        <v>2642389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1284096.54</v>
      </c>
      <c r="G466" s="18">
        <v>0.55000000000000004</v>
      </c>
      <c r="H466" s="18">
        <v>49462.11</v>
      </c>
      <c r="I466" s="18"/>
      <c r="J466" s="18">
        <v>2337490.92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14237384.369999999</v>
      </c>
      <c r="G469" s="18">
        <v>184892.12</v>
      </c>
      <c r="H469" s="18">
        <f>287769.71+16775.17</f>
        <v>304544.88</v>
      </c>
      <c r="I469" s="18"/>
      <c r="J469" s="18">
        <f>150000+142773+66587</f>
        <v>359360</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14237384.369999999</v>
      </c>
      <c r="G471" s="19">
        <f>SUM(G469:G470)</f>
        <v>184892.12</v>
      </c>
      <c r="H471" s="19">
        <f>SUM(H469:H470)</f>
        <v>304544.88</v>
      </c>
      <c r="I471" s="19">
        <f>SUM(I469:I470)</f>
        <v>0</v>
      </c>
      <c r="J471" s="19">
        <f>SUM(J469:J470)</f>
        <v>359360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13620310.08</v>
      </c>
      <c r="G473" s="18">
        <v>184892.67</v>
      </c>
      <c r="H473" s="18">
        <f>287769.71+21566.08</f>
        <v>309335.79000000004</v>
      </c>
      <c r="I473" s="18"/>
      <c r="J473" s="18">
        <f>46279+8176</f>
        <v>54455</v>
      </c>
      <c r="K473" s="23" t="s">
        <v>288</v>
      </c>
      <c r="L473" s="23" t="s">
        <v>288</v>
      </c>
      <c r="N473" s="131"/>
    </row>
    <row r="474" spans="1:14" ht="12.2" customHeight="1" x14ac:dyDescent="0.2">
      <c r="A474" s="71" t="s">
        <v>613</v>
      </c>
      <c r="B474" s="22">
        <v>19</v>
      </c>
      <c r="C474" s="31">
        <v>6</v>
      </c>
      <c r="D474" s="2" t="s">
        <v>432</v>
      </c>
      <c r="E474" s="31"/>
      <c r="F474" s="18"/>
      <c r="G474" s="18"/>
      <c r="H474" s="18">
        <v>30000</v>
      </c>
      <c r="I474" s="18"/>
      <c r="J474" s="18">
        <v>6.92</v>
      </c>
      <c r="K474" s="23" t="s">
        <v>288</v>
      </c>
      <c r="L474" s="23" t="s">
        <v>288</v>
      </c>
      <c r="N474" s="131"/>
    </row>
    <row r="475" spans="1:14" ht="12.2" customHeight="1" x14ac:dyDescent="0.2">
      <c r="A475" s="32" t="s">
        <v>426</v>
      </c>
      <c r="B475" s="22">
        <v>19</v>
      </c>
      <c r="C475" s="31">
        <v>7</v>
      </c>
      <c r="D475" s="2" t="s">
        <v>432</v>
      </c>
      <c r="E475" s="31"/>
      <c r="F475" s="19">
        <f>SUM(F473:F474)</f>
        <v>13620310.08</v>
      </c>
      <c r="G475" s="19">
        <f>SUM(G473:G474)</f>
        <v>184892.67</v>
      </c>
      <c r="H475" s="19">
        <f>SUM(H473:H474)</f>
        <v>339335.79000000004</v>
      </c>
      <c r="I475" s="19">
        <f>SUM(I473:I474)</f>
        <v>0</v>
      </c>
      <c r="J475" s="19">
        <f>SUM(J473:J474)</f>
        <v>54461.919999999998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1901170.83</v>
      </c>
      <c r="G477" s="19">
        <f>(G466+G471)- G475</f>
        <v>0</v>
      </c>
      <c r="H477" s="19">
        <f>(H466+H471)- H475</f>
        <v>14671.199999999953</v>
      </c>
      <c r="I477" s="19">
        <f>(I466+I471)- I475</f>
        <v>0</v>
      </c>
      <c r="J477" s="19">
        <f>(J466+J471)- J475</f>
        <v>2642389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1813</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5391000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3.04</v>
      </c>
      <c r="G495" s="18"/>
      <c r="H495" s="18"/>
      <c r="I495" s="18"/>
      <c r="J495" s="18"/>
      <c r="K495" s="23" t="s">
        <v>288</v>
      </c>
      <c r="L495" s="23" t="s">
        <v>288</v>
      </c>
      <c r="N495" s="131"/>
    </row>
    <row r="496" spans="1:14" ht="12.2" customHeight="1" x14ac:dyDescent="0.2">
      <c r="A496" s="21" t="s">
        <v>619</v>
      </c>
      <c r="B496" s="22">
        <v>20</v>
      </c>
      <c r="C496" s="22">
        <v>6</v>
      </c>
      <c r="D496" s="2" t="s">
        <v>432</v>
      </c>
      <c r="E496" s="22"/>
      <c r="F496" s="18">
        <v>4040000</v>
      </c>
      <c r="G496" s="18"/>
      <c r="H496" s="18"/>
      <c r="I496" s="18"/>
      <c r="J496" s="18"/>
      <c r="K496" s="19">
        <f>SUM(F496:J496)</f>
        <v>4040000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240000</v>
      </c>
      <c r="G498" s="18"/>
      <c r="H498" s="18"/>
      <c r="I498" s="18"/>
      <c r="J498" s="18"/>
      <c r="K498" s="19">
        <f t="shared" si="35"/>
        <v>240000</v>
      </c>
      <c r="L498" s="23" t="s">
        <v>288</v>
      </c>
      <c r="N498" s="131"/>
    </row>
    <row r="499" spans="1:14" ht="12.2" customHeight="1" x14ac:dyDescent="0.2">
      <c r="A499" s="144" t="s">
        <v>622</v>
      </c>
      <c r="B499" s="145">
        <v>20</v>
      </c>
      <c r="C499" s="145">
        <v>9</v>
      </c>
      <c r="D499" s="146" t="s">
        <v>432</v>
      </c>
      <c r="E499" s="145"/>
      <c r="F499" s="147">
        <f>F496-F498</f>
        <v>3800000</v>
      </c>
      <c r="G499" s="147"/>
      <c r="H499" s="147"/>
      <c r="I499" s="147"/>
      <c r="J499" s="147"/>
      <c r="K499" s="148">
        <f t="shared" si="35"/>
        <v>3800000</v>
      </c>
      <c r="L499" s="149" t="s">
        <v>288</v>
      </c>
      <c r="N499" s="131"/>
    </row>
    <row r="500" spans="1:14" ht="12.2" customHeight="1" thickBot="1" x14ac:dyDescent="0.25">
      <c r="A500" s="21" t="s">
        <v>623</v>
      </c>
      <c r="B500" s="22">
        <v>20</v>
      </c>
      <c r="C500" s="22">
        <v>10</v>
      </c>
      <c r="D500" s="2" t="s">
        <v>432</v>
      </c>
      <c r="E500" s="22"/>
      <c r="F500" s="18">
        <v>896479.72</v>
      </c>
      <c r="G500" s="18"/>
      <c r="H500" s="18"/>
      <c r="I500" s="18"/>
      <c r="J500" s="18"/>
      <c r="K500" s="19">
        <f t="shared" si="35"/>
        <v>896479.72</v>
      </c>
      <c r="L500" s="23" t="s">
        <v>288</v>
      </c>
      <c r="N500" s="131"/>
    </row>
    <row r="501" spans="1:14" ht="12.2" customHeight="1" thickTop="1" x14ac:dyDescent="0.2">
      <c r="A501" s="97" t="s">
        <v>624</v>
      </c>
      <c r="B501" s="41">
        <v>20</v>
      </c>
      <c r="C501" s="41">
        <v>11</v>
      </c>
      <c r="D501" s="36" t="s">
        <v>432</v>
      </c>
      <c r="E501" s="41"/>
      <c r="F501" s="39">
        <f>SUM(F499:F500)</f>
        <v>4696479.72</v>
      </c>
      <c r="G501" s="39">
        <f>SUM(G499:G500)</f>
        <v>0</v>
      </c>
      <c r="H501" s="39">
        <f>SUM(H499:H500)</f>
        <v>0</v>
      </c>
      <c r="I501" s="39">
        <f>SUM(I499:I500)</f>
        <v>0</v>
      </c>
      <c r="J501" s="39">
        <f>SUM(J499:J500)</f>
        <v>0</v>
      </c>
      <c r="K501" s="39">
        <f t="shared" si="35"/>
        <v>4696479.72</v>
      </c>
      <c r="L501" s="42" t="s">
        <v>288</v>
      </c>
      <c r="N501" s="131"/>
    </row>
    <row r="502" spans="1:14" ht="12.2" customHeight="1" x14ac:dyDescent="0.2">
      <c r="A502" s="144" t="s">
        <v>651</v>
      </c>
      <c r="B502" s="145">
        <v>20</v>
      </c>
      <c r="C502" s="145">
        <v>12</v>
      </c>
      <c r="D502" s="146" t="s">
        <v>432</v>
      </c>
      <c r="E502" s="145"/>
      <c r="F502" s="147">
        <v>250000</v>
      </c>
      <c r="G502" s="147"/>
      <c r="H502" s="147"/>
      <c r="I502" s="147"/>
      <c r="J502" s="147"/>
      <c r="K502" s="148">
        <f t="shared" si="35"/>
        <v>250000</v>
      </c>
      <c r="L502" s="149" t="s">
        <v>288</v>
      </c>
      <c r="N502" s="131"/>
    </row>
    <row r="503" spans="1:14" ht="12.2" customHeight="1" thickBot="1" x14ac:dyDescent="0.25">
      <c r="A503" s="21" t="s">
        <v>625</v>
      </c>
      <c r="B503" s="22">
        <v>20</v>
      </c>
      <c r="C503" s="22">
        <v>13</v>
      </c>
      <c r="D503" s="2" t="s">
        <v>432</v>
      </c>
      <c r="E503" s="22"/>
      <c r="F503" s="18">
        <v>141694</v>
      </c>
      <c r="G503" s="18"/>
      <c r="H503" s="18"/>
      <c r="I503" s="18"/>
      <c r="J503" s="18"/>
      <c r="K503" s="19">
        <f t="shared" si="35"/>
        <v>141694</v>
      </c>
      <c r="L503" s="23" t="s">
        <v>288</v>
      </c>
      <c r="N503" s="131"/>
    </row>
    <row r="504" spans="1:14" ht="12.2" customHeight="1" thickTop="1" x14ac:dyDescent="0.2">
      <c r="A504" s="97" t="s">
        <v>626</v>
      </c>
      <c r="B504" s="41">
        <v>20</v>
      </c>
      <c r="C504" s="41">
        <v>14</v>
      </c>
      <c r="D504" s="36" t="s">
        <v>432</v>
      </c>
      <c r="E504" s="41"/>
      <c r="F504" s="39">
        <f>SUM(F502:F503)</f>
        <v>391694</v>
      </c>
      <c r="G504" s="39">
        <f>SUM(G502:G503)</f>
        <v>0</v>
      </c>
      <c r="H504" s="39">
        <f>SUM(H502:H503)</f>
        <v>0</v>
      </c>
      <c r="I504" s="39">
        <f>SUM(I502:I503)</f>
        <v>0</v>
      </c>
      <c r="J504" s="39">
        <f>SUM(J502:J503)</f>
        <v>0</v>
      </c>
      <c r="K504" s="39">
        <f t="shared" si="35"/>
        <v>391694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1684798.91</v>
      </c>
      <c r="G522" s="18">
        <v>909588.11</v>
      </c>
      <c r="H522" s="18">
        <f>7232.54+392781.7</f>
        <v>400014.24</v>
      </c>
      <c r="I522" s="18">
        <v>8187.89</v>
      </c>
      <c r="J522" s="18">
        <v>1351.4</v>
      </c>
      <c r="K522" s="18"/>
      <c r="L522" s="69">
        <f>SUM(F522:K522)</f>
        <v>3003940.55</v>
      </c>
      <c r="N522" s="131"/>
    </row>
    <row r="523" spans="1:14" ht="12.2" customHeight="1" x14ac:dyDescent="0.2">
      <c r="A523" s="21" t="s">
        <v>634</v>
      </c>
      <c r="B523" s="22">
        <v>21</v>
      </c>
      <c r="C523" s="22">
        <v>2</v>
      </c>
      <c r="D523" s="2" t="s">
        <v>432</v>
      </c>
      <c r="E523" s="22"/>
      <c r="F523" s="18"/>
      <c r="G523" s="18"/>
      <c r="H523" s="18">
        <v>41731.93</v>
      </c>
      <c r="I523" s="18"/>
      <c r="J523" s="18"/>
      <c r="K523" s="18"/>
      <c r="L523" s="69">
        <f>SUM(F523:K523)</f>
        <v>41731.93</v>
      </c>
      <c r="N523" s="131"/>
    </row>
    <row r="524" spans="1:14" ht="12.2" customHeight="1" thickBot="1" x14ac:dyDescent="0.25">
      <c r="A524" s="21" t="s">
        <v>635</v>
      </c>
      <c r="B524" s="22">
        <v>21</v>
      </c>
      <c r="C524" s="22">
        <v>3</v>
      </c>
      <c r="D524" s="2" t="s">
        <v>432</v>
      </c>
      <c r="E524" s="22"/>
      <c r="F524" s="18"/>
      <c r="G524" s="18"/>
      <c r="H524" s="18">
        <f>196596.58+741593.11</f>
        <v>938189.69</v>
      </c>
      <c r="I524" s="18"/>
      <c r="J524" s="18"/>
      <c r="K524" s="18"/>
      <c r="L524" s="69">
        <f>SUM(F524:K524)</f>
        <v>938189.69</v>
      </c>
      <c r="N524" s="131"/>
    </row>
    <row r="525" spans="1:14" ht="12.2" customHeight="1" thickTop="1" x14ac:dyDescent="0.2">
      <c r="A525" s="97" t="s">
        <v>63</v>
      </c>
      <c r="B525" s="41">
        <v>21</v>
      </c>
      <c r="C525" s="41">
        <v>4</v>
      </c>
      <c r="D525" s="115" t="s">
        <v>432</v>
      </c>
      <c r="E525" s="41"/>
      <c r="F525" s="81">
        <f>SUM(F522:F524)</f>
        <v>1684798.91</v>
      </c>
      <c r="G525" s="81">
        <f t="shared" ref="G525:L525" si="36">SUM(G522:G524)</f>
        <v>909588.11</v>
      </c>
      <c r="H525" s="81">
        <f t="shared" si="36"/>
        <v>1379935.8599999999</v>
      </c>
      <c r="I525" s="81">
        <f t="shared" si="36"/>
        <v>8187.89</v>
      </c>
      <c r="J525" s="81">
        <f t="shared" si="36"/>
        <v>1351.4</v>
      </c>
      <c r="K525" s="81">
        <f t="shared" si="36"/>
        <v>0</v>
      </c>
      <c r="L525" s="70">
        <f t="shared" si="36"/>
        <v>3983862.17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127.92+64+264+64+236</f>
        <v>755.92000000000007</v>
      </c>
      <c r="I537" s="18"/>
      <c r="J537" s="18"/>
      <c r="K537" s="18"/>
      <c r="L537" s="69">
        <f>SUM(F537:K537)</f>
        <v>755.92000000000007</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755.92000000000007</v>
      </c>
      <c r="I540" s="70">
        <f t="shared" si="39"/>
        <v>0</v>
      </c>
      <c r="J540" s="70">
        <f t="shared" si="39"/>
        <v>0</v>
      </c>
      <c r="K540" s="70">
        <f t="shared" si="39"/>
        <v>0</v>
      </c>
      <c r="L540" s="70">
        <f t="shared" si="39"/>
        <v>755.92000000000007</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f>6733.86</f>
        <v>6733.86</v>
      </c>
      <c r="J542" s="18"/>
      <c r="K542" s="18"/>
      <c r="L542" s="69">
        <f>SUM(F542:K542)</f>
        <v>6733.86</v>
      </c>
      <c r="M542" s="8"/>
      <c r="N542" s="165"/>
    </row>
    <row r="543" spans="1:14" s="3" customFormat="1" ht="12.2" customHeight="1" x14ac:dyDescent="0.15">
      <c r="A543" s="21" t="s">
        <v>634</v>
      </c>
      <c r="B543" s="22">
        <v>21</v>
      </c>
      <c r="C543" s="22">
        <v>18</v>
      </c>
      <c r="D543" s="2" t="s">
        <v>432</v>
      </c>
      <c r="E543" s="22"/>
      <c r="F543" s="18"/>
      <c r="G543" s="18"/>
      <c r="H543" s="18"/>
      <c r="I543" s="18">
        <f>105148.51+208.32+138.88+37350</f>
        <v>142845.71000000002</v>
      </c>
      <c r="J543" s="18"/>
      <c r="K543" s="18"/>
      <c r="L543" s="69">
        <f>SUM(F543:K543)</f>
        <v>142845.71000000002</v>
      </c>
      <c r="M543" s="8"/>
      <c r="N543" s="165"/>
    </row>
    <row r="544" spans="1:14" s="3" customFormat="1" ht="12.2" customHeight="1" thickBot="1" x14ac:dyDescent="0.2">
      <c r="A544" s="21" t="s">
        <v>635</v>
      </c>
      <c r="B544" s="22">
        <v>21</v>
      </c>
      <c r="C544" s="22">
        <v>19</v>
      </c>
      <c r="D544" s="2" t="s">
        <v>432</v>
      </c>
      <c r="E544" s="22"/>
      <c r="F544" s="18"/>
      <c r="G544" s="18"/>
      <c r="H544" s="18"/>
      <c r="I544" s="18">
        <v>125.11</v>
      </c>
      <c r="J544" s="18"/>
      <c r="K544" s="18"/>
      <c r="L544" s="69">
        <f>SUM(F544:K544)</f>
        <v>125.11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149704.68</v>
      </c>
      <c r="J545" s="141">
        <f t="shared" si="40"/>
        <v>0</v>
      </c>
      <c r="K545" s="141">
        <f t="shared" si="40"/>
        <v>0</v>
      </c>
      <c r="L545" s="141">
        <f t="shared" si="40"/>
        <v>149704.68</v>
      </c>
      <c r="M545" s="8"/>
      <c r="N545" s="165"/>
    </row>
    <row r="546" spans="1:14" s="3" customFormat="1" ht="12.2" customHeight="1" thickTop="1" x14ac:dyDescent="0.15">
      <c r="A546" s="75" t="s">
        <v>72</v>
      </c>
      <c r="B546" s="41">
        <v>21</v>
      </c>
      <c r="C546" s="41">
        <v>21</v>
      </c>
      <c r="D546" s="115" t="s">
        <v>432</v>
      </c>
      <c r="E546" s="41"/>
      <c r="F546" s="70">
        <f>F525+F530+F535+F540+F545</f>
        <v>1684798.91</v>
      </c>
      <c r="G546" s="70">
        <f t="shared" ref="G546:L546" si="41">G525+G530+G535+G540+G545</f>
        <v>909588.11</v>
      </c>
      <c r="H546" s="70">
        <f t="shared" si="41"/>
        <v>1380691.7799999998</v>
      </c>
      <c r="I546" s="70">
        <f t="shared" si="41"/>
        <v>157892.57</v>
      </c>
      <c r="J546" s="70">
        <f t="shared" si="41"/>
        <v>1351.4</v>
      </c>
      <c r="K546" s="70">
        <f t="shared" si="41"/>
        <v>0</v>
      </c>
      <c r="L546" s="70">
        <f t="shared" si="41"/>
        <v>4134322.77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3003940.55</v>
      </c>
      <c r="G550" s="69">
        <f>L527</f>
        <v>0</v>
      </c>
      <c r="H550" s="69">
        <f>L532</f>
        <v>0</v>
      </c>
      <c r="I550" s="69">
        <f>L537</f>
        <v>755.92000000000007</v>
      </c>
      <c r="J550" s="69">
        <f>L542</f>
        <v>6733.86</v>
      </c>
      <c r="K550" s="69">
        <f>SUM(F550:J550)</f>
        <v>3011430.3299999996</v>
      </c>
      <c r="L550" s="23" t="s">
        <v>288</v>
      </c>
      <c r="M550" s="8"/>
      <c r="N550" s="165"/>
    </row>
    <row r="551" spans="1:14" s="3" customFormat="1" ht="12.2" customHeight="1" x14ac:dyDescent="0.15">
      <c r="A551" s="21" t="s">
        <v>634</v>
      </c>
      <c r="B551" s="22">
        <v>21</v>
      </c>
      <c r="C551" s="22">
        <v>23</v>
      </c>
      <c r="D551" s="2" t="s">
        <v>432</v>
      </c>
      <c r="E551" s="22"/>
      <c r="F551" s="69">
        <f>L523</f>
        <v>41731.93</v>
      </c>
      <c r="G551" s="69">
        <f>L528</f>
        <v>0</v>
      </c>
      <c r="H551" s="69">
        <f>L533</f>
        <v>0</v>
      </c>
      <c r="I551" s="69">
        <f>L538</f>
        <v>0</v>
      </c>
      <c r="J551" s="69">
        <f>L543</f>
        <v>142845.71000000002</v>
      </c>
      <c r="K551" s="69">
        <f>SUM(F551:J551)</f>
        <v>184577.64</v>
      </c>
      <c r="L551" s="23" t="s">
        <v>288</v>
      </c>
      <c r="M551" s="8"/>
      <c r="N551" s="165"/>
    </row>
    <row r="552" spans="1:14" s="3" customFormat="1" ht="12.2" customHeight="1" thickBot="1" x14ac:dyDescent="0.2">
      <c r="A552" s="21" t="s">
        <v>635</v>
      </c>
      <c r="B552" s="22">
        <v>21</v>
      </c>
      <c r="C552" s="22">
        <v>24</v>
      </c>
      <c r="D552" s="2" t="s">
        <v>432</v>
      </c>
      <c r="E552" s="22"/>
      <c r="F552" s="69">
        <f>L524</f>
        <v>938189.69</v>
      </c>
      <c r="G552" s="69">
        <f>L529</f>
        <v>0</v>
      </c>
      <c r="H552" s="69">
        <f>L534</f>
        <v>0</v>
      </c>
      <c r="I552" s="69">
        <f>L539</f>
        <v>0</v>
      </c>
      <c r="J552" s="69">
        <f>L544</f>
        <v>125.11</v>
      </c>
      <c r="K552" s="69">
        <f>SUM(F552:J552)</f>
        <v>938314.79999999993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3983862.17</v>
      </c>
      <c r="G553" s="70">
        <f t="shared" si="42"/>
        <v>0</v>
      </c>
      <c r="H553" s="70">
        <f t="shared" si="42"/>
        <v>0</v>
      </c>
      <c r="I553" s="70">
        <f t="shared" si="42"/>
        <v>755.92000000000007</v>
      </c>
      <c r="J553" s="70">
        <f t="shared" si="42"/>
        <v>149704.68</v>
      </c>
      <c r="K553" s="70">
        <f t="shared" si="42"/>
        <v>4134322.7699999996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v>41731.93</v>
      </c>
      <c r="H581" s="18">
        <v>196596.58</v>
      </c>
      <c r="I581" s="69">
        <f t="shared" si="47"/>
        <v>238328.50999999998</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340865.25+51667.95+2300</f>
        <v>394833.2</v>
      </c>
      <c r="G583" s="18"/>
      <c r="H583" s="18">
        <v>741593.11</v>
      </c>
      <c r="I583" s="69">
        <f t="shared" si="47"/>
        <v>1136426.31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208986.1</v>
      </c>
      <c r="I592" s="18">
        <v>165085.29</v>
      </c>
      <c r="J592" s="18">
        <v>300446.09000000003</v>
      </c>
      <c r="K592" s="80">
        <f t="shared" ref="K592:K598" si="48">SUM(H592:J592)</f>
        <v>674517.48</v>
      </c>
      <c r="L592" s="23" t="s">
        <v>288</v>
      </c>
      <c r="M592" s="8"/>
      <c r="N592" s="165"/>
    </row>
    <row r="593" spans="1:14" s="3" customFormat="1" ht="12.2" customHeight="1" x14ac:dyDescent="0.15">
      <c r="A593" s="3" t="s">
        <v>638</v>
      </c>
      <c r="B593" s="22">
        <v>23</v>
      </c>
      <c r="C593" s="22">
        <v>2</v>
      </c>
      <c r="D593" s="2" t="s">
        <v>432</v>
      </c>
      <c r="E593" s="22"/>
      <c r="F593" s="78">
        <v>2722</v>
      </c>
      <c r="G593" s="79" t="s">
        <v>97</v>
      </c>
      <c r="H593" s="18">
        <v>149704.68</v>
      </c>
      <c r="I593" s="18"/>
      <c r="J593" s="18"/>
      <c r="K593" s="80">
        <f t="shared" si="48"/>
        <v>149704.68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16449.740000000002</v>
      </c>
      <c r="I596" s="18"/>
      <c r="J596" s="18"/>
      <c r="K596" s="80">
        <f t="shared" si="48"/>
        <v>16449.740000000002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375140.52</v>
      </c>
      <c r="I599" s="81">
        <f>SUM(I592:I598)</f>
        <v>165085.29</v>
      </c>
      <c r="J599" s="81">
        <f>SUM(J592:J598)</f>
        <v>300446.09000000003</v>
      </c>
      <c r="K599" s="81">
        <f>SUM(K592:K598)</f>
        <v>840671.89999999991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156235.04</v>
      </c>
      <c r="I605" s="18"/>
      <c r="J605" s="18"/>
      <c r="K605" s="80">
        <f>SUM(H605:J605)</f>
        <v>156235.04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156235.04</v>
      </c>
      <c r="I606" s="81">
        <f>SUM(I603:I605)</f>
        <v>0</v>
      </c>
      <c r="J606" s="81">
        <f>SUM(J603:J605)</f>
        <v>0</v>
      </c>
      <c r="K606" s="81">
        <f>SUM(K603:K605)</f>
        <v>156235.04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19430.25</v>
      </c>
      <c r="G612" s="18">
        <v>5661</v>
      </c>
      <c r="H612" s="18">
        <v>5890</v>
      </c>
      <c r="I612" s="18"/>
      <c r="J612" s="18"/>
      <c r="K612" s="18"/>
      <c r="L612" s="69">
        <f>SUM(F612:K612)</f>
        <v>30981.25</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19430.25</v>
      </c>
      <c r="G615" s="81">
        <f t="shared" si="49"/>
        <v>5661</v>
      </c>
      <c r="H615" s="81">
        <f t="shared" si="49"/>
        <v>5890</v>
      </c>
      <c r="I615" s="81">
        <f t="shared" si="49"/>
        <v>0</v>
      </c>
      <c r="J615" s="81">
        <f t="shared" si="49"/>
        <v>0</v>
      </c>
      <c r="K615" s="81">
        <f t="shared" si="49"/>
        <v>0</v>
      </c>
      <c r="L615" s="70">
        <f t="shared" si="49"/>
        <v>30981.25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4623423.040000001</v>
      </c>
      <c r="H618" s="80">
        <f>SUM(F52)</f>
        <v>4623423.04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2642389</v>
      </c>
      <c r="H622" s="80">
        <f>SUM(J52)</f>
        <v>2642389</v>
      </c>
      <c r="I622" s="87" t="s">
        <v>878</v>
      </c>
      <c r="J622" s="80">
        <f>G622-H622</f>
        <v>0</v>
      </c>
      <c r="K622" s="80"/>
      <c r="L622" s="80"/>
      <c r="M622" s="8"/>
    </row>
    <row r="623" spans="1:14" s="3" customFormat="1" ht="12.2" customHeight="1" x14ac:dyDescent="0.15">
      <c r="A623" s="74"/>
      <c r="B623" s="22"/>
      <c r="C623" s="22"/>
      <c r="D623" s="22"/>
      <c r="E623" s="22"/>
      <c r="F623" s="87" t="s">
        <v>864</v>
      </c>
      <c r="G623" s="80">
        <f>F51</f>
        <v>1901170.83</v>
      </c>
      <c r="H623" s="80">
        <f>F477</f>
        <v>1901170.83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14671.2</v>
      </c>
      <c r="H625" s="80">
        <f>H477</f>
        <v>14671.199999999953</v>
      </c>
      <c r="I625" s="87" t="s">
        <v>103</v>
      </c>
      <c r="J625" s="80">
        <f t="shared" si="50"/>
        <v>4.7293724492192268E-11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2642389</v>
      </c>
      <c r="H627" s="80">
        <f>J477</f>
        <v>2642389</v>
      </c>
      <c r="I627" s="87" t="s">
        <v>105</v>
      </c>
      <c r="J627" s="80">
        <f t="shared" si="50"/>
        <v>0</v>
      </c>
      <c r="K627" s="67"/>
      <c r="L627" s="69"/>
      <c r="M627" s="8"/>
    </row>
    <row r="628" spans="1:13" s="3" customFormat="1" ht="12.2" customHeight="1" x14ac:dyDescent="0.15">
      <c r="A628" s="21"/>
      <c r="B628" s="22"/>
      <c r="C628" s="22"/>
      <c r="D628" s="22"/>
      <c r="E628" s="22"/>
      <c r="F628" s="86" t="s">
        <v>658</v>
      </c>
      <c r="G628" s="80">
        <f>F194</f>
        <v>14237384.369999999</v>
      </c>
      <c r="H628" s="80">
        <f>SUM(F469)</f>
        <v>14237384.369999999</v>
      </c>
      <c r="I628" s="87" t="s">
        <v>106</v>
      </c>
      <c r="J628" s="80">
        <f>G628-H628</f>
        <v>0</v>
      </c>
      <c r="K628" s="67"/>
      <c r="L628" s="69"/>
      <c r="M628" s="8"/>
    </row>
    <row r="629" spans="1:13" s="3" customFormat="1" ht="12.2" customHeight="1" x14ac:dyDescent="0.15">
      <c r="A629" s="21"/>
      <c r="B629" s="22"/>
      <c r="C629" s="22"/>
      <c r="D629" s="22"/>
      <c r="E629" s="22"/>
      <c r="F629" s="86" t="s">
        <v>659</v>
      </c>
      <c r="G629" s="80">
        <f>G194</f>
        <v>184892.12</v>
      </c>
      <c r="H629" s="80">
        <f>SUM(G469)</f>
        <v>184892.12</v>
      </c>
      <c r="I629" s="87" t="s">
        <v>107</v>
      </c>
      <c r="J629" s="80">
        <f>G629-H629</f>
        <v>0</v>
      </c>
      <c r="K629" s="67"/>
      <c r="L629" s="69"/>
      <c r="M629" s="8"/>
    </row>
    <row r="630" spans="1:13" s="3" customFormat="1" ht="12.2" customHeight="1" x14ac:dyDescent="0.15">
      <c r="A630" s="21"/>
      <c r="B630" s="22"/>
      <c r="C630" s="22"/>
      <c r="D630" s="22"/>
      <c r="E630" s="22"/>
      <c r="F630" s="86" t="s">
        <v>660</v>
      </c>
      <c r="G630" s="80">
        <f>H194</f>
        <v>304544.87999999995</v>
      </c>
      <c r="H630" s="80">
        <f>SUM(H469)</f>
        <v>304544.88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359360</v>
      </c>
      <c r="H632" s="80">
        <f>SUM(J469)</f>
        <v>359360</v>
      </c>
      <c r="I632" s="87" t="s">
        <v>110</v>
      </c>
      <c r="J632" s="80">
        <f>G632-H632</f>
        <v>0</v>
      </c>
      <c r="K632" s="67"/>
      <c r="L632" s="69"/>
      <c r="M632" s="8"/>
    </row>
    <row r="633" spans="1:13" s="3" customFormat="1" ht="12.2" customHeight="1" x14ac:dyDescent="0.15">
      <c r="A633" s="21"/>
      <c r="B633" s="22"/>
      <c r="C633" s="22"/>
      <c r="D633" s="22"/>
      <c r="E633" s="22"/>
      <c r="F633" s="86" t="s">
        <v>394</v>
      </c>
      <c r="G633" s="80">
        <f>SUM(L272)</f>
        <v>13620310.08</v>
      </c>
      <c r="H633" s="80">
        <f>SUM(F473)</f>
        <v>13620310.08</v>
      </c>
      <c r="I633" s="87" t="s">
        <v>111</v>
      </c>
      <c r="J633" s="80">
        <f t="shared" si="50"/>
        <v>0</v>
      </c>
      <c r="K633" s="67"/>
      <c r="L633" s="69"/>
      <c r="M633" s="8"/>
    </row>
    <row r="634" spans="1:13" s="3" customFormat="1" ht="12.2" customHeight="1" x14ac:dyDescent="0.15">
      <c r="A634" s="21"/>
      <c r="B634" s="22"/>
      <c r="C634" s="22"/>
      <c r="D634" s="22"/>
      <c r="E634" s="22"/>
      <c r="F634" s="86" t="s">
        <v>395</v>
      </c>
      <c r="G634" s="80">
        <f>SUM(L353)</f>
        <v>309335.79000000004</v>
      </c>
      <c r="H634" s="80">
        <f>SUM(H473)</f>
        <v>309335.79000000004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184892.67</v>
      </c>
      <c r="H636" s="80">
        <f>SUM(G473)</f>
        <v>184892.67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359360</v>
      </c>
      <c r="H638" s="108">
        <f>SUM(J469)</f>
        <v>359360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54455</v>
      </c>
      <c r="H639" s="108">
        <f>SUM(J473)</f>
        <v>54455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2642389</v>
      </c>
      <c r="H641" s="80">
        <f>SUM(G462)</f>
        <v>2642389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2642389</v>
      </c>
      <c r="H643" s="80">
        <f>SUM(I462)</f>
        <v>2642389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209360</v>
      </c>
      <c r="H645" s="80">
        <f>H409</f>
        <v>209360</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359360</v>
      </c>
      <c r="H647" s="80">
        <f>L409</f>
        <v>359360</v>
      </c>
      <c r="I647" s="87" t="s">
        <v>477</v>
      </c>
      <c r="J647" s="80">
        <f t="shared" si="50"/>
        <v>0</v>
      </c>
      <c r="K647" s="67"/>
      <c r="L647" s="69"/>
      <c r="M647" s="8"/>
    </row>
    <row r="648" spans="1:13" s="3" customFormat="1" ht="12.2" customHeight="1" x14ac:dyDescent="0.15">
      <c r="A648" s="21"/>
      <c r="B648" s="22"/>
      <c r="C648" s="22"/>
      <c r="D648" s="22"/>
      <c r="E648" s="22"/>
      <c r="F648" s="86" t="s">
        <v>51</v>
      </c>
      <c r="G648" s="80">
        <f>K599</f>
        <v>840671.89999999991</v>
      </c>
      <c r="H648" s="80">
        <f>L209+L227+L245</f>
        <v>840671.9</v>
      </c>
      <c r="I648" s="87" t="s">
        <v>396</v>
      </c>
      <c r="J648" s="80">
        <f t="shared" si="50"/>
        <v>0</v>
      </c>
      <c r="K648" s="67"/>
      <c r="L648" s="69"/>
      <c r="M648" s="8"/>
    </row>
    <row r="649" spans="1:13" s="3" customFormat="1" ht="12.2" customHeight="1" x14ac:dyDescent="0.15">
      <c r="A649" s="21"/>
      <c r="B649" s="22"/>
      <c r="C649" s="22"/>
      <c r="D649" s="22"/>
      <c r="E649" s="22"/>
      <c r="F649" s="86" t="s">
        <v>52</v>
      </c>
      <c r="G649" s="80">
        <f>K606</f>
        <v>156235.04</v>
      </c>
      <c r="H649" s="80">
        <f>(J258+J339)-(J256+J337)</f>
        <v>156235.03999999998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375140.52</v>
      </c>
      <c r="H650" s="80">
        <f>H599</f>
        <v>375140.52</v>
      </c>
      <c r="I650" s="87" t="s">
        <v>388</v>
      </c>
      <c r="J650" s="80">
        <f t="shared" si="50"/>
        <v>0</v>
      </c>
      <c r="K650" s="67"/>
      <c r="L650" s="69"/>
      <c r="M650" s="8"/>
    </row>
    <row r="651" spans="1:13" s="3" customFormat="1" ht="12.2" customHeight="1" x14ac:dyDescent="0.15">
      <c r="A651" s="21"/>
      <c r="B651" s="22"/>
      <c r="C651" s="22"/>
      <c r="D651" s="22"/>
      <c r="E651" s="22"/>
      <c r="F651" s="86" t="s">
        <v>392</v>
      </c>
      <c r="G651" s="80">
        <f>L227</f>
        <v>165085.29</v>
      </c>
      <c r="H651" s="80">
        <f>I599</f>
        <v>165085.29</v>
      </c>
      <c r="I651" s="87" t="s">
        <v>389</v>
      </c>
      <c r="J651" s="80">
        <f t="shared" si="50"/>
        <v>0</v>
      </c>
      <c r="K651" s="67"/>
      <c r="L651" s="69"/>
      <c r="M651" s="8"/>
    </row>
    <row r="652" spans="1:13" s="3" customFormat="1" ht="12.2" customHeight="1" x14ac:dyDescent="0.15">
      <c r="A652" s="21"/>
      <c r="B652" s="22"/>
      <c r="C652" s="22"/>
      <c r="D652" s="22"/>
      <c r="E652" s="22"/>
      <c r="F652" s="86" t="s">
        <v>393</v>
      </c>
      <c r="G652" s="80">
        <f>L245</f>
        <v>300446.08999999997</v>
      </c>
      <c r="H652" s="80">
        <f>J599</f>
        <v>300446.09000000003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28957.35</v>
      </c>
      <c r="H653" s="80">
        <f>K264+K346</f>
        <v>28957.35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11853066.9</v>
      </c>
      <c r="G661" s="13">
        <f>(L230+L310+L360)</f>
        <v>206817.22</v>
      </c>
      <c r="H661" s="13">
        <f>(L248+L329+L361)</f>
        <v>1238635.7799999998</v>
      </c>
      <c r="I661" s="13">
        <f>SUM(F661:H661)</f>
        <v>13298519.9</v>
      </c>
      <c r="J661" s="13"/>
      <c r="K661" s="13"/>
      <c r="L661" s="13"/>
      <c r="M661" s="9"/>
    </row>
    <row r="662" spans="1:13" s="3" customFormat="1" ht="12.2" customHeight="1" x14ac:dyDescent="0.2">
      <c r="A662" s="1" t="s">
        <v>127</v>
      </c>
      <c r="F662" s="13">
        <f>(L359/IF(SUM(L359:L361)=0,1,SUM(L359:L361))*(SUM(G97:G110)))</f>
        <v>155934.76999999999</v>
      </c>
      <c r="G662" s="13">
        <f>(L360/IF(SUM(L359:L361)=0,1,SUM(L359:L361))*(SUM(G97:G110)))</f>
        <v>0</v>
      </c>
      <c r="H662" s="13">
        <f>(L361/IF(SUM(L359:L361)=0,1,SUM(L359:L361))*(SUM(G97:G110)))</f>
        <v>0</v>
      </c>
      <c r="I662" s="13">
        <f>SUM(F662:H662)</f>
        <v>155934.76999999999</v>
      </c>
      <c r="J662"/>
      <c r="K662" s="13"/>
      <c r="L662" s="13"/>
      <c r="M662" s="8"/>
    </row>
    <row r="663" spans="1:13" s="3" customFormat="1" ht="12.2" customHeight="1" x14ac:dyDescent="0.2">
      <c r="A663" s="1" t="s">
        <v>128</v>
      </c>
      <c r="F663" s="13">
        <f>(L209+L288)-(J209+J288)</f>
        <v>375140.52</v>
      </c>
      <c r="G663" s="13">
        <f>(L227+L307)-(J227+J307)</f>
        <v>165085.29</v>
      </c>
      <c r="H663" s="13">
        <f>(L245+L326)-(J245+J326)</f>
        <v>300446.08999999997</v>
      </c>
      <c r="I663" s="13">
        <f>SUM(F663:H663)</f>
        <v>840671.9</v>
      </c>
      <c r="J663"/>
      <c r="K663" s="13"/>
      <c r="L663" s="13"/>
      <c r="M663" s="9"/>
    </row>
    <row r="664" spans="1:13" s="3" customFormat="1" ht="12.2" customHeight="1" x14ac:dyDescent="0.15">
      <c r="A664" s="142" t="s">
        <v>129</v>
      </c>
      <c r="B664" s="124"/>
      <c r="C664" s="124"/>
      <c r="D664" s="124"/>
      <c r="E664" s="124"/>
      <c r="F664" s="143">
        <f>SUM(F576:F588)+SUM(H603:H605)+SUM(L612)</f>
        <v>582049.49</v>
      </c>
      <c r="G664" s="143">
        <f>SUM(G576:G588)+SUM(I603:I605)+L613</f>
        <v>41731.93</v>
      </c>
      <c r="H664" s="143">
        <f>SUM(H576:H588)+SUM(J603:J605)+L614</f>
        <v>938189.69</v>
      </c>
      <c r="I664" s="13">
        <f>SUM(F664:H664)</f>
        <v>1561971.1099999999</v>
      </c>
      <c r="J664" s="13"/>
      <c r="K664" s="13"/>
      <c r="L664" s="13"/>
      <c r="M664" s="9"/>
    </row>
    <row r="665" spans="1:13" s="3" customFormat="1" ht="12.2" customHeight="1" x14ac:dyDescent="0.15">
      <c r="A665" s="1" t="s">
        <v>130</v>
      </c>
      <c r="F665" s="13">
        <f>F661-SUM(F662:F664)</f>
        <v>10739942.120000001</v>
      </c>
      <c r="G665" s="13">
        <f>G661-SUM(G662:G664)</f>
        <v>0</v>
      </c>
      <c r="H665" s="13">
        <f>H661-SUM(H662:H664)</f>
        <v>0</v>
      </c>
      <c r="I665" s="13">
        <f>I661-SUM(I662:I664)</f>
        <v>10739942.120000001</v>
      </c>
      <c r="J665" s="13"/>
      <c r="K665" s="13"/>
      <c r="L665" s="13"/>
      <c r="M665" s="8"/>
    </row>
    <row r="666" spans="1:13" s="3" customFormat="1" ht="12.2" customHeight="1" x14ac:dyDescent="0.2">
      <c r="A666" s="1" t="s">
        <v>131</v>
      </c>
      <c r="F666" s="183">
        <v>456.32</v>
      </c>
      <c r="G666" s="184"/>
      <c r="H666" s="184"/>
      <c r="I666" s="13">
        <f>SUM(F666:H666)</f>
        <v>456.32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23535.99</v>
      </c>
      <c r="G668" s="13" t="e">
        <f>ROUND(G665/G666,2)</f>
        <v>#DIV/0!</v>
      </c>
      <c r="H668" s="13" t="e">
        <f>ROUND(H665/H666,2)</f>
        <v>#DIV/0!</v>
      </c>
      <c r="I668" s="13">
        <f>ROUND(I665/I666,2)</f>
        <v>23535.99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23535.99</v>
      </c>
      <c r="G673" s="13" t="e">
        <f>ROUND((G665+G670)/(G666+G671),2)</f>
        <v>#DIV/0!</v>
      </c>
      <c r="H673" s="13" t="e">
        <f>ROUND((H665+H670)/(H666+H671),2)</f>
        <v>#DIV/0!</v>
      </c>
      <c r="I673" s="13">
        <f>ROUND((I665+I670)/(I666+I671),2)</f>
        <v>23535.99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55000000000000004" right="0.3" top="0.75" bottom="0.5" header="0.5" footer="0.5"/>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7153.57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7153.57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Hanover</v>
      </c>
      <c r="C5" s="317"/>
      <c r="D5" s="317"/>
      <c r="E5" s="317"/>
      <c r="F5" s="317"/>
    </row>
    <row r="8" spans="1:9" ht="18" x14ac:dyDescent="0.25">
      <c r="A8" s="240" t="s">
        <v>1560</v>
      </c>
      <c r="F8" s="247" t="s">
        <v>1578</v>
      </c>
    </row>
    <row r="9" spans="1:9" ht="15" x14ac:dyDescent="0.2">
      <c r="A9" s="238" t="s">
        <v>1561</v>
      </c>
      <c r="B9" s="241">
        <f>'DOE25'!G97</f>
        <v>155934.76999999999</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155934.76999999999</v>
      </c>
    </row>
    <row r="16" spans="1:9" ht="18" x14ac:dyDescent="0.25">
      <c r="A16" s="240" t="s">
        <v>786</v>
      </c>
      <c r="F16" s="247" t="s">
        <v>1579</v>
      </c>
    </row>
    <row r="17" spans="1:6" ht="15" x14ac:dyDescent="0.2">
      <c r="A17" s="238" t="s">
        <v>1566</v>
      </c>
      <c r="B17" s="241">
        <f>'DOE25'!L363-'DOE25'!L362</f>
        <v>184892.67</v>
      </c>
      <c r="F17" s="238" t="s">
        <v>1580</v>
      </c>
    </row>
    <row r="18" spans="1:6" ht="15" x14ac:dyDescent="0.2">
      <c r="A18" s="238" t="s">
        <v>1567</v>
      </c>
      <c r="B18" s="251"/>
      <c r="F18" s="247" t="s">
        <v>1604</v>
      </c>
    </row>
    <row r="19" spans="1:6" ht="18" x14ac:dyDescent="0.25">
      <c r="A19" s="240" t="s">
        <v>725</v>
      </c>
      <c r="B19" s="242">
        <f>SUM(B17:B18)</f>
        <v>184892.67</v>
      </c>
    </row>
    <row r="21" spans="1:6" ht="18.75" thickBot="1" x14ac:dyDescent="0.3">
      <c r="A21" s="240" t="s">
        <v>1568</v>
      </c>
    </row>
    <row r="22" spans="1:6" ht="18.75" thickTop="1" x14ac:dyDescent="0.25">
      <c r="A22" s="240" t="s">
        <v>1569</v>
      </c>
      <c r="B22" s="246">
        <f>B14-B19</f>
        <v>-28957.900000000023</v>
      </c>
      <c r="F22" s="238" t="s">
        <v>1581</v>
      </c>
    </row>
    <row r="26" spans="1:6" ht="18" x14ac:dyDescent="0.25">
      <c r="A26" s="240" t="s">
        <v>186</v>
      </c>
    </row>
    <row r="27" spans="1:6" ht="15" x14ac:dyDescent="0.2">
      <c r="A27" s="238" t="s">
        <v>1570</v>
      </c>
      <c r="B27" s="241">
        <f>'DOE25'!G180</f>
        <v>28957.35</v>
      </c>
      <c r="F27" s="238" t="s">
        <v>1582</v>
      </c>
    </row>
    <row r="28" spans="1:6" ht="15" x14ac:dyDescent="0.2">
      <c r="A28" s="238" t="s">
        <v>1572</v>
      </c>
      <c r="B28" s="241">
        <f>'DOE25'!L362</f>
        <v>0</v>
      </c>
      <c r="F28" s="238" t="s">
        <v>1583</v>
      </c>
    </row>
    <row r="31" spans="1:6" ht="15" x14ac:dyDescent="0.2">
      <c r="A31" s="238" t="s">
        <v>1797</v>
      </c>
      <c r="B31" s="241">
        <f>'DOE25'!G466</f>
        <v>0.55000000000000004</v>
      </c>
      <c r="F31" s="238" t="s">
        <v>1584</v>
      </c>
    </row>
    <row r="33" spans="1:6" ht="15" x14ac:dyDescent="0.2">
      <c r="A33" s="238" t="s">
        <v>1798</v>
      </c>
      <c r="B33" s="241">
        <f>'DOE25'!G477</f>
        <v>0</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Hanover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3551764.6100000003</v>
      </c>
      <c r="C9" s="167">
        <f>'DOE25'!G198+'DOE25'!G216+'DOE25'!G234+'DOE25'!G277+'DOE25'!G296+'DOE25'!G315</f>
        <v>1818613.2400000002</v>
      </c>
    </row>
    <row r="10" spans="1:3" x14ac:dyDescent="0.2">
      <c r="A10" t="s">
        <v>775</v>
      </c>
      <c r="B10" s="177">
        <f>2978951.69+52852.99+75538+94846-5544.14</f>
        <v>3196644.54</v>
      </c>
      <c r="C10" s="177">
        <v>1598652.35</v>
      </c>
    </row>
    <row r="11" spans="1:3" x14ac:dyDescent="0.2">
      <c r="A11" t="s">
        <v>776</v>
      </c>
      <c r="B11" s="177">
        <f>283454.38+7408.93</f>
        <v>290863.31</v>
      </c>
      <c r="C11" s="177">
        <v>192782.07999999999</v>
      </c>
    </row>
    <row r="12" spans="1:3" x14ac:dyDescent="0.2">
      <c r="A12" t="s">
        <v>777</v>
      </c>
      <c r="B12" s="177">
        <f>8000+56256.76</f>
        <v>64256.76</v>
      </c>
      <c r="C12" s="177">
        <v>27178.81</v>
      </c>
    </row>
    <row r="13" spans="1:3" x14ac:dyDescent="0.2">
      <c r="A13" t="str">
        <f>IF(B9=B13,IF(C9=C13,"Check Total OK","Check Total Error"),"Check Total Error")</f>
        <v>Check Total OK</v>
      </c>
      <c r="B13" s="169">
        <f>SUM(B10:B12)</f>
        <v>3551764.61</v>
      </c>
      <c r="C13" s="169">
        <f>SUM(C10:C12)</f>
        <v>1818613.2400000002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1684798.91</v>
      </c>
      <c r="C18" s="167">
        <f>'DOE25'!G199+'DOE25'!G217+'DOE25'!G235+'DOE25'!G278+'DOE25'!G297+'DOE25'!G316</f>
        <v>909588.11</v>
      </c>
    </row>
    <row r="19" spans="1:3" x14ac:dyDescent="0.2">
      <c r="A19" t="s">
        <v>775</v>
      </c>
      <c r="B19" s="177">
        <f>591127.02+177956+72952+68850+19430.25+178827.48</f>
        <v>1109142.75</v>
      </c>
      <c r="C19" s="177">
        <v>587718.94999999995</v>
      </c>
    </row>
    <row r="20" spans="1:3" x14ac:dyDescent="0.2">
      <c r="A20" t="s">
        <v>776</v>
      </c>
      <c r="B20" s="177">
        <f>354723.74+8734.22</f>
        <v>363457.95999999996</v>
      </c>
      <c r="C20" s="177">
        <v>203016</v>
      </c>
    </row>
    <row r="21" spans="1:3" x14ac:dyDescent="0.2">
      <c r="A21" t="s">
        <v>777</v>
      </c>
      <c r="B21" s="177">
        <v>212198.2</v>
      </c>
      <c r="C21" s="177">
        <v>118853.16</v>
      </c>
    </row>
    <row r="22" spans="1:3" x14ac:dyDescent="0.2">
      <c r="A22" t="str">
        <f>IF(B18=B22,IF(C18=C22,"Check Total OK","Check Total Error"),"Check Total Error")</f>
        <v>Check Total OK</v>
      </c>
      <c r="B22" s="169">
        <f>SUM(B19:B21)</f>
        <v>1684798.91</v>
      </c>
      <c r="C22" s="169">
        <f>SUM(C19:C21)</f>
        <v>909588.11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14"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Hanover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9406767.5899999999</v>
      </c>
      <c r="D5" s="19">
        <f>SUM('DOE25'!L198:L201)+SUM('DOE25'!L216:L219)+SUM('DOE25'!L234:L237)-F5-G5-H5</f>
        <v>9303971.9299999997</v>
      </c>
      <c r="E5" s="180"/>
      <c r="F5" s="181"/>
      <c r="G5" s="19">
        <f>SUM('DOE25'!J198:J201)+SUM('DOE25'!J216:J219)+SUM('DOE25'!J234:J237)</f>
        <v>102795.65999999999</v>
      </c>
      <c r="H5" s="19">
        <f>SUM('DOE25'!K198:K201)+SUM('DOE25'!K216:K219)+SUM('DOE25'!K234:K237)</f>
        <v>0</v>
      </c>
      <c r="I5" s="192"/>
    </row>
    <row r="6" spans="1:9" x14ac:dyDescent="0.2">
      <c r="A6" s="31">
        <v>2100</v>
      </c>
      <c r="B6" t="s">
        <v>796</v>
      </c>
      <c r="C6" s="206">
        <f t="shared" si="0"/>
        <v>396359.2</v>
      </c>
      <c r="D6" s="19">
        <f>'DOE25'!L203+'DOE25'!L221+'DOE25'!L239-F6-G6-H6</f>
        <v>396359.2</v>
      </c>
      <c r="E6" s="180"/>
      <c r="F6" s="181"/>
      <c r="G6" s="19">
        <f>'DOE25'!J203+'DOE25'!J221+'DOE25'!J239</f>
        <v>0</v>
      </c>
      <c r="H6" s="19">
        <f>'DOE25'!K203+'DOE25'!K221+'DOE25'!K239</f>
        <v>0</v>
      </c>
      <c r="I6" s="192"/>
    </row>
    <row r="7" spans="1:9" x14ac:dyDescent="0.2">
      <c r="A7" s="31">
        <v>2200</v>
      </c>
      <c r="B7" t="s">
        <v>820</v>
      </c>
      <c r="C7" s="206">
        <f t="shared" si="0"/>
        <v>309686.89</v>
      </c>
      <c r="D7" s="19">
        <f>'DOE25'!L204+'DOE25'!L222+'DOE25'!L240-F7-G7-H7</f>
        <v>304259.38</v>
      </c>
      <c r="E7" s="180"/>
      <c r="F7" s="181"/>
      <c r="G7" s="19">
        <f>'DOE25'!J204+'DOE25'!J222+'DOE25'!J240</f>
        <v>5427.51</v>
      </c>
      <c r="H7" s="19">
        <f>'DOE25'!K204+'DOE25'!K222+'DOE25'!K240</f>
        <v>0</v>
      </c>
      <c r="I7" s="192"/>
    </row>
    <row r="8" spans="1:9" x14ac:dyDescent="0.2">
      <c r="A8" s="31">
        <v>2300</v>
      </c>
      <c r="B8" t="s">
        <v>797</v>
      </c>
      <c r="C8" s="206">
        <f t="shared" si="0"/>
        <v>559171.33000000007</v>
      </c>
      <c r="D8" s="180"/>
      <c r="E8" s="19">
        <f>'DOE25'!L205+'DOE25'!L223+'DOE25'!L241-F8-G8-H8-D9-D11</f>
        <v>551576.69000000006</v>
      </c>
      <c r="F8" s="181"/>
      <c r="G8" s="19">
        <f>'DOE25'!J205+'DOE25'!J223+'DOE25'!J241</f>
        <v>0</v>
      </c>
      <c r="H8" s="19">
        <f>'DOE25'!K205+'DOE25'!K223+'DOE25'!K241</f>
        <v>7594.64</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587512.39999999991</v>
      </c>
      <c r="D12" s="19">
        <f>'DOE25'!L206+'DOE25'!L224+'DOE25'!L242-F12-G12-H12</f>
        <v>583442.41999999993</v>
      </c>
      <c r="E12" s="180"/>
      <c r="F12" s="181"/>
      <c r="G12" s="19">
        <f>'DOE25'!J206+'DOE25'!J224+'DOE25'!J242</f>
        <v>2725.98</v>
      </c>
      <c r="H12" s="19">
        <f>'DOE25'!K206+'DOE25'!K224+'DOE25'!K242</f>
        <v>1344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704122.12999999989</v>
      </c>
      <c r="D14" s="19">
        <f>'DOE25'!L208+'DOE25'!L226+'DOE25'!L244-F14-G14-H14</f>
        <v>702668.23999999987</v>
      </c>
      <c r="E14" s="180"/>
      <c r="F14" s="181"/>
      <c r="G14" s="19">
        <f>'DOE25'!J208+'DOE25'!J226+'DOE25'!J244</f>
        <v>1453.89</v>
      </c>
      <c r="H14" s="19">
        <f>'DOE25'!K208+'DOE25'!K226+'DOE25'!K244</f>
        <v>0</v>
      </c>
      <c r="I14" s="192"/>
    </row>
    <row r="15" spans="1:9" x14ac:dyDescent="0.2">
      <c r="A15" s="31">
        <v>2700</v>
      </c>
      <c r="B15" t="s">
        <v>799</v>
      </c>
      <c r="C15" s="206">
        <f t="shared" si="0"/>
        <v>840671.9</v>
      </c>
      <c r="D15" s="19">
        <f>'DOE25'!L209+'DOE25'!L227+'DOE25'!L245-F15-G15-H15</f>
        <v>840671.9</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243127.53</v>
      </c>
      <c r="D22" s="180"/>
      <c r="E22" s="180"/>
      <c r="F22" s="180"/>
      <c r="G22" s="19">
        <f>'DOE25'!L256+'DOE25'!L337</f>
        <v>243127.53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393933.76</v>
      </c>
      <c r="D25" s="180"/>
      <c r="E25" s="180"/>
      <c r="F25" s="191"/>
      <c r="G25" s="180"/>
      <c r="H25" s="180"/>
      <c r="I25" s="190">
        <f>'DOE25'!L261+'DOE25'!L262+'DOE25'!L342+'DOE25'!L343</f>
        <v>393933.76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184892.67</v>
      </c>
      <c r="D29" s="212">
        <f>'DOE25'!L359+'DOE25'!L360+'DOE25'!L361-'DOE25'!I368-F29-G29-H29-F39</f>
        <v>184892.67</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309335.79000000004</v>
      </c>
      <c r="D31" s="19">
        <f>'DOE25'!L291+'DOE25'!L310+'DOE25'!L329+'DOE25'!L334+'DOE25'!L335+'DOE25'!L336-F31-G31-H31</f>
        <v>265503.79000000004</v>
      </c>
      <c r="E31" s="180"/>
      <c r="F31" s="181"/>
      <c r="G31" s="19">
        <f>'DOE25'!J291+'DOE25'!J310+'DOE25'!J329+'DOE25'!J334+'DOE25'!J335+'DOE25'!J336</f>
        <v>43832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12581769.530000001</v>
      </c>
      <c r="E33" s="182">
        <f t="shared" si="1"/>
        <v>551576.69000000006</v>
      </c>
      <c r="F33" s="182">
        <f t="shared" si="1"/>
        <v>0</v>
      </c>
      <c r="G33" s="182">
        <f t="shared" si="1"/>
        <v>399362.56999999995</v>
      </c>
      <c r="H33" s="182">
        <f t="shared" si="1"/>
        <v>8938.64</v>
      </c>
      <c r="I33" s="182">
        <f t="shared" si="1"/>
        <v>393933.76</v>
      </c>
    </row>
    <row r="34" spans="1:9" ht="12" thickBot="1" x14ac:dyDescent="0.25"/>
    <row r="35" spans="1:9" ht="12" thickBot="1" x14ac:dyDescent="0.25">
      <c r="B35" s="188" t="s">
        <v>830</v>
      </c>
      <c r="D35" s="189">
        <f>E33</f>
        <v>551576.69000000006</v>
      </c>
      <c r="E35" s="185"/>
      <c r="F35" s="295" t="s">
        <v>1608</v>
      </c>
      <c r="G35" s="296"/>
      <c r="H35" s="296"/>
      <c r="I35" s="297"/>
    </row>
    <row r="36" spans="1:9" ht="12" thickTop="1" x14ac:dyDescent="0.2">
      <c r="B36" t="s">
        <v>810</v>
      </c>
      <c r="D36" s="19">
        <f>D33</f>
        <v>12581769.530000001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9"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Hanover</v>
      </c>
      <c r="B2">
        <f>'DOE25'!B2</f>
        <v>233</v>
      </c>
      <c r="J2" s="224" t="s">
        <v>1808</v>
      </c>
      <c r="K2" s="309">
        <f>SUM('DOE25'!L198:L201)+SUM('DOE25'!L216:L219)+SUM('DOE25'!L234:L237)+SUM('DOE25'!L277:L280)+SUM('DOE25'!L296:L299)+SUM('DOE25'!L315:L318)</f>
        <v>9683971.9299999997</v>
      </c>
      <c r="L2" s="309">
        <f>'DOE25'!L203+'DOE25'!L221+'DOE25'!L239+'DOE25'!L282+'DOE25'!L301+'DOE25'!L320</f>
        <v>396359.2</v>
      </c>
      <c r="M2" s="309">
        <f>'DOE25'!L204+'DOE25'!L222+'DOE25'!L240+'DOE25'!L283+'DOE25'!L302+'DOE25'!L321</f>
        <v>320252.26</v>
      </c>
      <c r="N2" s="309">
        <f>'DOE25'!L206+'DOE25'!L224+'DOE25'!L242+'DOE25'!L285+'DOE25'!L304+'DOE25'!L323</f>
        <v>587512.39999999991</v>
      </c>
      <c r="O2" s="309">
        <f>'Salaries-Benefits'!B10+'Salaries-Benefits'!B12+'Salaries-Benefits'!B19+'Salaries-Benefits'!B21+'Salaries-Benefits'!B28+'Salaries-Benefits'!B30+'Salaries-Benefits'!B37+'Salaries-Benefits'!B39</f>
        <v>4582242.25</v>
      </c>
      <c r="P2" s="309">
        <f>'Salaries-Benefits'!B11+'Salaries-Benefits'!B20+'Salaries-Benefits'!B29+'Salaries-Benefits'!B38</f>
        <v>654321.27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-9683971.9299999997</v>
      </c>
      <c r="L3" s="311">
        <f t="shared" ref="L3:P3" si="0">L21+L33+L43-L2</f>
        <v>-396359.2</v>
      </c>
      <c r="M3" s="311">
        <f t="shared" si="0"/>
        <v>-320252.26</v>
      </c>
      <c r="N3" s="311">
        <f t="shared" si="0"/>
        <v>-587512.39999999991</v>
      </c>
      <c r="O3" s="311">
        <f t="shared" si="0"/>
        <v>-4582242.25</v>
      </c>
      <c r="P3" s="311">
        <f t="shared" si="0"/>
        <v>-654321.27</v>
      </c>
      <c r="Q3" s="310"/>
      <c r="R3" s="306"/>
      <c r="S3" s="215"/>
      <c r="T3" s="215"/>
      <c r="U3" s="216"/>
    </row>
    <row r="4" spans="1:21" ht="55.5" customHeight="1" thickBot="1" x14ac:dyDescent="0.25">
      <c r="A4" s="224" t="s">
        <v>1522</v>
      </c>
      <c r="B4" s="224" t="s">
        <v>1523</v>
      </c>
      <c r="C4" s="224" t="s">
        <v>896</v>
      </c>
      <c r="D4" s="224" t="s">
        <v>786</v>
      </c>
      <c r="E4" s="224" t="s">
        <v>786</v>
      </c>
      <c r="F4" s="228">
        <f>SUM(F5:F20)</f>
        <v>11668174.23</v>
      </c>
      <c r="G4" s="229">
        <f>'DOE25'!L212+'DOE25'!L291</f>
        <v>11668174.23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327779.75+51667.95</f>
        <v>379447.7</v>
      </c>
      <c r="E5" s="220">
        <v>13334</v>
      </c>
      <c r="F5" s="232">
        <f>D5+E5</f>
        <v>392781.7</v>
      </c>
      <c r="G5" s="223"/>
      <c r="H5" s="223"/>
      <c r="J5" s="223"/>
      <c r="K5" s="223"/>
      <c r="L5" s="223"/>
      <c r="M5" s="223"/>
      <c r="N5" s="223"/>
      <c r="O5" s="223"/>
      <c r="P5" s="223"/>
      <c r="Q5" s="223"/>
    </row>
    <row r="6" spans="1:21" x14ac:dyDescent="0.2">
      <c r="A6" t="str" cm="1">
        <f t="array" ref="A6">IFERROR(INDEX('School Tables'!$A$4:$G$325,'School Tables'!$J4,3),"")</f>
        <v>Bernice A. Ray School</v>
      </c>
      <c r="B6" s="230">
        <f>IFERROR(VLOOKUP(A6,'School Tables'!$C$3:$D$365,2,FALSE),"")</f>
        <v>20830</v>
      </c>
      <c r="C6" s="223" t="str">
        <f>IFERROR(INDEX('School Tables'!$B$3:$B$365,MATCH('School Level Expenditures'!B6,'School Tables'!$D$3:$D$365,0)),"")</f>
        <v>Hanover</v>
      </c>
      <c r="D6" s="220">
        <v>11000956.82</v>
      </c>
      <c r="E6" s="220">
        <v>274435.71000000002</v>
      </c>
      <c r="F6" s="232">
        <f t="shared" ref="F6:F20" si="1">D6+E6</f>
        <v>11275392.530000001</v>
      </c>
      <c r="G6" s="223"/>
      <c r="H6" s="223"/>
      <c r="J6" t="str">
        <f>A6</f>
        <v>Bernice A. Ray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11380404.52</v>
      </c>
      <c r="E21" s="262">
        <f>SUM(E5:E20)</f>
        <v>287769.71000000002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206817.22</v>
      </c>
      <c r="G24" s="229">
        <f>'DOE25'!L230+'DOE25'!L310</f>
        <v>206817.22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41731.93+165085.29</f>
        <v>206817.22</v>
      </c>
      <c r="E25" s="220"/>
      <c r="F25" s="232">
        <f>D25+E25</f>
        <v>206817.22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206817.22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1238635.78</v>
      </c>
      <c r="G36" s="229">
        <f>'DOE25'!L248+'DOE25'!L329</f>
        <v>1238635.7799999998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1238635.78</v>
      </c>
      <c r="E37" s="220"/>
      <c r="F37" s="232">
        <f t="shared" ref="F37:F42" si="7">D37+E37</f>
        <v>1238635.78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1238635.78</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BreakPreview" zoomScaleNormal="80" zoomScaleSheetLayoutView="100" workbookViewId="0">
      <selection activeCell="X24" sqref="X2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Hanover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1645351.74</v>
      </c>
      <c r="D8" s="73">
        <f>'DOE25'!G9</f>
        <v>0</v>
      </c>
      <c r="E8" s="73">
        <f>'DOE25'!H9</f>
        <v>0</v>
      </c>
      <c r="F8" s="73">
        <f>'DOE25'!I9</f>
        <v>0</v>
      </c>
      <c r="G8" s="73">
        <f>'DOE25'!J9</f>
        <v>2642389</v>
      </c>
      <c r="H8" s="13">
        <f>SUM(C8:G8)</f>
        <v>4287740.74</v>
      </c>
      <c r="I8" s="90"/>
    </row>
    <row r="9" spans="1:9" x14ac:dyDescent="0.2">
      <c r="A9" s="1" t="s">
        <v>140</v>
      </c>
      <c r="B9" s="6">
        <v>110</v>
      </c>
      <c r="C9" s="73">
        <f>'DOE25'!F10</f>
        <v>2208743.66</v>
      </c>
      <c r="D9" s="73">
        <f>'DOE25'!G10</f>
        <v>0</v>
      </c>
      <c r="E9" s="73">
        <f>'DOE25'!H10</f>
        <v>0</v>
      </c>
      <c r="F9" s="73">
        <f>'DOE25'!I10</f>
        <v>0</v>
      </c>
      <c r="G9" s="73">
        <f>'DOE25'!J10</f>
        <v>0</v>
      </c>
      <c r="H9" s="13">
        <f t="shared" ref="H9:H18" si="0">SUM(C9:G9)</f>
        <v>2208743.66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25850</v>
      </c>
      <c r="D12" s="73">
        <f>'DOE25'!G13</f>
        <v>0</v>
      </c>
      <c r="E12" s="73">
        <f>'DOE25'!H13</f>
        <v>0</v>
      </c>
      <c r="F12" s="73">
        <f>'DOE25'!I13</f>
        <v>0</v>
      </c>
      <c r="G12" s="73">
        <f>'DOE25'!J13</f>
        <v>0</v>
      </c>
      <c r="H12" s="13">
        <f t="shared" si="0"/>
        <v>25850</v>
      </c>
      <c r="I12" s="90"/>
    </row>
    <row r="13" spans="1:9" x14ac:dyDescent="0.2">
      <c r="A13" s="1" t="s">
        <v>144</v>
      </c>
      <c r="B13" s="6">
        <v>150</v>
      </c>
      <c r="C13" s="73">
        <f>'DOE25'!F14</f>
        <v>721475.24</v>
      </c>
      <c r="D13" s="73">
        <f>'DOE25'!G14</f>
        <v>0</v>
      </c>
      <c r="E13" s="73">
        <f>'DOE25'!H14</f>
        <v>0</v>
      </c>
      <c r="F13" s="73">
        <f>'DOE25'!I14</f>
        <v>0</v>
      </c>
      <c r="G13" s="73">
        <f>'DOE25'!J14</f>
        <v>0</v>
      </c>
      <c r="H13" s="13">
        <f t="shared" si="0"/>
        <v>721475.24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22002.400000000001</v>
      </c>
      <c r="D16" s="73">
        <f>'DOE25'!G17</f>
        <v>0</v>
      </c>
      <c r="E16" s="73">
        <f>'DOE25'!H17</f>
        <v>0</v>
      </c>
      <c r="F16" s="73">
        <f>'DOE25'!I17</f>
        <v>0</v>
      </c>
      <c r="G16" s="73">
        <f>'DOE25'!J17</f>
        <v>0</v>
      </c>
      <c r="H16" s="13">
        <f t="shared" si="0"/>
        <v>22002.400000000001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4623423.040000001</v>
      </c>
      <c r="D18" s="38">
        <f>SUM(D8:D17)</f>
        <v>0</v>
      </c>
      <c r="E18" s="38">
        <f>SUM(E8:E17)</f>
        <v>0</v>
      </c>
      <c r="F18" s="38">
        <f>SUM(F8:F17)</f>
        <v>0</v>
      </c>
      <c r="G18" s="38">
        <f>SUM(G8:G17)</f>
        <v>2642389</v>
      </c>
      <c r="H18" s="38">
        <f t="shared" si="0"/>
        <v>7265812.040000001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30293.43</v>
      </c>
      <c r="D21" s="73">
        <f>'DOE25'!G22</f>
        <v>-15622.45</v>
      </c>
      <c r="E21" s="73">
        <f>'DOE25'!H22</f>
        <v>-14671.3</v>
      </c>
      <c r="F21" s="73">
        <f>'DOE25'!I22</f>
        <v>0</v>
      </c>
      <c r="G21" s="73">
        <f>'DOE25'!J22</f>
        <v>0</v>
      </c>
      <c r="H21" s="13">
        <f t="shared" ref="H21:H31" si="1">SUM(C21:G21)</f>
        <v>-0.31999999999970896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487803.24</v>
      </c>
      <c r="D23" s="73">
        <f>'DOE25'!G24</f>
        <v>0</v>
      </c>
      <c r="E23" s="73">
        <f>'DOE25'!H24</f>
        <v>0.1</v>
      </c>
      <c r="F23" s="73">
        <f>'DOE25'!I24</f>
        <v>0</v>
      </c>
      <c r="G23" s="73">
        <f>'DOE25'!J24</f>
        <v>0</v>
      </c>
      <c r="H23" s="13">
        <f t="shared" si="1"/>
        <v>487803.33999999997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0.06</v>
      </c>
      <c r="D27" s="73">
        <f>'DOE25'!G28</f>
        <v>0</v>
      </c>
      <c r="E27" s="73">
        <f>'DOE25'!H28</f>
        <v>0</v>
      </c>
      <c r="F27" s="73">
        <f>'DOE25'!I28</f>
        <v>0</v>
      </c>
      <c r="G27" s="23" t="s">
        <v>288</v>
      </c>
      <c r="H27" s="13">
        <f t="shared" si="1"/>
        <v>0.06</v>
      </c>
      <c r="I27" s="90"/>
    </row>
    <row r="28" spans="1:9" x14ac:dyDescent="0.2">
      <c r="A28" s="1" t="s">
        <v>157</v>
      </c>
      <c r="B28" s="6">
        <v>470</v>
      </c>
      <c r="C28" s="73">
        <f>'DOE25'!F29</f>
        <v>-36199.56</v>
      </c>
      <c r="D28" s="73">
        <f>'DOE25'!G29</f>
        <v>0</v>
      </c>
      <c r="E28" s="73">
        <f>'DOE25'!H29</f>
        <v>0</v>
      </c>
      <c r="F28" s="73">
        <f>'DOE25'!I29</f>
        <v>0</v>
      </c>
      <c r="G28" s="23" t="s">
        <v>288</v>
      </c>
      <c r="H28" s="13">
        <f t="shared" si="1"/>
        <v>-36199.56</v>
      </c>
      <c r="I28" s="90"/>
    </row>
    <row r="29" spans="1:9" x14ac:dyDescent="0.2">
      <c r="A29" s="1" t="s">
        <v>158</v>
      </c>
      <c r="B29" s="6">
        <v>480</v>
      </c>
      <c r="C29" s="73">
        <f>'DOE25'!F30</f>
        <v>0</v>
      </c>
      <c r="D29" s="73">
        <f>'DOE25'!G30</f>
        <v>9296.9500000000007</v>
      </c>
      <c r="E29" s="73">
        <f>'DOE25'!H30</f>
        <v>0</v>
      </c>
      <c r="F29" s="73">
        <f>'DOE25'!I30</f>
        <v>0</v>
      </c>
      <c r="G29" s="23" t="s">
        <v>288</v>
      </c>
      <c r="H29" s="13">
        <f t="shared" si="1"/>
        <v>9296.9500000000007</v>
      </c>
      <c r="I29" s="90"/>
    </row>
    <row r="30" spans="1:9" ht="12" thickBot="1" x14ac:dyDescent="0.25">
      <c r="A30" s="1" t="s">
        <v>159</v>
      </c>
      <c r="B30" s="56">
        <v>490</v>
      </c>
      <c r="C30" s="73">
        <f>'DOE25'!F31</f>
        <v>2240355.04</v>
      </c>
      <c r="D30" s="73">
        <f>'DOE25'!G31</f>
        <v>6325.5</v>
      </c>
      <c r="E30" s="73">
        <f>'DOE25'!H31</f>
        <v>0</v>
      </c>
      <c r="F30" s="73">
        <f>'DOE25'!I31</f>
        <v>0</v>
      </c>
      <c r="G30" s="73">
        <f>'DOE25'!J31</f>
        <v>0</v>
      </c>
      <c r="H30" s="13">
        <f t="shared" si="1"/>
        <v>2246680.54</v>
      </c>
      <c r="I30" s="90"/>
    </row>
    <row r="31" spans="1:9" ht="12" thickTop="1" x14ac:dyDescent="0.2">
      <c r="A31" s="35" t="s">
        <v>160</v>
      </c>
      <c r="B31" s="2"/>
      <c r="C31" s="38">
        <f>SUM(C21:C30)</f>
        <v>2722252.21</v>
      </c>
      <c r="D31" s="38">
        <f>SUM(D21:D30)</f>
        <v>0</v>
      </c>
      <c r="E31" s="38">
        <f>SUM(E21:E30)</f>
        <v>-14671.199999999999</v>
      </c>
      <c r="F31" s="38">
        <f>SUM(F21:F30)</f>
        <v>0</v>
      </c>
      <c r="G31" s="38">
        <f>SUM(G21:G30)</f>
        <v>0</v>
      </c>
      <c r="H31" s="38">
        <f t="shared" si="1"/>
        <v>2707581.01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0.42</v>
      </c>
      <c r="D34" s="73">
        <f>'DOE25'!G35</f>
        <v>0</v>
      </c>
      <c r="E34" s="73">
        <f>'DOE25'!H35</f>
        <v>0</v>
      </c>
      <c r="F34" s="73">
        <f>'DOE25'!I35</f>
        <v>0</v>
      </c>
      <c r="G34" s="23" t="s">
        <v>288</v>
      </c>
      <c r="H34" s="13">
        <f t="shared" ref="H34:H51" si="2">SUM(C34:G34)</f>
        <v>0.42</v>
      </c>
      <c r="I34" s="90"/>
    </row>
    <row r="35" spans="1:9" x14ac:dyDescent="0.2">
      <c r="A35" s="1" t="s">
        <v>849</v>
      </c>
      <c r="B35" s="6">
        <v>752</v>
      </c>
      <c r="C35" s="73">
        <f>'DOE25'!F36</f>
        <v>23295</v>
      </c>
      <c r="D35" s="73">
        <f>'DOE25'!G36</f>
        <v>0</v>
      </c>
      <c r="E35" s="73">
        <f>'DOE25'!H36</f>
        <v>0</v>
      </c>
      <c r="F35" s="73">
        <f>'DOE25'!I36</f>
        <v>0</v>
      </c>
      <c r="G35" s="23" t="s">
        <v>288</v>
      </c>
      <c r="H35" s="13">
        <f t="shared" si="2"/>
        <v>23295</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700000</v>
      </c>
      <c r="D42" s="73">
        <f>'DOE25'!G43</f>
        <v>0</v>
      </c>
      <c r="E42" s="73">
        <f>'DOE25'!H43</f>
        <v>0</v>
      </c>
      <c r="F42" s="73">
        <f>'DOE25'!I43</f>
        <v>0</v>
      </c>
      <c r="G42" s="73">
        <f>'DOE25'!J43</f>
        <v>0</v>
      </c>
      <c r="H42" s="13">
        <f t="shared" si="2"/>
        <v>700000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104620</v>
      </c>
      <c r="D44" s="73">
        <f>'DOE25'!G45</f>
        <v>0</v>
      </c>
      <c r="E44" s="73">
        <f>'DOE25'!H45</f>
        <v>0</v>
      </c>
      <c r="F44" s="73">
        <f>'DOE25'!I45</f>
        <v>0</v>
      </c>
      <c r="G44" s="73">
        <f>'DOE25'!J45</f>
        <v>0</v>
      </c>
      <c r="H44" s="13">
        <f t="shared" si="2"/>
        <v>104620</v>
      </c>
      <c r="I44" s="90"/>
    </row>
    <row r="45" spans="1:9" x14ac:dyDescent="0.2">
      <c r="A45" s="1" t="s">
        <v>879</v>
      </c>
      <c r="B45" s="6"/>
      <c r="C45" s="73">
        <f>'DOE25'!F46</f>
        <v>470669</v>
      </c>
      <c r="D45" s="23" t="s">
        <v>288</v>
      </c>
      <c r="E45" s="23" t="s">
        <v>288</v>
      </c>
      <c r="F45" s="23" t="s">
        <v>288</v>
      </c>
      <c r="G45" s="23" t="s">
        <v>288</v>
      </c>
      <c r="H45" s="13">
        <f t="shared" si="2"/>
        <v>470669</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14671.2</v>
      </c>
      <c r="F47" s="73">
        <f>'DOE25'!I48</f>
        <v>0</v>
      </c>
      <c r="G47" s="73">
        <f>'DOE25'!J48</f>
        <v>2642389</v>
      </c>
      <c r="H47" s="13">
        <f t="shared" si="2"/>
        <v>2657060.2000000002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602586.41</v>
      </c>
      <c r="D49" s="23" t="s">
        <v>288</v>
      </c>
      <c r="E49" s="23" t="s">
        <v>288</v>
      </c>
      <c r="F49" s="23" t="s">
        <v>288</v>
      </c>
      <c r="G49" s="23" t="s">
        <v>288</v>
      </c>
      <c r="H49" s="13">
        <f t="shared" si="2"/>
        <v>602586.41</v>
      </c>
      <c r="I49" s="90"/>
    </row>
    <row r="50" spans="1:9" ht="12.75" thickTop="1" thickBot="1" x14ac:dyDescent="0.25">
      <c r="A50" s="35" t="s">
        <v>883</v>
      </c>
      <c r="B50" s="44"/>
      <c r="C50" s="38">
        <f>SUM(C34:C49)</f>
        <v>1901170.83</v>
      </c>
      <c r="D50" s="38">
        <f>SUM(D34:D49)</f>
        <v>0</v>
      </c>
      <c r="E50" s="38">
        <f>SUM(E34:E49)</f>
        <v>14671.2</v>
      </c>
      <c r="F50" s="38">
        <f>SUM(F34:F49)</f>
        <v>0</v>
      </c>
      <c r="G50" s="38">
        <f>SUM(G34:G49)</f>
        <v>2642389</v>
      </c>
      <c r="H50" s="38">
        <f t="shared" si="2"/>
        <v>4558231.03</v>
      </c>
      <c r="I50" s="90"/>
    </row>
    <row r="51" spans="1:9" ht="12" thickTop="1" x14ac:dyDescent="0.2">
      <c r="A51" s="35" t="s">
        <v>884</v>
      </c>
      <c r="B51" s="2"/>
      <c r="C51" s="38">
        <f>C50+C31</f>
        <v>4623423.04</v>
      </c>
      <c r="D51" s="38">
        <f>D50+D31</f>
        <v>0</v>
      </c>
      <c r="E51" s="38">
        <f>E50+E31</f>
        <v>0</v>
      </c>
      <c r="F51" s="38">
        <f>F50+F31</f>
        <v>0</v>
      </c>
      <c r="G51" s="38">
        <f>G50+G31</f>
        <v>2642389</v>
      </c>
      <c r="H51" s="38">
        <f t="shared" si="2"/>
        <v>7265812.04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8343089</v>
      </c>
      <c r="D56" s="73">
        <f>'DOE25'!G60</f>
        <v>0</v>
      </c>
      <c r="E56" s="73">
        <f>'DOE25'!H60</f>
        <v>0</v>
      </c>
      <c r="F56" s="73">
        <f>'DOE25'!I60</f>
        <v>0</v>
      </c>
      <c r="G56" s="73">
        <f>'DOE25'!J60</f>
        <v>0</v>
      </c>
      <c r="H56" s="13">
        <f t="shared" ref="H56:H63" si="3">SUM(C56:G56)</f>
        <v>8343089</v>
      </c>
      <c r="I56"/>
    </row>
    <row r="57" spans="1:9" x14ac:dyDescent="0.2">
      <c r="A57" s="1" t="s">
        <v>164</v>
      </c>
      <c r="B57" s="6" t="s">
        <v>165</v>
      </c>
      <c r="C57" s="73">
        <f>'DOE25'!F79</f>
        <v>156070</v>
      </c>
      <c r="D57" s="23" t="s">
        <v>288</v>
      </c>
      <c r="E57" s="73">
        <f>'DOE25'!H79</f>
        <v>0</v>
      </c>
      <c r="F57" s="23" t="s">
        <v>288</v>
      </c>
      <c r="G57" s="23" t="s">
        <v>288</v>
      </c>
      <c r="H57" s="13">
        <f t="shared" si="3"/>
        <v>156070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123536.25</v>
      </c>
      <c r="D59" s="73">
        <f>'DOE25'!G96</f>
        <v>0</v>
      </c>
      <c r="E59" s="73">
        <f>'DOE25'!H96</f>
        <v>0</v>
      </c>
      <c r="F59" s="73">
        <f>'DOE25'!I96</f>
        <v>0</v>
      </c>
      <c r="G59" s="73">
        <f>'DOE25'!J96</f>
        <v>209360</v>
      </c>
      <c r="H59" s="13">
        <f t="shared" si="3"/>
        <v>332896.25</v>
      </c>
      <c r="I59"/>
    </row>
    <row r="60" spans="1:9" x14ac:dyDescent="0.2">
      <c r="A60" s="1" t="s">
        <v>170</v>
      </c>
      <c r="B60" s="22" t="s">
        <v>171</v>
      </c>
      <c r="C60" s="23" t="s">
        <v>288</v>
      </c>
      <c r="D60" s="73">
        <f>'DOE25'!G97</f>
        <v>155934.76999999999</v>
      </c>
      <c r="E60" s="23" t="s">
        <v>288</v>
      </c>
      <c r="F60" s="23" t="s">
        <v>288</v>
      </c>
      <c r="G60" s="23" t="s">
        <v>288</v>
      </c>
      <c r="H60" s="13">
        <f t="shared" si="3"/>
        <v>155934.76999999999</v>
      </c>
      <c r="I60"/>
    </row>
    <row r="61" spans="1:9" ht="12" thickBot="1" x14ac:dyDescent="0.25">
      <c r="A61" s="1" t="s">
        <v>172</v>
      </c>
      <c r="B61" s="22" t="s">
        <v>173</v>
      </c>
      <c r="C61" s="73">
        <f>SUM('DOE25'!F98:F110)</f>
        <v>123997.25</v>
      </c>
      <c r="D61" s="73">
        <f>SUM('DOE25'!G98:G110)</f>
        <v>0</v>
      </c>
      <c r="E61" s="73">
        <f>SUM('DOE25'!H98:H110)</f>
        <v>16775.169999999998</v>
      </c>
      <c r="F61" s="73">
        <f>SUM('DOE25'!I98:I110)</f>
        <v>0</v>
      </c>
      <c r="G61" s="73">
        <f>SUM('DOE25'!J98:J110)</f>
        <v>0</v>
      </c>
      <c r="H61" s="13">
        <f t="shared" si="3"/>
        <v>140772.41999999998</v>
      </c>
      <c r="I61"/>
    </row>
    <row r="62" spans="1:9" ht="12.75" thickTop="1" thickBot="1" x14ac:dyDescent="0.25">
      <c r="A62" s="28" t="s">
        <v>174</v>
      </c>
      <c r="B62" s="6"/>
      <c r="C62" s="93">
        <f>SUM(C57:C61)</f>
        <v>403603.5</v>
      </c>
      <c r="D62" s="93">
        <f>SUM(D57:D61)</f>
        <v>155934.76999999999</v>
      </c>
      <c r="E62" s="93">
        <f>SUM(E57:E61)</f>
        <v>16775.169999999998</v>
      </c>
      <c r="F62" s="93">
        <f>SUM(F57:F61)</f>
        <v>0</v>
      </c>
      <c r="G62" s="93">
        <f>SUM(G57:G61)</f>
        <v>209360</v>
      </c>
      <c r="H62" s="13">
        <f t="shared" si="3"/>
        <v>785673.44000000006</v>
      </c>
      <c r="I62"/>
    </row>
    <row r="63" spans="1:9" ht="12" thickTop="1" x14ac:dyDescent="0.2">
      <c r="A63" s="28" t="s">
        <v>175</v>
      </c>
      <c r="B63" s="6"/>
      <c r="C63" s="21">
        <f>C56+C62</f>
        <v>8746692.5</v>
      </c>
      <c r="D63" s="21">
        <f>D56+D62</f>
        <v>155934.76999999999</v>
      </c>
      <c r="E63" s="21">
        <f>E56+E62</f>
        <v>16775.169999999998</v>
      </c>
      <c r="F63" s="21">
        <f>F56+F62</f>
        <v>0</v>
      </c>
      <c r="G63" s="21">
        <f>G56+G62</f>
        <v>209360</v>
      </c>
      <c r="H63" s="13">
        <f t="shared" si="3"/>
        <v>9128762.4399999995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1308224</v>
      </c>
      <c r="D66" s="23" t="s">
        <v>288</v>
      </c>
      <c r="E66" s="23" t="s">
        <v>288</v>
      </c>
      <c r="F66" s="23" t="s">
        <v>288</v>
      </c>
      <c r="G66" s="23" t="s">
        <v>288</v>
      </c>
      <c r="H66" s="13">
        <f t="shared" ref="H66:H81" si="4">SUM(C66:G66)</f>
        <v>1308224</v>
      </c>
      <c r="I66"/>
    </row>
    <row r="67" spans="1:9" x14ac:dyDescent="0.2">
      <c r="A67" s="1" t="s">
        <v>770</v>
      </c>
      <c r="B67" s="6">
        <v>3112</v>
      </c>
      <c r="C67" s="73">
        <f>'DOE25'!F118</f>
        <v>3423649</v>
      </c>
      <c r="D67" s="23"/>
      <c r="E67" s="23"/>
      <c r="F67" s="23"/>
      <c r="G67" s="23"/>
      <c r="H67" s="13">
        <f t="shared" si="4"/>
        <v>3423649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4731873</v>
      </c>
      <c r="D70" s="97">
        <f>D69</f>
        <v>0</v>
      </c>
      <c r="E70" s="97">
        <f>E69</f>
        <v>0</v>
      </c>
      <c r="F70" s="97">
        <f>F69</f>
        <v>0</v>
      </c>
      <c r="G70" s="97">
        <f>G69</f>
        <v>0</v>
      </c>
      <c r="H70" s="13">
        <f t="shared" si="4"/>
        <v>4731873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71642.55</v>
      </c>
      <c r="D72" s="23" t="s">
        <v>288</v>
      </c>
      <c r="E72" s="23" t="s">
        <v>288</v>
      </c>
      <c r="F72" s="73">
        <f>'DOE25'!I123</f>
        <v>0</v>
      </c>
      <c r="G72" s="23" t="s">
        <v>288</v>
      </c>
      <c r="H72" s="13">
        <f t="shared" si="4"/>
        <v>71642.55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610458.38</v>
      </c>
      <c r="D75" s="23" t="s">
        <v>288</v>
      </c>
      <c r="E75" s="23" t="s">
        <v>288</v>
      </c>
      <c r="F75" s="23" t="s">
        <v>288</v>
      </c>
      <c r="G75" s="23" t="s">
        <v>288</v>
      </c>
      <c r="H75" s="13">
        <f t="shared" si="4"/>
        <v>610458.38</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682100.93</v>
      </c>
      <c r="D78" s="93">
        <f>SUM(D72:D77)</f>
        <v>0</v>
      </c>
      <c r="E78" s="93">
        <f>SUM(E72:E77)</f>
        <v>0</v>
      </c>
      <c r="F78" s="93">
        <f>SUM(F72:F77)</f>
        <v>0</v>
      </c>
      <c r="G78" s="93">
        <f>SUM(G72:G77)</f>
        <v>0</v>
      </c>
      <c r="H78" s="13">
        <f t="shared" si="4"/>
        <v>682100.93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5413973.9299999997</v>
      </c>
      <c r="D81" s="93">
        <f>SUM(D79:D80)+D78+D70</f>
        <v>0</v>
      </c>
      <c r="E81" s="93">
        <f>SUM(E79:E80)+E78+E70</f>
        <v>0</v>
      </c>
      <c r="F81" s="93">
        <f>SUM(F79:F80)+F78+F70</f>
        <v>0</v>
      </c>
      <c r="G81" s="93">
        <f>SUM(G79:G80)+G78+G70</f>
        <v>0</v>
      </c>
      <c r="H81" s="93">
        <f t="shared" si="4"/>
        <v>5413973.9299999997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71274.55</v>
      </c>
      <c r="F85" s="73">
        <f>'DOE25'!I147</f>
        <v>0</v>
      </c>
      <c r="G85" s="23" t="s">
        <v>288</v>
      </c>
      <c r="H85" s="13">
        <f t="shared" ref="H85:H104" si="5">SUM(C85:G85)</f>
        <v>71274.55</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43430.96</v>
      </c>
      <c r="D88" s="253">
        <f>SUM('DOE25'!G153:G162)</f>
        <v>0</v>
      </c>
      <c r="E88" s="253">
        <f>SUM('DOE25'!H153:H162)</f>
        <v>216495.15999999997</v>
      </c>
      <c r="F88" s="253">
        <f>SUM('DOE25'!I153:I162)</f>
        <v>0</v>
      </c>
      <c r="G88" s="23" t="s">
        <v>288</v>
      </c>
      <c r="H88" s="13">
        <f t="shared" si="5"/>
        <v>259926.11999999997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3286.98</v>
      </c>
      <c r="D90" s="23" t="s">
        <v>288</v>
      </c>
      <c r="E90" s="23" t="s">
        <v>288</v>
      </c>
      <c r="F90" s="23" t="s">
        <v>288</v>
      </c>
      <c r="G90" s="23" t="s">
        <v>288</v>
      </c>
      <c r="H90" s="13">
        <f t="shared" si="5"/>
        <v>3286.98</v>
      </c>
    </row>
    <row r="91" spans="1:9" ht="12.75" thickTop="1" thickBot="1" x14ac:dyDescent="0.25">
      <c r="A91" s="32" t="s">
        <v>750</v>
      </c>
      <c r="C91" s="94">
        <f>SUM(C85:C90)</f>
        <v>46717.94</v>
      </c>
      <c r="D91" s="94">
        <f>SUM(D85:D90)</f>
        <v>0</v>
      </c>
      <c r="E91" s="94">
        <f>SUM(E85:E90)</f>
        <v>287769.70999999996</v>
      </c>
      <c r="F91" s="94">
        <f>SUM(F85:F90)</f>
        <v>0</v>
      </c>
      <c r="G91" s="23" t="s">
        <v>288</v>
      </c>
      <c r="H91" s="13">
        <f t="shared" si="5"/>
        <v>334487.64999999997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28957.35</v>
      </c>
      <c r="E96" s="73">
        <f>'DOE25'!H180</f>
        <v>0</v>
      </c>
      <c r="F96" s="73">
        <f>'DOE25'!I180</f>
        <v>0</v>
      </c>
      <c r="G96" s="73">
        <f>'DOE25'!J180</f>
        <v>150000</v>
      </c>
      <c r="H96" s="13">
        <f t="shared" si="5"/>
        <v>178957.35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30000</v>
      </c>
      <c r="D100" s="73">
        <f>SUM('DOE25'!G187:G188)</f>
        <v>0</v>
      </c>
      <c r="E100" s="73">
        <f>SUM('DOE25'!H187:H188)</f>
        <v>0</v>
      </c>
      <c r="F100" s="73">
        <f>SUM('DOE25'!I187:I188)</f>
        <v>0</v>
      </c>
      <c r="G100" s="23" t="s">
        <v>288</v>
      </c>
      <c r="H100" s="13">
        <f t="shared" si="5"/>
        <v>30000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30000</v>
      </c>
      <c r="D103" s="68">
        <f>SUM(D93:D102)</f>
        <v>28957.35</v>
      </c>
      <c r="E103" s="68">
        <f>SUM(E93:E102)</f>
        <v>0</v>
      </c>
      <c r="F103" s="68">
        <f>SUM(F93:F102)</f>
        <v>0</v>
      </c>
      <c r="G103" s="68">
        <f>SUM(G93:G102)</f>
        <v>150000</v>
      </c>
      <c r="H103" s="68">
        <f t="shared" si="5"/>
        <v>208957.35</v>
      </c>
    </row>
    <row r="104" spans="1:8" ht="12.75" thickTop="1" thickBot="1" x14ac:dyDescent="0.25">
      <c r="A104" s="32" t="s">
        <v>761</v>
      </c>
      <c r="C104" s="68">
        <f>C63+C81+C91+C103</f>
        <v>14237384.369999999</v>
      </c>
      <c r="D104" s="68">
        <f>D63+D81+D91+D103</f>
        <v>184892.12</v>
      </c>
      <c r="E104" s="68">
        <f>E63+E81+E91+E103</f>
        <v>304544.87999999995</v>
      </c>
      <c r="F104" s="68">
        <f>F63+F81+F91+F103</f>
        <v>0</v>
      </c>
      <c r="G104" s="68">
        <f>G63+G81+G103</f>
        <v>359360</v>
      </c>
      <c r="H104" s="68">
        <f t="shared" si="5"/>
        <v>15086181.369999999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5624315.4000000004</v>
      </c>
      <c r="D109" s="23" t="s">
        <v>288</v>
      </c>
      <c r="E109" s="73">
        <f>('DOE25'!L277)+('DOE25'!L296)+('DOE25'!L315)</f>
        <v>75794.36</v>
      </c>
      <c r="F109" s="23" t="s">
        <v>288</v>
      </c>
      <c r="G109" s="23" t="s">
        <v>288</v>
      </c>
      <c r="H109" s="13">
        <f t="shared" ref="H109:H115" si="6">SUM(C109:G109)</f>
        <v>5700109.7600000007</v>
      </c>
    </row>
    <row r="110" spans="1:8" x14ac:dyDescent="0.2">
      <c r="A110" t="s">
        <v>198</v>
      </c>
      <c r="B110" s="31" t="s">
        <v>199</v>
      </c>
      <c r="C110" s="73">
        <f>('DOE25'!L199)+('DOE25'!L217)+('DOE25'!L235)</f>
        <v>3782452.19</v>
      </c>
      <c r="D110" s="23" t="s">
        <v>288</v>
      </c>
      <c r="E110" s="73">
        <f>('DOE25'!L278)+('DOE25'!L297)+('DOE25'!L316)</f>
        <v>201409.98</v>
      </c>
      <c r="F110" s="23" t="s">
        <v>288</v>
      </c>
      <c r="G110" s="23" t="s">
        <v>288</v>
      </c>
      <c r="H110" s="13">
        <f t="shared" si="6"/>
        <v>3983862.17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9406767.5899999999</v>
      </c>
      <c r="D115" s="68">
        <f>SUM(D109:D114)</f>
        <v>0</v>
      </c>
      <c r="E115" s="68">
        <f>SUM(E109:E114)</f>
        <v>277204.34000000003</v>
      </c>
      <c r="F115" s="68">
        <f>SUM(F109:F114)</f>
        <v>0</v>
      </c>
      <c r="G115" s="68">
        <f>SUM(G109:G114)</f>
        <v>0</v>
      </c>
      <c r="H115" s="68">
        <f t="shared" si="6"/>
        <v>9683971.9299999997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396359.2</v>
      </c>
      <c r="D118" s="23" t="s">
        <v>288</v>
      </c>
      <c r="E118" s="73">
        <f>+('DOE25'!L282)+('DOE25'!L301)+('DOE25'!L320)</f>
        <v>0</v>
      </c>
      <c r="F118" s="23" t="s">
        <v>288</v>
      </c>
      <c r="G118" s="23" t="s">
        <v>288</v>
      </c>
      <c r="H118" s="13">
        <f t="shared" ref="H118:H145" si="7">SUM(C118:G118)</f>
        <v>396359.2</v>
      </c>
    </row>
    <row r="119" spans="1:8" x14ac:dyDescent="0.2">
      <c r="A119" t="s">
        <v>208</v>
      </c>
      <c r="B119" s="31" t="s">
        <v>209</v>
      </c>
      <c r="C119" s="73">
        <f>('DOE25'!L204)+('DOE25'!L222)+('DOE25'!L240)</f>
        <v>309686.89</v>
      </c>
      <c r="D119" s="23" t="s">
        <v>288</v>
      </c>
      <c r="E119" s="73">
        <f>+('DOE25'!L283)+('DOE25'!L302)+('DOE25'!L321)</f>
        <v>10565.37</v>
      </c>
      <c r="F119" s="23" t="s">
        <v>288</v>
      </c>
      <c r="G119" s="23" t="s">
        <v>288</v>
      </c>
      <c r="H119" s="13">
        <f t="shared" si="7"/>
        <v>320252.26</v>
      </c>
    </row>
    <row r="120" spans="1:8" x14ac:dyDescent="0.2">
      <c r="A120" t="s">
        <v>210</v>
      </c>
      <c r="B120" s="31" t="s">
        <v>211</v>
      </c>
      <c r="C120" s="73">
        <f>('DOE25'!L205)+('DOE25'!L223)+('DOE25'!L241)</f>
        <v>559171.33000000007</v>
      </c>
      <c r="D120" s="23" t="s">
        <v>288</v>
      </c>
      <c r="E120" s="73">
        <f>+('DOE25'!L284)+('DOE25'!L303)+('DOE25'!L322)</f>
        <v>0</v>
      </c>
      <c r="F120" s="23" t="s">
        <v>288</v>
      </c>
      <c r="G120" s="23" t="s">
        <v>288</v>
      </c>
      <c r="H120" s="13">
        <f t="shared" si="7"/>
        <v>559171.33000000007</v>
      </c>
    </row>
    <row r="121" spans="1:8" x14ac:dyDescent="0.2">
      <c r="A121" t="s">
        <v>212</v>
      </c>
      <c r="B121" s="31" t="s">
        <v>213</v>
      </c>
      <c r="C121" s="73">
        <f>('DOE25'!L206)+('DOE25'!L224)+('DOE25'!L242)</f>
        <v>587512.39999999991</v>
      </c>
      <c r="D121" s="23" t="s">
        <v>288</v>
      </c>
      <c r="E121" s="73">
        <f>+('DOE25'!L285)+('DOE25'!L304)+('DOE25'!L323)</f>
        <v>0</v>
      </c>
      <c r="F121" s="23" t="s">
        <v>288</v>
      </c>
      <c r="G121" s="23" t="s">
        <v>288</v>
      </c>
      <c r="H121" s="13">
        <f t="shared" si="7"/>
        <v>587512.39999999991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704122.12999999989</v>
      </c>
      <c r="D123" s="23" t="s">
        <v>288</v>
      </c>
      <c r="E123" s="73">
        <f>+('DOE25'!L287)+('DOE25'!L306)+('DOE25'!L325)</f>
        <v>0</v>
      </c>
      <c r="F123" s="23" t="s">
        <v>288</v>
      </c>
      <c r="G123" s="23" t="s">
        <v>288</v>
      </c>
      <c r="H123" s="13">
        <f t="shared" si="7"/>
        <v>704122.12999999989</v>
      </c>
    </row>
    <row r="124" spans="1:8" x14ac:dyDescent="0.2">
      <c r="A124" t="s">
        <v>218</v>
      </c>
      <c r="B124" s="31" t="s">
        <v>219</v>
      </c>
      <c r="C124" s="73">
        <f>('DOE25'!L209)+('DOE25'!L227)+('DOE25'!L245+'DOE25'!L255)</f>
        <v>840671.9</v>
      </c>
      <c r="D124" s="23" t="s">
        <v>288</v>
      </c>
      <c r="E124" s="73">
        <f>+('DOE25'!L288)+('DOE25'!L307)+('DOE25'!L326)</f>
        <v>0</v>
      </c>
      <c r="F124" s="23" t="s">
        <v>288</v>
      </c>
      <c r="G124" s="23" t="s">
        <v>288</v>
      </c>
      <c r="H124" s="13">
        <f t="shared" si="7"/>
        <v>840671.9</v>
      </c>
    </row>
    <row r="125" spans="1:8" x14ac:dyDescent="0.2">
      <c r="A125" t="s">
        <v>220</v>
      </c>
      <c r="B125" s="31" t="s">
        <v>221</v>
      </c>
      <c r="C125" s="73">
        <f>('DOE25'!L210)+('DOE25'!L228)+('DOE25'!L246)</f>
        <v>0</v>
      </c>
      <c r="D125" s="23" t="s">
        <v>288</v>
      </c>
      <c r="E125" s="73">
        <f>+('DOE25'!L289)+('DOE25'!L308)+('DOE25'!L327)</f>
        <v>21566.080000000002</v>
      </c>
      <c r="F125" s="23" t="s">
        <v>288</v>
      </c>
      <c r="G125" s="23" t="s">
        <v>288</v>
      </c>
      <c r="H125" s="13">
        <f t="shared" si="7"/>
        <v>21566.080000000002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184892.67</v>
      </c>
      <c r="E127" s="23" t="s">
        <v>288</v>
      </c>
      <c r="F127" s="23" t="s">
        <v>288</v>
      </c>
      <c r="G127" s="23" t="s">
        <v>288</v>
      </c>
      <c r="H127" s="13">
        <f t="shared" si="7"/>
        <v>184892.67</v>
      </c>
    </row>
    <row r="128" spans="1:8" ht="12.75" thickTop="1" thickBot="1" x14ac:dyDescent="0.25">
      <c r="A128" s="32" t="s">
        <v>226</v>
      </c>
      <c r="C128" s="68">
        <f>SUM(C118:C127)</f>
        <v>3397523.85</v>
      </c>
      <c r="D128" s="68">
        <f>SUM(D118:D127)</f>
        <v>184892.67</v>
      </c>
      <c r="E128" s="68">
        <f>SUM(E118:E127)</f>
        <v>32131.450000000004</v>
      </c>
      <c r="F128" s="68">
        <f>SUM(F118:F127)</f>
        <v>0</v>
      </c>
      <c r="G128" s="68">
        <f>SUM(G118:G127)</f>
        <v>0</v>
      </c>
      <c r="H128" s="68">
        <f t="shared" si="7"/>
        <v>3614547.97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243127.53</v>
      </c>
      <c r="D130" s="23" t="s">
        <v>288</v>
      </c>
      <c r="E130" s="92">
        <f>'DOE25'!L337</f>
        <v>0</v>
      </c>
      <c r="F130" s="92">
        <f>SUM('DOE25'!L375:'DOE25'!L381)</f>
        <v>0</v>
      </c>
      <c r="G130" s="23" t="s">
        <v>288</v>
      </c>
      <c r="H130" s="13">
        <f t="shared" si="7"/>
        <v>243127.53</v>
      </c>
    </row>
    <row r="131" spans="1:8" x14ac:dyDescent="0.2">
      <c r="A131" t="s">
        <v>229</v>
      </c>
      <c r="B131" s="31">
        <v>5110</v>
      </c>
      <c r="C131" s="73">
        <f>'DOE25'!L261</f>
        <v>240000</v>
      </c>
      <c r="D131" s="23" t="s">
        <v>288</v>
      </c>
      <c r="E131" s="92">
        <f>'DOE25'!L342</f>
        <v>0</v>
      </c>
      <c r="F131" s="23" t="s">
        <v>288</v>
      </c>
      <c r="G131" s="23" t="s">
        <v>288</v>
      </c>
      <c r="H131" s="13">
        <f t="shared" si="7"/>
        <v>240000</v>
      </c>
    </row>
    <row r="132" spans="1:8" x14ac:dyDescent="0.2">
      <c r="A132" t="s">
        <v>230</v>
      </c>
      <c r="B132" s="31">
        <v>5120</v>
      </c>
      <c r="C132" s="73">
        <f>'DOE25'!L262</f>
        <v>153933.76000000001</v>
      </c>
      <c r="D132" s="23" t="s">
        <v>288</v>
      </c>
      <c r="E132" s="92">
        <f>'DOE25'!L343</f>
        <v>0</v>
      </c>
      <c r="F132" s="23" t="s">
        <v>288</v>
      </c>
      <c r="G132" s="23" t="s">
        <v>288</v>
      </c>
      <c r="H132" s="13">
        <f t="shared" si="7"/>
        <v>153933.76000000001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28957.35</v>
      </c>
      <c r="D135" s="23" t="s">
        <v>288</v>
      </c>
      <c r="E135" s="92">
        <f>'DOE25'!L346</f>
        <v>0</v>
      </c>
      <c r="F135" s="23" t="s">
        <v>288</v>
      </c>
      <c r="G135" s="23" t="s">
        <v>288</v>
      </c>
      <c r="H135" s="13">
        <f t="shared" si="7"/>
        <v>28957.35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359360</v>
      </c>
      <c r="D139" s="23" t="s">
        <v>288</v>
      </c>
      <c r="E139" s="23" t="s">
        <v>288</v>
      </c>
      <c r="F139" s="23" t="s">
        <v>288</v>
      </c>
      <c r="G139" s="23" t="s">
        <v>288</v>
      </c>
      <c r="H139" s="13">
        <f t="shared" si="7"/>
        <v>359360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-209360</v>
      </c>
      <c r="D141" s="23" t="s">
        <v>288</v>
      </c>
      <c r="E141" s="23" t="s">
        <v>288</v>
      </c>
      <c r="F141" s="23" t="s">
        <v>288</v>
      </c>
      <c r="G141" s="23" t="s">
        <v>288</v>
      </c>
      <c r="H141" s="13">
        <f t="shared" si="7"/>
        <v>-209360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816018.64</v>
      </c>
      <c r="D144" s="98">
        <f>SUM(D130:D143)</f>
        <v>0</v>
      </c>
      <c r="E144" s="98">
        <f>SUM(E130:E143)</f>
        <v>0</v>
      </c>
      <c r="F144" s="98">
        <f>SUM(F130:F143)</f>
        <v>0</v>
      </c>
      <c r="G144" s="98">
        <f>SUM(G130:G143)</f>
        <v>0</v>
      </c>
      <c r="H144" s="98">
        <f t="shared" si="7"/>
        <v>816018.64</v>
      </c>
    </row>
    <row r="145" spans="1:9" ht="12.75" thickTop="1" thickBot="1" x14ac:dyDescent="0.25">
      <c r="A145" s="32" t="s">
        <v>244</v>
      </c>
      <c r="C145" s="68">
        <f>(C115+C128+C144)</f>
        <v>13620310.08</v>
      </c>
      <c r="D145" s="68">
        <f>(D115+D128+D144)</f>
        <v>184892.67</v>
      </c>
      <c r="E145" s="68">
        <f>(E115+E128+E144)</f>
        <v>309335.79000000004</v>
      </c>
      <c r="F145" s="68">
        <f>(F115+F128+F144)</f>
        <v>0</v>
      </c>
      <c r="G145" s="68">
        <f>(G115+G128+G144)</f>
        <v>0</v>
      </c>
      <c r="H145" s="68">
        <f t="shared" si="7"/>
        <v>14114538.539999999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v>
      </c>
      <c r="C152" s="109">
        <f>'DOE25'!G492</f>
        <v>0</v>
      </c>
      <c r="D152" s="109">
        <f>'DOE25'!H492</f>
        <v>0</v>
      </c>
      <c r="E152" s="109">
        <f>'DOE25'!I492</f>
        <v>0</v>
      </c>
      <c r="F152" s="109">
        <f>'DOE25'!J492</f>
        <v>0</v>
      </c>
      <c r="G152" s="23" t="s">
        <v>288</v>
      </c>
    </row>
    <row r="153" spans="1:9" x14ac:dyDescent="0.2">
      <c r="A153" s="21" t="s">
        <v>29</v>
      </c>
      <c r="B153" s="109" t="str">
        <f>'DOE25'!F493</f>
        <v>02/36</v>
      </c>
      <c r="C153" s="109">
        <f>'DOE25'!G493</f>
        <v>0</v>
      </c>
      <c r="D153" s="109">
        <f>'DOE25'!H493</f>
        <v>0</v>
      </c>
      <c r="E153" s="109">
        <f>'DOE25'!I493</f>
        <v>0</v>
      </c>
      <c r="F153" s="109">
        <f>'DOE25'!J493</f>
        <v>0</v>
      </c>
      <c r="G153" s="23" t="s">
        <v>288</v>
      </c>
    </row>
    <row r="154" spans="1:9" x14ac:dyDescent="0.2">
      <c r="A154" s="21" t="s">
        <v>30</v>
      </c>
      <c r="B154" s="19">
        <f>'DOE25'!F494</f>
        <v>5391000</v>
      </c>
      <c r="C154" s="19">
        <f>'DOE25'!G494</f>
        <v>0</v>
      </c>
      <c r="D154" s="19">
        <f>'DOE25'!H494</f>
        <v>0</v>
      </c>
      <c r="E154" s="19">
        <f>'DOE25'!I494</f>
        <v>0</v>
      </c>
      <c r="F154" s="19">
        <f>'DOE25'!J494</f>
        <v>0</v>
      </c>
      <c r="G154" s="23" t="s">
        <v>288</v>
      </c>
    </row>
    <row r="155" spans="1:9" x14ac:dyDescent="0.2">
      <c r="A155" s="21" t="s">
        <v>31</v>
      </c>
      <c r="B155" s="19">
        <f>'DOE25'!F495</f>
        <v>3.04</v>
      </c>
      <c r="C155" s="19">
        <f>'DOE25'!G495</f>
        <v>0</v>
      </c>
      <c r="D155" s="19">
        <f>'DOE25'!H495</f>
        <v>0</v>
      </c>
      <c r="E155" s="19">
        <f>'DOE25'!I495</f>
        <v>0</v>
      </c>
      <c r="F155" s="19">
        <f>'DOE25'!J495</f>
        <v>0</v>
      </c>
      <c r="G155" s="23" t="s">
        <v>288</v>
      </c>
    </row>
    <row r="156" spans="1:9" x14ac:dyDescent="0.2">
      <c r="A156" s="21" t="s">
        <v>32</v>
      </c>
      <c r="B156" s="19">
        <f>'DOE25'!F496</f>
        <v>4040000</v>
      </c>
      <c r="C156" s="19">
        <f>'DOE25'!G496</f>
        <v>0</v>
      </c>
      <c r="D156" s="19">
        <f>'DOE25'!H496</f>
        <v>0</v>
      </c>
      <c r="E156" s="19">
        <f>'DOE25'!I496</f>
        <v>0</v>
      </c>
      <c r="F156" s="19">
        <f>'DOE25'!J496</f>
        <v>0</v>
      </c>
      <c r="G156" s="96">
        <f>SUM(B156:F156)</f>
        <v>4040000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240000</v>
      </c>
      <c r="C158" s="19">
        <f>'DOE25'!G498</f>
        <v>0</v>
      </c>
      <c r="D158" s="19">
        <f>'DOE25'!H498</f>
        <v>0</v>
      </c>
      <c r="E158" s="19">
        <f>'DOE25'!I498</f>
        <v>0</v>
      </c>
      <c r="F158" s="19">
        <f>'DOE25'!J498</f>
        <v>0</v>
      </c>
      <c r="G158" s="96">
        <f t="shared" si="8"/>
        <v>240000</v>
      </c>
    </row>
    <row r="159" spans="1:9" x14ac:dyDescent="0.2">
      <c r="A159" s="21" t="s">
        <v>35</v>
      </c>
      <c r="B159" s="19">
        <f>'DOE25'!F499</f>
        <v>3800000</v>
      </c>
      <c r="C159" s="19">
        <f>'DOE25'!G499</f>
        <v>0</v>
      </c>
      <c r="D159" s="19">
        <f>'DOE25'!H499</f>
        <v>0</v>
      </c>
      <c r="E159" s="19">
        <f>'DOE25'!I499</f>
        <v>0</v>
      </c>
      <c r="F159" s="19">
        <f>'DOE25'!J499</f>
        <v>0</v>
      </c>
      <c r="G159" s="96">
        <f t="shared" si="8"/>
        <v>3800000</v>
      </c>
    </row>
    <row r="160" spans="1:9" x14ac:dyDescent="0.2">
      <c r="A160" s="21" t="s">
        <v>36</v>
      </c>
      <c r="B160" s="19">
        <f>'DOE25'!F500</f>
        <v>896479.72</v>
      </c>
      <c r="C160" s="19">
        <f>'DOE25'!G500</f>
        <v>0</v>
      </c>
      <c r="D160" s="19">
        <f>'DOE25'!H500</f>
        <v>0</v>
      </c>
      <c r="E160" s="19">
        <f>'DOE25'!I500</f>
        <v>0</v>
      </c>
      <c r="F160" s="19">
        <f>'DOE25'!J500</f>
        <v>0</v>
      </c>
      <c r="G160" s="96">
        <f t="shared" si="8"/>
        <v>896479.72</v>
      </c>
    </row>
    <row r="161" spans="1:7" x14ac:dyDescent="0.2">
      <c r="A161" s="21" t="s">
        <v>37</v>
      </c>
      <c r="B161" s="19">
        <f>'DOE25'!F501</f>
        <v>4696479.72</v>
      </c>
      <c r="C161" s="19">
        <f>'DOE25'!G501</f>
        <v>0</v>
      </c>
      <c r="D161" s="19">
        <f>'DOE25'!H501</f>
        <v>0</v>
      </c>
      <c r="E161" s="19">
        <f>'DOE25'!I501</f>
        <v>0</v>
      </c>
      <c r="F161" s="19">
        <f>'DOE25'!J501</f>
        <v>0</v>
      </c>
      <c r="G161" s="96">
        <f t="shared" si="8"/>
        <v>4696479.72</v>
      </c>
    </row>
    <row r="162" spans="1:7" x14ac:dyDescent="0.2">
      <c r="A162" s="21" t="s">
        <v>38</v>
      </c>
      <c r="B162" s="19">
        <f>'DOE25'!F502</f>
        <v>250000</v>
      </c>
      <c r="C162" s="19">
        <f>'DOE25'!G502</f>
        <v>0</v>
      </c>
      <c r="D162" s="19">
        <f>'DOE25'!H502</f>
        <v>0</v>
      </c>
      <c r="E162" s="19">
        <f>'DOE25'!I502</f>
        <v>0</v>
      </c>
      <c r="F162" s="19">
        <f>'DOE25'!J502</f>
        <v>0</v>
      </c>
      <c r="G162" s="96">
        <f t="shared" si="8"/>
        <v>250000</v>
      </c>
    </row>
    <row r="163" spans="1:7" x14ac:dyDescent="0.2">
      <c r="A163" s="21" t="s">
        <v>39</v>
      </c>
      <c r="B163" s="19">
        <f>'DOE25'!F503</f>
        <v>141694</v>
      </c>
      <c r="C163" s="19">
        <f>'DOE25'!G503</f>
        <v>0</v>
      </c>
      <c r="D163" s="19">
        <f>'DOE25'!H503</f>
        <v>0</v>
      </c>
      <c r="E163" s="19">
        <f>'DOE25'!I503</f>
        <v>0</v>
      </c>
      <c r="F163" s="19">
        <f>'DOE25'!J503</f>
        <v>0</v>
      </c>
      <c r="G163" s="96">
        <f t="shared" si="8"/>
        <v>141694</v>
      </c>
    </row>
    <row r="164" spans="1:7" x14ac:dyDescent="0.2">
      <c r="A164" s="21" t="s">
        <v>246</v>
      </c>
      <c r="B164" s="19">
        <f>'DOE25'!F504</f>
        <v>391694</v>
      </c>
      <c r="C164" s="19">
        <f>'DOE25'!G504</f>
        <v>0</v>
      </c>
      <c r="D164" s="19">
        <f>'DOE25'!H504</f>
        <v>0</v>
      </c>
      <c r="E164" s="19">
        <f>'DOE25'!I504</f>
        <v>0</v>
      </c>
      <c r="F164" s="19">
        <f>'DOE25'!J504</f>
        <v>0</v>
      </c>
      <c r="G164" s="96">
        <f t="shared" si="8"/>
        <v>391694</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4" manualBreakCount="4">
    <brk id="51"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Hanover</v>
      </c>
    </row>
    <row r="3" spans="1:4" x14ac:dyDescent="0.2">
      <c r="B3" s="137" t="s">
        <v>1799</v>
      </c>
    </row>
    <row r="4" spans="1:4" x14ac:dyDescent="0.2">
      <c r="B4" t="s">
        <v>61</v>
      </c>
      <c r="C4" s="129">
        <f>IF('DOE25'!F666+'DOE25'!F671=0,0,ROUND('DOE25'!F673,0))</f>
        <v>23536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23536</v>
      </c>
    </row>
    <row r="9" spans="1:4" x14ac:dyDescent="0.2">
      <c r="A9" s="136" t="s">
        <v>94</v>
      </c>
      <c r="B9" s="137" t="s">
        <v>1800</v>
      </c>
      <c r="C9" s="131" t="s">
        <v>720</v>
      </c>
      <c r="D9" s="131" t="s">
        <v>721</v>
      </c>
    </row>
    <row r="10" spans="1:4" x14ac:dyDescent="0.2">
      <c r="A10">
        <v>1100</v>
      </c>
      <c r="B10" t="s">
        <v>702</v>
      </c>
      <c r="C10" s="129">
        <f>ROUND('DOE25'!L198+'DOE25'!L216+'DOE25'!L234+'DOE25'!L277+'DOE25'!L296+'DOE25'!L315,0)</f>
        <v>5700110</v>
      </c>
      <c r="D10" s="132">
        <f>ROUND((C10/$C$28)*100,1)</f>
        <v>42.9</v>
      </c>
    </row>
    <row r="11" spans="1:4" x14ac:dyDescent="0.2">
      <c r="A11">
        <v>1200</v>
      </c>
      <c r="B11" t="s">
        <v>703</v>
      </c>
      <c r="C11" s="129">
        <f>ROUND('DOE25'!L199+'DOE25'!L217+'DOE25'!L235+'DOE25'!L278+'DOE25'!L297+'DOE25'!L316,0)</f>
        <v>3983862</v>
      </c>
      <c r="D11" s="132">
        <f>ROUND((C11/$C$28)*100,1)</f>
        <v>30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396359</v>
      </c>
      <c r="D15" s="132">
        <f t="shared" ref="D15:D27" si="0">ROUND((C15/$C$28)*100,1)</f>
        <v>3</v>
      </c>
    </row>
    <row r="16" spans="1:4" x14ac:dyDescent="0.2">
      <c r="A16">
        <v>2200</v>
      </c>
      <c r="B16" t="s">
        <v>707</v>
      </c>
      <c r="C16" s="129">
        <f>ROUND('DOE25'!L204+'DOE25'!L222+'DOE25'!L240+'DOE25'!L283+'DOE25'!L302+'DOE25'!L321,0)</f>
        <v>320252</v>
      </c>
      <c r="D16" s="132">
        <f t="shared" si="0"/>
        <v>2.4</v>
      </c>
    </row>
    <row r="17" spans="1:4" x14ac:dyDescent="0.2">
      <c r="A17" s="133" t="s">
        <v>723</v>
      </c>
      <c r="B17" t="s">
        <v>738</v>
      </c>
      <c r="C17" s="129">
        <f>ROUND('DOE25'!L205+'DOE25'!L210+'DOE25'!L223+'DOE25'!L228+'DOE25'!L241+'DOE25'!L246+'DOE25'!L284+'DOE25'!L289+'DOE25'!L303+'DOE25'!L308+'DOE25'!L322+'DOE25'!L327,0)</f>
        <v>580737</v>
      </c>
      <c r="D17" s="132">
        <f t="shared" si="0"/>
        <v>4.4000000000000004</v>
      </c>
    </row>
    <row r="18" spans="1:4" x14ac:dyDescent="0.2">
      <c r="A18">
        <v>2400</v>
      </c>
      <c r="B18" t="s">
        <v>711</v>
      </c>
      <c r="C18" s="129">
        <f>ROUND('DOE25'!L206+'DOE25'!L224+'DOE25'!L242+'DOE25'!L285+'DOE25'!L304+'DOE25'!L323,0)</f>
        <v>587512</v>
      </c>
      <c r="D18" s="132">
        <f t="shared" si="0"/>
        <v>4.4000000000000004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704122</v>
      </c>
      <c r="D20" s="132">
        <f t="shared" si="0"/>
        <v>5.3</v>
      </c>
    </row>
    <row r="21" spans="1:4" x14ac:dyDescent="0.2">
      <c r="A21">
        <v>2700</v>
      </c>
      <c r="B21" t="s">
        <v>710</v>
      </c>
      <c r="C21" s="129">
        <f>ROUND('DOE25'!L209+'DOE25'!L227+'DOE25'!L245+'DOE25'!L288+'DOE25'!L307+'DOE25'!L326,0)</f>
        <v>840672</v>
      </c>
      <c r="D21" s="132">
        <f t="shared" si="0"/>
        <v>6.3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153934</v>
      </c>
      <c r="D25" s="132">
        <f t="shared" si="0"/>
        <v>1.2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28958.23000000001</v>
      </c>
      <c r="D27" s="132">
        <f t="shared" si="0"/>
        <v>0.2</v>
      </c>
    </row>
    <row r="28" spans="1:4" x14ac:dyDescent="0.2">
      <c r="B28" s="136" t="s">
        <v>719</v>
      </c>
      <c r="C28" s="130">
        <f>SUM(C10:C27)</f>
        <v>13296518.23</v>
      </c>
      <c r="D28" s="134">
        <f>ROUND(SUM(D10:D27),0)</f>
        <v>100</v>
      </c>
    </row>
    <row r="29" spans="1:4" x14ac:dyDescent="0.2">
      <c r="A29">
        <v>4000</v>
      </c>
      <c r="B29" t="s">
        <v>724</v>
      </c>
      <c r="C29" s="129">
        <f>ROUND('DOE25'!L256+'DOE25'!L337+'DOE25'!L375+'DOE25'!L376+'DOE25'!L377+'DOE25'!L378+'DOE25'!L379+'DOE25'!L380+'DOE25'!L381,0)</f>
        <v>243128</v>
      </c>
    </row>
    <row r="30" spans="1:4" x14ac:dyDescent="0.2">
      <c r="B30" s="136" t="s">
        <v>725</v>
      </c>
      <c r="C30" s="130">
        <f>SUM(C28:C29)</f>
        <v>13539646.23</v>
      </c>
    </row>
    <row r="31" spans="1:4" x14ac:dyDescent="0.2">
      <c r="B31" s="32"/>
      <c r="C31" s="130"/>
    </row>
    <row r="32" spans="1:4" x14ac:dyDescent="0.2">
      <c r="A32">
        <v>5100</v>
      </c>
      <c r="B32" s="32" t="s">
        <v>726</v>
      </c>
      <c r="C32" s="130">
        <f>ROUND('DOE25'!L261+'DOE25'!L342,0)</f>
        <v>240000</v>
      </c>
    </row>
    <row r="34" spans="1:4" x14ac:dyDescent="0.2">
      <c r="A34" s="136" t="s">
        <v>94</v>
      </c>
      <c r="B34" s="137" t="s">
        <v>1801</v>
      </c>
      <c r="C34" s="131" t="s">
        <v>720</v>
      </c>
      <c r="D34" s="131" t="s">
        <v>721</v>
      </c>
    </row>
    <row r="35" spans="1:4" x14ac:dyDescent="0.2">
      <c r="A35">
        <v>1100</v>
      </c>
      <c r="B35" s="71" t="s">
        <v>727</v>
      </c>
      <c r="C35" s="129">
        <f>ROUND('DOE25'!F60+'DOE25'!G60+'DOE25'!H60+'DOE25'!I60+'DOE25'!J60,0)</f>
        <v>8343089</v>
      </c>
      <c r="D35" s="132">
        <f t="shared" ref="D35:D40" si="1">ROUND((C35/$C$41)*100,1)</f>
        <v>56.7</v>
      </c>
    </row>
    <row r="36" spans="1:4" x14ac:dyDescent="0.2">
      <c r="B36" s="71" t="s">
        <v>739</v>
      </c>
      <c r="C36" s="129">
        <f>SUM('DOE25'!F112:J112)-SUM('DOE25'!G97:G110)+('DOE25'!F175+'DOE25'!F176+'DOE25'!I175+'DOE25'!I176)-C35</f>
        <v>629738.66999999993</v>
      </c>
      <c r="D36" s="132">
        <f t="shared" si="1"/>
        <v>4.3</v>
      </c>
    </row>
    <row r="37" spans="1:4" x14ac:dyDescent="0.2">
      <c r="A37" s="133" t="s">
        <v>834</v>
      </c>
      <c r="B37" s="71" t="s">
        <v>728</v>
      </c>
      <c r="C37" s="129">
        <f>ROUND('DOE25'!F117+'DOE25'!F118,0)</f>
        <v>4731873</v>
      </c>
      <c r="D37" s="132">
        <f t="shared" si="1"/>
        <v>32.1</v>
      </c>
    </row>
    <row r="38" spans="1:4" x14ac:dyDescent="0.2">
      <c r="A38" s="133" t="s">
        <v>734</v>
      </c>
      <c r="B38" s="71" t="s">
        <v>729</v>
      </c>
      <c r="C38" s="129">
        <f>ROUND(SUM('DOE25'!F140:J140)-SUM('DOE25'!F117:F119),0)</f>
        <v>682101</v>
      </c>
      <c r="D38" s="132">
        <f t="shared" si="1"/>
        <v>4.5999999999999996</v>
      </c>
    </row>
    <row r="39" spans="1:4" x14ac:dyDescent="0.2">
      <c r="A39">
        <v>4000</v>
      </c>
      <c r="B39" s="71" t="s">
        <v>730</v>
      </c>
      <c r="C39" s="129">
        <f>ROUND('DOE25'!F170+'DOE25'!G170+'DOE25'!H170+'DOE25'!I170,0)</f>
        <v>334488</v>
      </c>
      <c r="D39" s="132">
        <f t="shared" si="1"/>
        <v>2.2999999999999998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14721289.67</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Hanover</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f>IF('School Level Expenditures'!$B$2=A26,'School Tables'!H26,"")</f>
        <v>23</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2023-11-09T18:33:20Z</cp:lastPrinted>
  <dcterms:created xsi:type="dcterms:W3CDTF">1997-12-04T19:04:30Z</dcterms:created>
  <dcterms:modified xsi:type="dcterms:W3CDTF">2023-11-13T14:11:29Z</dcterms:modified>
</cp:coreProperties>
</file>