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769279F-7EDC-4609-A3DE-3D8E1959DE8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W'!$A$1:$E$36</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4" i="1" l="1"/>
  <c r="F50" i="1"/>
  <c r="F48" i="1"/>
  <c r="F14" i="13" l="1"/>
  <c r="F15" i="13"/>
  <c r="F6" i="13"/>
  <c r="C38" i="12"/>
  <c r="B19" i="12" l="1"/>
  <c r="J593" i="1"/>
  <c r="I592" i="1"/>
  <c r="H605" i="1"/>
  <c r="G97" i="1"/>
  <c r="G180" i="1"/>
  <c r="J605" i="1"/>
  <c r="H544" i="1"/>
  <c r="H543" i="1"/>
  <c r="H542" i="1"/>
  <c r="H527" i="1"/>
  <c r="F527" i="1"/>
  <c r="H524" i="1"/>
  <c r="H523" i="1"/>
  <c r="J522" i="1"/>
  <c r="I522" i="1"/>
  <c r="H522" i="1"/>
  <c r="G522" i="1"/>
  <c r="F522" i="1"/>
  <c r="G499" i="1"/>
  <c r="F499" i="1"/>
  <c r="G441" i="1"/>
  <c r="F466" i="1"/>
  <c r="H473" i="1"/>
  <c r="H469" i="1"/>
  <c r="H282" i="1"/>
  <c r="I278" i="1"/>
  <c r="H159" i="1"/>
  <c r="H393" i="1"/>
  <c r="H401" i="1"/>
  <c r="H299" i="1"/>
  <c r="I283" i="1"/>
  <c r="H283" i="1"/>
  <c r="G278" i="1"/>
  <c r="F278" i="1"/>
  <c r="G282" i="1"/>
  <c r="F282" i="1"/>
  <c r="F222" i="1"/>
  <c r="G222" i="1"/>
  <c r="H245" i="1"/>
  <c r="H244" i="1"/>
  <c r="H242" i="1"/>
  <c r="H241" i="1"/>
  <c r="H240" i="1"/>
  <c r="H239" i="1"/>
  <c r="H237" i="1"/>
  <c r="H236" i="1"/>
  <c r="H235" i="1"/>
  <c r="H234" i="1"/>
  <c r="H227" i="1"/>
  <c r="H226" i="1"/>
  <c r="H224" i="1"/>
  <c r="H223" i="1"/>
  <c r="H222" i="1"/>
  <c r="H221" i="1"/>
  <c r="H219" i="1"/>
  <c r="H217" i="1"/>
  <c r="H216" i="1"/>
  <c r="H210" i="1"/>
  <c r="H209" i="1"/>
  <c r="H208" i="1"/>
  <c r="H206" i="1"/>
  <c r="H205" i="1"/>
  <c r="H204" i="1"/>
  <c r="H203" i="1"/>
  <c r="H199" i="1"/>
  <c r="H198" i="1"/>
  <c r="H102" i="1"/>
  <c r="H155" i="1"/>
  <c r="H110" i="1"/>
  <c r="G110" i="1"/>
  <c r="G158" i="1"/>
  <c r="F109" i="1"/>
  <c r="F96" i="1"/>
  <c r="H48" i="1"/>
  <c r="H24" i="1"/>
  <c r="H22" i="1"/>
  <c r="F29" i="1"/>
  <c r="F24" i="1"/>
  <c r="F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D29" i="13" s="1"/>
  <c r="L359" i="1"/>
  <c r="L360" i="1"/>
  <c r="L361" i="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H140" i="1" s="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H89" i="2" s="1"/>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H22" i="2" l="1"/>
  <c r="H97" i="2"/>
  <c r="H93" i="2"/>
  <c r="H87" i="2"/>
  <c r="C112" i="2"/>
  <c r="F85" i="2"/>
  <c r="F91" i="2" s="1"/>
  <c r="H34" i="2"/>
  <c r="J112" i="1"/>
  <c r="J194" i="1" s="1"/>
  <c r="G647" i="1" s="1"/>
  <c r="H80" i="2"/>
  <c r="H27" i="2"/>
  <c r="H58" i="2"/>
  <c r="H43" i="2"/>
  <c r="H35" i="2"/>
  <c r="H30" i="2"/>
  <c r="H25" i="2"/>
  <c r="H17" i="2"/>
  <c r="H143" i="2"/>
  <c r="I409" i="1"/>
  <c r="H125" i="2"/>
  <c r="H13" i="2"/>
  <c r="J140" i="1"/>
  <c r="H29" i="2"/>
  <c r="H44" i="2"/>
  <c r="H113" i="2"/>
  <c r="H101" i="2"/>
  <c r="H79" i="2"/>
  <c r="H76" i="2"/>
  <c r="J652" i="1"/>
  <c r="H26" i="2"/>
  <c r="H102" i="2"/>
  <c r="H100" i="2"/>
  <c r="H98" i="2"/>
  <c r="H73" i="2"/>
  <c r="H15" i="2"/>
  <c r="H11" i="2"/>
  <c r="D144" i="2"/>
  <c r="D18" i="13"/>
  <c r="C18" i="13" s="1"/>
  <c r="H132" i="2"/>
  <c r="H36" i="2"/>
  <c r="H48" i="2"/>
  <c r="H94" i="2"/>
  <c r="H24" i="2"/>
  <c r="H8" i="2"/>
  <c r="H99" i="2"/>
  <c r="H9" i="2"/>
  <c r="H477" i="1"/>
  <c r="H625" i="1" s="1"/>
  <c r="J625" i="1" s="1"/>
  <c r="G477" i="1"/>
  <c r="B33" i="16" s="1"/>
  <c r="G409" i="1"/>
  <c r="H646" i="1" s="1"/>
  <c r="G662" i="1"/>
  <c r="G663" i="1"/>
  <c r="E121" i="2"/>
  <c r="E112" i="2"/>
  <c r="C32" i="10"/>
  <c r="A40" i="12"/>
  <c r="C13" i="10"/>
  <c r="C12" i="10"/>
  <c r="C110" i="2"/>
  <c r="G651" i="1"/>
  <c r="D15" i="13"/>
  <c r="C15" i="13" s="1"/>
  <c r="N2" i="14"/>
  <c r="N3" i="14" s="1"/>
  <c r="M2" i="14"/>
  <c r="M3" i="14" s="1"/>
  <c r="C121" i="2"/>
  <c r="H121" i="2" s="1"/>
  <c r="C120" i="2"/>
  <c r="H120" i="2" s="1"/>
  <c r="C119" i="2"/>
  <c r="D6" i="13"/>
  <c r="C6" i="13" s="1"/>
  <c r="L2" i="14"/>
  <c r="L3" i="14" s="1"/>
  <c r="K2" i="14"/>
  <c r="K3" i="14" s="1"/>
  <c r="H96" i="2"/>
  <c r="G646" i="1"/>
  <c r="H59" i="2"/>
  <c r="E70" i="2"/>
  <c r="H69" i="2"/>
  <c r="H77" i="2"/>
  <c r="H61" i="2"/>
  <c r="H47" i="2"/>
  <c r="H28" i="2"/>
  <c r="H23" i="2"/>
  <c r="H12"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H112" i="2" l="1"/>
  <c r="H624" i="1"/>
  <c r="J624" i="1" s="1"/>
  <c r="H122" i="2"/>
  <c r="E81" i="2"/>
  <c r="J646" i="1"/>
  <c r="H70" i="2"/>
  <c r="D51" i="2"/>
  <c r="L572" i="1"/>
  <c r="H21" i="2"/>
  <c r="H78" i="2"/>
  <c r="H42" i="2"/>
  <c r="H16" i="2"/>
  <c r="H57" i="2"/>
  <c r="H31" i="2"/>
  <c r="H134" i="2"/>
  <c r="H85" i="2"/>
  <c r="D128" i="2"/>
  <c r="D145" i="2" s="1"/>
  <c r="H127" i="2"/>
  <c r="G24" i="14"/>
  <c r="H24" i="14" s="1"/>
  <c r="I24" i="14" s="1"/>
  <c r="E128" i="2"/>
  <c r="H119" i="2"/>
  <c r="H118" i="2"/>
  <c r="H110" i="2"/>
  <c r="H103" i="2"/>
  <c r="H91" i="2"/>
  <c r="H62" i="2"/>
  <c r="I662" i="1"/>
  <c r="C81" i="2"/>
  <c r="H81" i="2" s="1"/>
  <c r="F194" i="1"/>
  <c r="G628" i="1" s="1"/>
  <c r="J628" i="1" s="1"/>
  <c r="H50" i="2"/>
  <c r="E51" i="2"/>
  <c r="H18"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M24" i="14" l="1"/>
  <c r="H128" i="2"/>
  <c r="C144" i="2"/>
  <c r="C145"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<sst xmlns="http://schemas.openxmlformats.org/spreadsheetml/2006/main" count="6561" uniqueCount="1816">
  <si>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</si>
  <si>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</si>
  <si>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</si>
  <si>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</si>
  <si>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</si>
  <si>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</si>
  <si>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</si>
  <si>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</si>
  <si>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</si>
  <si>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</si>
  <si>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</si>
  <si>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</si>
  <si>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</si>
  <si>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</si>
  <si>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</si>
  <si>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</si>
  <si>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</si>
  <si>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</si>
  <si>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</si>
  <si>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</si>
  <si>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</si>
  <si>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</si>
  <si>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</si>
  <si>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</si>
  <si>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</si>
  <si>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</si>
  <si>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</si>
  <si>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</si>
  <si>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</si>
  <si>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</si>
  <si>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</si>
  <si>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</si>
  <si>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</si>
  <si>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</si>
  <si>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</si>
  <si>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</si>
  <si>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</si>
  <si>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</si>
  <si>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</si>
  <si>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</si>
  <si>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</si>
  <si>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</si>
  <si>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</si>
  <si>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</si>
  <si>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</si>
  <si>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</si>
  <si>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</si>
  <si>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</si>
  <si>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</si>
  <si>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</si>
  <si>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</si>
  <si>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</si>
  <si>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</si>
  <si>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</si>
  <si>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</si>
  <si>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</si>
  <si>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</si>
  <si>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</si>
  <si>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</si>
  <si>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</si>
  <si>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</si>
  <si>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</si>
  <si>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</si>
  <si>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</si>
  <si>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</si>
  <si>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</si>
  <si>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</si>
  <si>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</si>
  <si>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</si>
  <si>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</si>
  <si>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</si>
  <si>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</si>
  <si>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</si>
  <si>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</si>
  <si>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</si>
  <si>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</si>
  <si>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</si>
  <si>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</si>
  <si>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</si>
  <si>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</si>
  <si>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</si>
  <si>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</si>
  <si>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</si>
  <si>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</si>
  <si>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</si>
  <si>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</si>
  <si>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</si>
  <si>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</si>
  <si>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</si>
  <si>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</si>
  <si>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</si>
  <si>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</si>
  <si>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</si>
  <si>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</si>
  <si>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</si>
  <si>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</si>
  <si>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</si>
  <si>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</si>
  <si>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</si>
  <si>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</si>
  <si>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</si>
  <si>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</si>
  <si>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</si>
  <si>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</si>
  <si>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</si>
  <si>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</si>
  <si>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</si>
  <si>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</si>
  <si>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</si>
  <si>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</si>
  <si>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</si>
  <si>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</si>
  <si>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</si>
  <si>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</si>
  <si>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</si>
  <si>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</si>
  <si>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</si>
  <si>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</si>
  <si>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</si>
  <si>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</si>
  <si>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</si>
  <si>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</si>
  <si>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</si>
  <si>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</si>
  <si>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</si>
  <si>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</si>
  <si>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</si>
  <si>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</si>
  <si>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</si>
  <si>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</si>
  <si>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</si>
  <si>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</si>
  <si>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</si>
  <si>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</si>
  <si>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</si>
  <si>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</si>
  <si>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</si>
  <si>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</si>
  <si>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</si>
  <si>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</si>
  <si>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</si>
  <si>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</si>
  <si>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</si>
  <si>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</si>
  <si>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</si>
  <si>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</si>
  <si>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</si>
  <si>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</si>
  <si>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</si>
  <si>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</si>
  <si>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</si>
  <si>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</si>
  <si>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</si>
  <si>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</si>
  <si>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</si>
  <si>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</si>
  <si>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</si>
  <si>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</si>
  <si>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</si>
  <si>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</si>
  <si>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</si>
  <si>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</si>
  <si>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</si>
  <si>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</si>
  <si>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</si>
  <si>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</si>
  <si>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</si>
  <si>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</si>
  <si>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</si>
  <si>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</si>
  <si>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</si>
  <si>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</si>
  <si>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</si>
  <si>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</si>
  <si>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</si>
  <si>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</si>
  <si>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</si>
  <si>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</si>
  <si>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</si>
  <si>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</si>
  <si>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</si>
  <si>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</si>
  <si>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</si>
  <si>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</si>
  <si>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</si>
  <si>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</si>
  <si>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</si>
  <si>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</si>
  <si>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</si>
  <si>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</si>
  <si>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</si>
  <si>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</si>
  <si>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</si>
  <si>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</si>
  <si>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</si>
  <si>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</si>
  <si>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</si>
  <si>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</si>
  <si>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</si>
  <si>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</si>
  <si>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</si>
  <si>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</si>
  <si>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</si>
  <si>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</si>
  <si>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</si>
  <si>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</si>
  <si>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</si>
  <si>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</si>
  <si>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</si>
  <si>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</si>
  <si>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</si>
  <si>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</si>
  <si>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</si>
  <si>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</si>
  <si>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</si>
  <si>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</si>
  <si>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</si>
  <si>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</si>
  <si>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</si>
  <si>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</si>
  <si>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</si>
  <si>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</si>
  <si>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</si>
  <si>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</si>
  <si>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</si>
  <si>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</si>
  <si>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</si>
  <si>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</si>
  <si>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</si>
  <si>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</si>
  <si>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</si>
  <si>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</si>
  <si>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</si>
  <si>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</si>
  <si>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</si>
  <si>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</si>
  <si>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</si>
  <si>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</si>
  <si>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</si>
  <si>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</si>
  <si>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</si>
  <si>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</si>
  <si>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</si>
  <si>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</si>
  <si>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</si>
  <si>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</si>
  <si>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</si>
  <si>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</si>
  <si>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</si>
  <si>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</si>
  <si>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</si>
  <si>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</si>
  <si>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</si>
  <si>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</si>
  <si>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</si>
  <si>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</si>
  <si>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</si>
  <si>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</si>
  <si>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</si>
  <si>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</si>
  <si>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</si>
  <si>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</si>
  <si>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</si>
  <si>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</si>
  <si>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</si>
  <si>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</si>
  <si>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</si>
  <si>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</si>
  <si>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</si>
  <si>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</si>
  <si>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</si>
  <si>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</si>
  <si>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</si>
  <si>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</si>
  <si>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</si>
  <si>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</si>
  <si>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</si>
  <si>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</si>
  <si>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</si>
  <si>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</si>
  <si>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</si>
  <si>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</si>
  <si>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</si>
  <si>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</si>
  <si>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</si>
  <si>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</si>
  <si>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</si>
  <si>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</si>
  <si>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</si>
  <si>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</si>
  <si>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</si>
  <si>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</si>
  <si>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</si>
  <si>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</si>
  <si>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</si>
  <si>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</si>
  <si>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</si>
  <si>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</si>
  <si>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</si>
  <si>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</si>
  <si>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</si>
  <si>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</si>
  <si>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</si>
  <si>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</si>
  <si>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</si>
  <si>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</si>
  <si>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</si>
  <si>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</si>
  <si>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</si>
  <si>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</si>
  <si>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</si>
  <si>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</si>
  <si>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</si>
  <si>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</si>
  <si>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</si>
  <si>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</si>
  <si>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</si>
  <si>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</si>
  <si>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</si>
  <si>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</si>
  <si>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</si>
  <si>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</si>
  <si>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</si>
  <si>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</si>
  <si>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</si>
  <si>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</si>
  <si>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</si>
  <si>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</si>
  <si>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</si>
  <si>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</si>
  <si>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</si>
  <si>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</si>
  <si>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</si>
  <si>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</si>
  <si>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</si>
  <si>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</si>
  <si>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</si>
  <si>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</si>
  <si>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</si>
  <si>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</si>
  <si>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</si>
  <si>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</si>
  <si>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</si>
  <si>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</si>
  <si>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</si>
  <si>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</si>
  <si>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</si>
  <si>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</si>
  <si>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</si>
  <si>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</si>
  <si>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</si>
  <si>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</si>
  <si>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</si>
  <si>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</si>
  <si>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</si>
  <si>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</si>
  <si>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</si>
  <si>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</si>
  <si>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</si>
  <si>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</si>
  <si>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</si>
  <si>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</si>
  <si>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</si>
  <si>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</si>
  <si>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</si>
  <si>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</si>
  <si>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</si>
  <si>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</si>
  <si>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</si>
  <si>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</si>
  <si>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</si>
  <si>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</si>
  <si>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</si>
  <si>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</si>
  <si>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</si>
  <si>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</si>
  <si>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</si>
  <si>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</si>
  <si>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</si>
  <si>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</si>
  <si>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</si>
  <si>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</si>
  <si>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</si>
  <si>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</si>
  <si>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</si>
  <si>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</si>
  <si>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</si>
  <si>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</si>
  <si>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</si>
  <si>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</si>
  <si>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</si>
  <si>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</si>
  <si>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</si>
  <si>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</si>
  <si>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</si>
  <si>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</si>
  <si>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</si>
  <si>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</si>
  <si>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</si>
  <si>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</si>
  <si>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</si>
  <si>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</si>
  <si>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</si>
  <si>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</si>
  <si>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</si>
  <si>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</si>
  <si>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</si>
  <si>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</si>
  <si>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</si>
  <si>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</si>
  <si>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</si>
  <si>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</si>
  <si>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</si>
  <si>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</si>
  <si>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</si>
  <si>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</si>
  <si>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</si>
  <si>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</si>
  <si>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</si>
  <si>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</si>
  <si>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</si>
  <si>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</si>
  <si>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</si>
  <si>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</si>
  <si>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</si>
  <si>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</si>
  <si>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</si>
  <si>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</si>
  <si>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</si>
  <si>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</si>
  <si>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</si>
  <si>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</si>
  <si>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</si>
  <si>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</si>
  <si>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</si>
  <si>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</si>
  <si>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</si>
  <si>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</si>
  <si>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</si>
  <si>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</si>
  <si>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</si>
  <si>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</si>
  <si>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</si>
  <si>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</si>
  <si>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</si>
  <si>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</si>
  <si>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</si>
  <si>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</si>
  <si>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</si>
  <si>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</si>
  <si>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</si>
  <si>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</si>
  <si>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</si>
  <si>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</si>
  <si>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</si>
  <si>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</si>
  <si>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</si>
  <si>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</si>
  <si>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</si>
  <si>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</si>
  <si>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</si>
  <si>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</si>
  <si>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</si>
  <si>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</si>
  <si>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</si>
  <si>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</si>
  <si>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</si>
  <si>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</si>
  <si>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</si>
  <si>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</si>
  <si>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</si>
  <si>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</si>
  <si>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</si>
  <si>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</si>
  <si>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</si>
  <si>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</si>
  <si>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</si>
  <si>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</si>
  <si>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</si>
  <si>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</si>
  <si>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</si>
  <si>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</si>
  <si>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</si>
  <si>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</si>
  <si>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</si>
  <si>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</si>
  <si>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</si>
  <si>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</si>
  <si>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</si>
  <si>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</si>
  <si>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</si>
  <si>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</si>
  <si>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</si>
  <si>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</si>
  <si>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</si>
  <si>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</si>
  <si>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</si>
  <si>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</si>
  <si>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</si>
  <si>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</si>
  <si>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</si>
  <si>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</si>
  <si>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</si>
  <si>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</si>
  <si>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</si>
  <si>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</si>
  <si>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</si>
  <si>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</si>
  <si>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</si>
  <si>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</si>
  <si>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</si>
  <si>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</si>
  <si>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</si>
  <si>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</si>
  <si>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</si>
  <si>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</si>
  <si>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</si>
  <si>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</si>
  <si>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</si>
  <si>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</si>
  <si>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</si>
  <si>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</si>
  <si>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</si>
  <si>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</si>
  <si>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</si>
  <si>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</si>
  <si>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</si>
  <si>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</si>
  <si>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</si>
  <si>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</si>
  <si>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</si>
  <si>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</si>
  <si>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</si>
  <si>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</si>
  <si>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</si>
  <si>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</si>
  <si>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</si>
  <si>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</si>
  <si>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</si>
  <si>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</si>
  <si>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</si>
  <si>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</si>
  <si>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</si>
  <si>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</si>
  <si>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</si>
  <si>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</si>
  <si>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</si>
  <si>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</si>
  <si>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</si>
  <si>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</si>
  <si>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</si>
  <si>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</si>
  <si>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</si>
  <si>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</si>
  <si>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</si>
  <si>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</si>
  <si>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</si>
  <si>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</si>
  <si>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</si>
  <si>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</si>
  <si>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</si>
  <si>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</si>
  <si>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</si>
  <si>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</si>
  <si>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</si>
  <si>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</si>
  <si>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</si>
  <si>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</si>
  <si>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</si>
  <si>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</si>
  <si>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</si>
  <si>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</si>
  <si>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</si>
  <si>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</si>
  <si>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</si>
  <si>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</si>
  <si>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</si>
  <si>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</si>
  <si>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</si>
  <si>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</si>
  <si>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</si>
  <si>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</si>
  <si>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</si>
  <si>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</si>
  <si>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</si>
  <si>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</si>
  <si>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</si>
  <si>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</si>
  <si>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</si>
  <si>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</si>
  <si>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</si>
  <si>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</si>
  <si>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</si>
  <si>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</si>
  <si>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</si>
  <si>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</si>
  <si>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</si>
  <si>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</si>
  <si>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</si>
  <si>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</si>
  <si>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</si>
  <si>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</si>
  <si>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</si>
  <si>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</si>
  <si>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</si>
  <si>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</si>
  <si>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</si>
  <si>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</si>
  <si>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</si>
  <si>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</si>
  <si>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</si>
  <si>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</si>
  <si>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</si>
  <si>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</si>
  <si>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</si>
  <si>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</si>
  <si>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</si>
  <si>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</si>
  <si>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</si>
  <si>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</si>
  <si>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</si>
  <si>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</si>
  <si>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</si>
  <si>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</si>
  <si>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</si>
  <si>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</si>
  <si>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</si>
  <si>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</si>
  <si>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</si>
  <si>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</si>
  <si>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</si>
  <si>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</si>
  <si>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</si>
  <si>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</si>
  <si>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</si>
  <si>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</si>
  <si>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</si>
  <si>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</si>
  <si>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</si>
  <si>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</si>
  <si>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</si>
  <si>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</si>
  <si>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</si>
  <si>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</si>
  <si>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</si>
  <si>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</si>
  <si>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</si>
  <si>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</si>
  <si>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</si>
  <si>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</si>
  <si>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</si>
  <si>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</si>
  <si>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</si>
  <si>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</si>
  <si>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</si>
  <si>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</si>
  <si>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</si>
  <si>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</si>
  <si>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</si>
  <si>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</si>
  <si>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</si>
  <si>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</si>
  <si>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</si>
  <si>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</si>
  <si>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</si>
  <si>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</si>
  <si>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</si>
  <si>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</si>
  <si>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</si>
  <si>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</si>
  <si>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</si>
  <si>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</si>
  <si>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</si>
  <si>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</si>
  <si>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</si>
  <si>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</si>
  <si>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</si>
  <si>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</si>
  <si>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</si>
  <si>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</si>
  <si>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</si>
  <si>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</si>
  <si>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</si>
  <si>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</si>
  <si>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</si>
  <si>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</si>
  <si>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</si>
  <si>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</si>
  <si>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</si>
  <si>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</si>
  <si>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</si>
  <si>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</si>
  <si>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</si>
  <si>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</si>
  <si>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</si>
  <si>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</si>
  <si>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</si>
  <si>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</si>
  <si>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</si>
  <si>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</si>
  <si>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</si>
  <si>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</si>
  <si>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</si>
  <si>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</si>
  <si>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</si>
  <si>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</si>
  <si>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</si>
  <si>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</si>
  <si>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</si>
  <si>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</si>
  <si>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</si>
  <si>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</si>
  <si>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</si>
  <si>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</si>
  <si>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</si>
  <si>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</si>
  <si>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</si>
  <si>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</si>
  <si>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</si>
  <si>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</si>
  <si>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</si>
  <si>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</si>
  <si>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</si>
  <si>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</si>
  <si>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</si>
  <si>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</si>
  <si>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</si>
  <si>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</si>
  <si>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</si>
  <si>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</si>
  <si>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</si>
  <si>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</si>
  <si>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</si>
  <si>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</si>
  <si>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</si>
  <si>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</si>
  <si>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</si>
  <si>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</si>
  <si>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</si>
  <si>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</si>
  <si>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</si>
  <si>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</si>
  <si>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</si>
  <si>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</si>
  <si>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</si>
  <si>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</si>
  <si>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</si>
  <si>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</si>
  <si>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</si>
  <si>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</si>
  <si>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</si>
  <si>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</si>
  <si>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</si>
  <si>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</si>
  <si>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</si>
  <si>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</si>
  <si>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</si>
  <si>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</si>
  <si>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</si>
  <si>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</si>
  <si>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</si>
  <si>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</si>
  <si>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</si>
  <si>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</si>
  <si>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</si>
  <si>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</si>
  <si>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</si>
  <si>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</si>
  <si>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</si>
  <si>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</si>
  <si>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</si>
  <si>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</si>
  <si>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</si>
  <si>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</si>
  <si>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</si>
  <si>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</si>
  <si>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</si>
  <si>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</si>
  <si>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</si>
  <si>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</si>
  <si>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</si>
  <si>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</si>
  <si>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</si>
  <si>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</si>
  <si>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</si>
  <si>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</si>
  <si>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</si>
  <si>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</si>
  <si>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</si>
  <si>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</si>
  <si>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</si>
  <si>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</si>
  <si>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</si>
  <si>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</si>
  <si>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</si>
  <si>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</si>
  <si>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</si>
  <si>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</si>
  <si>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</si>
  <si>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</si>
  <si>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</si>
  <si>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</si>
  <si>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</si>
  <si>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</si>
  <si>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</si>
  <si>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</si>
  <si>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</si>
  <si>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</si>
  <si>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</si>
  <si>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</si>
  <si>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</si>
  <si>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</si>
  <si>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</si>
  <si>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</si>
  <si>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</si>
  <si>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</si>
  <si>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</si>
  <si>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</si>
  <si>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</si>
  <si>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</si>
  <si>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</si>
  <si>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</si>
  <si>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</si>
  <si>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</si>
  <si>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</si>
  <si>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</si>
  <si>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</si>
  <si>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</si>
  <si>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</si>
  <si>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</si>
  <si>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</si>
  <si>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</si>
  <si>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</si>
  <si>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</si>
  <si>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</si>
  <si>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</si>
  <si>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</si>
  <si>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</si>
  <si>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</si>
  <si>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</si>
  <si>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</si>
  <si>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</si>
  <si>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</si>
  <si>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</si>
  <si>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</si>
  <si>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</si>
  <si>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</si>
  <si>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</si>
  <si>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</si>
  <si>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</si>
  <si>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</si>
  <si>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</si>
  <si>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</si>
  <si>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</si>
  <si>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</si>
  <si>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</si>
  <si>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</si>
  <si>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</si>
  <si>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</si>
  <si>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</si>
  <si>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</si>
  <si>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</si>
  <si>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</si>
  <si>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</si>
  <si>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</si>
  <si>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</si>
  <si>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</si>
  <si>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</si>
  <si>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</si>
  <si>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</si>
  <si>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</si>
  <si>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</si>
  <si>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</si>
  <si>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</si>
  <si>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</si>
  <si>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</si>
  <si>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</si>
  <si>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</si>
  <si>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</si>
  <si>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</si>
  <si>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</si>
  <si>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</si>
  <si>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</si>
  <si>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</si>
  <si>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</si>
  <si>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</si>
  <si>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</si>
  <si>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</si>
  <si>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</si>
  <si>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</si>
  <si>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</si>
  <si>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</si>
  <si>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</si>
  <si>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</si>
  <si>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</si>
  <si>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</si>
  <si>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</si>
  <si>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</si>
  <si>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</si>
  <si>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</si>
  <si>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</si>
  <si>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</si>
  <si>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</si>
  <si>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</si>
  <si>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</si>
  <si>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</si>
  <si>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</si>
  <si>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</si>
  <si>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</si>
  <si>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</si>
  <si>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</si>
  <si>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</si>
  <si>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</si>
  <si>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</si>
  <si>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</si>
  <si>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</si>
  <si>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</si>
  <si>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</si>
  <si>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</si>
  <si>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</si>
  <si>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</si>
  <si>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</si>
  <si>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</si>
  <si>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</si>
  <si>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</si>
  <si>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</si>
  <si>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</si>
  <si>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</si>
  <si>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</si>
  <si>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</si>
  <si>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</si>
  <si>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</si>
  <si>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</si>
  <si>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</si>
  <si>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</si>
  <si>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</si>
  <si>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</si>
  <si>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</si>
  <si>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</si>
  <si>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</si>
  <si>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</si>
  <si>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</si>
  <si>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</si>
  <si>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</si>
  <si>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</si>
  <si>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</si>
  <si>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</si>
  <si>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</si>
  <si>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</si>
  <si>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</si>
  <si>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</si>
  <si>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</si>
  <si>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</si>
  <si>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</si>
  <si>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</si>
  <si>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</si>
  <si>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</si>
  <si>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</si>
  <si>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</si>
  <si>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</si>
  <si>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</si>
  <si>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</si>
  <si>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</si>
  <si>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</si>
  <si>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</si>
  <si>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</si>
  <si>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</si>
  <si>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</si>
  <si>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</si>
  <si>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</si>
  <si>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</si>
  <si>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</si>
  <si>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</si>
  <si>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</si>
  <si>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</si>
  <si>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</si>
  <si>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</si>
  <si>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</si>
  <si>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</si>
  <si>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</si>
  <si>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</si>
  <si>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</si>
  <si>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</si>
  <si>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</si>
  <si>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</si>
  <si>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</si>
  <si>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</si>
  <si>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</si>
  <si>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</si>
  <si>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</si>
  <si>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</si>
  <si>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</si>
  <si>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</si>
  <si>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</si>
  <si>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</si>
  <si>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</si>
  <si>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</si>
  <si>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</si>
  <si>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</si>
  <si>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</si>
  <si>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</si>
  <si>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</si>
  <si>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</si>
  <si>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</si>
  <si>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</si>
  <si>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</si>
  <si>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</si>
  <si>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</si>
  <si>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</si>
  <si>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</si>
  <si>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</si>
  <si>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</si>
  <si>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</si>
  <si>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</si>
  <si>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</si>
  <si>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</si>
  <si>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</si>
  <si>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</si>
  <si>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</si>
  <si>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</si>
  <si>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</si>
  <si>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</si>
  <si>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</si>
  <si>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</si>
  <si>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</si>
  <si>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</si>
  <si>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</si>
  <si>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</si>
  <si>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</si>
  <si>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</si>
  <si>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</si>
  <si>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</si>
  <si>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</si>
  <si>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</si>
  <si>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</si>
  <si>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</si>
  <si>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</si>
  <si>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</si>
  <si>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</si>
  <si>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</si>
  <si>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</si>
  <si>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</si>
  <si>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</si>
  <si>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</si>
  <si>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</si>
  <si>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</si>
  <si>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</si>
  <si>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</si>
  <si>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</si>
  <si>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</si>
  <si>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</si>
  <si>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</si>
  <si>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</si>
  <si>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</si>
  <si>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</si>
  <si>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</si>
  <si>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</si>
  <si>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</si>
  <si>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</si>
  <si>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</si>
  <si>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</si>
  <si>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</si>
  <si>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</si>
  <si>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</si>
  <si>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</si>
  <si>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</si>
  <si>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</si>
  <si>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</si>
  <si>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</si>
  <si>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</si>
  <si>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</si>
  <si>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</si>
  <si>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</si>
  <si>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</si>
  <si>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</si>
  <si>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</si>
  <si>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</si>
  <si>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</si>
  <si>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</si>
  <si>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</si>
  <si>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</si>
  <si>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</si>
  <si>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</si>
  <si>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</si>
  <si>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</si>
  <si>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</si>
  <si>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</si>
  <si>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</si>
  <si>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</si>
  <si>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</si>
  <si>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</si>
  <si>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</si>
  <si>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</si>
  <si>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</si>
  <si>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</si>
  <si>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</si>
  <si>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</si>
  <si>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</si>
  <si>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</si>
  <si>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</si>
  <si>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</si>
  <si>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</si>
  <si>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</si>
  <si>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</si>
  <si>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</si>
  <si>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</si>
  <si>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</si>
  <si>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</si>
  <si>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</si>
  <si>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</si>
  <si>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</si>
  <si>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</si>
  <si>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</si>
  <si>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</si>
  <si>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</si>
  <si>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</si>
  <si>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</si>
  <si>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</si>
  <si>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</si>
  <si>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</si>
  <si>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</si>
  <si>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</si>
  <si>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</si>
  <si>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</si>
  <si>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</si>
  <si>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</si>
  <si>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</si>
  <si>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</si>
  <si>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</si>
  <si>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</si>
  <si>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</si>
  <si>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</si>
  <si>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</si>
  <si>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</si>
  <si>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</si>
  <si>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</si>
  <si>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</si>
  <si>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</si>
  <si>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</si>
  <si>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</si>
  <si>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</si>
  <si>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</si>
  <si>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</si>
  <si>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</si>
  <si>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</si>
  <si>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</si>
  <si>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</si>
  <si>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</si>
  <si>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</si>
  <si>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</si>
  <si>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</si>
  <si>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</si>
  <si>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</si>
  <si>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</si>
  <si>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</si>
  <si>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</si>
  <si>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</si>
  <si>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</si>
  <si>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</si>
  <si>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</si>
  <si>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</si>
  <si>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</si>
  <si>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</si>
  <si>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</si>
  <si>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</si>
  <si>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</si>
  <si>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</si>
  <si>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</si>
  <si>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</si>
  <si>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</si>
  <si>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</si>
  <si>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</si>
  <si>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</si>
  <si>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</si>
  <si>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</si>
  <si>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</si>
  <si>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</si>
  <si>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</si>
  <si>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</si>
  <si>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</si>
  <si>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</si>
  <si>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</si>
  <si>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</si>
  <si>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</si>
  <si>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</si>
  <si>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</si>
  <si>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</si>
  <si>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</si>
  <si>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</si>
  <si>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</si>
  <si>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</si>
  <si>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</si>
  <si>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</si>
  <si>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</si>
  <si>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</si>
  <si>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</si>
  <si>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</si>
  <si>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</si>
  <si>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</si>
  <si>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</si>
  <si>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</si>
  <si>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</si>
  <si>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</si>
  <si>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</si>
  <si>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</si>
  <si>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</si>
  <si>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</si>
  <si>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</si>
  <si>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</si>
  <si>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</si>
  <si>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</si>
  <si>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</si>
  <si>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</si>
  <si>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</si>
  <si>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</si>
  <si>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</si>
  <si>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</si>
  <si>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</si>
  <si>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</si>
  <si>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</si>
  <si>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</si>
  <si>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</si>
  <si>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</si>
  <si>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</si>
  <si>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</si>
  <si>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</si>
  <si>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</si>
  <si>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</si>
  <si>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</si>
  <si>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</si>
  <si>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</si>
  <si>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</si>
  <si>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</si>
  <si>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</si>
  <si>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</si>
  <si>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</si>
  <si>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</si>
  <si>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</si>
  <si>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</si>
  <si>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</si>
  <si>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</si>
  <si>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</si>
  <si>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</si>
  <si>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</si>
  <si>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</si>
  <si>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</si>
  <si>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</si>
  <si>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</si>
  <si>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</si>
  <si>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</si>
  <si>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</si>
  <si>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</si>
  <si>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</si>
  <si>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</si>
  <si>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</si>
  <si>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</si>
  <si>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</si>
  <si>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</si>
  <si>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</si>
  <si>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</si>
  <si>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</si>
  <si>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</si>
  <si>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</si>
  <si>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</si>
  <si>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</si>
  <si>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</si>
  <si>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</si>
  <si>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</si>
  <si>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</si>
  <si>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</si>
  <si>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</si>
  <si>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</si>
  <si>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</si>
  <si>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</si>
  <si>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</si>
  <si>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</si>
  <si>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</si>
  <si>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</si>
  <si>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</si>
  <si>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</si>
  <si>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</si>
  <si>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</si>
  <si>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</si>
  <si>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</si>
  <si>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</si>
  <si>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</si>
  <si>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</si>
  <si>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</si>
  <si>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</si>
  <si>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</si>
  <si>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</si>
  <si>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</si>
  <si>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</si>
  <si>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</si>
  <si>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</si>
  <si>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</si>
  <si>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</si>
  <si>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</si>
  <si>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</si>
  <si>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</si>
  <si>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</si>
  <si>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</si>
  <si>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</si>
  <si>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</si>
  <si>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</si>
  <si>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</si>
  <si>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</si>
  <si>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</si>
  <si>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</si>
  <si>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</si>
  <si>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</si>
  <si>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</si>
  <si>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</si>
  <si>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</si>
  <si>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</si>
  <si>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</si>
  <si>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</si>
  <si>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</si>
  <si>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</si>
  <si>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</si>
  <si>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</si>
  <si>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</si>
  <si>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</si>
  <si>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</si>
  <si>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</si>
  <si>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</si>
  <si>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</si>
  <si>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</si>
  <si>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</si>
  <si>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</si>
  <si>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</si>
  <si>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</si>
  <si>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</si>
  <si>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</si>
  <si>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</si>
  <si>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</si>
  <si>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</si>
  <si>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</si>
  <si>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</si>
  <si>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</si>
  <si>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</si>
  <si>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</si>
  <si>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</si>
  <si>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</si>
  <si>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</si>
  <si>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</si>
  <si>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</si>
  <si>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</si>
  <si>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</si>
  <si>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</si>
  <si>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</si>
  <si>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</si>
  <si>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</si>
  <si>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</si>
  <si>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</si>
  <si>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</si>
  <si>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</si>
  <si>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</si>
  <si>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</si>
  <si>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</si>
  <si>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</si>
  <si>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</si>
  <si>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</si>
  <si>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</si>
  <si>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</si>
  <si>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</si>
  <si>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</si>
  <si>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</si>
  <si>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</si>
  <si>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</si>
  <si>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</si>
  <si>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</si>
  <si>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</si>
  <si>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</si>
  <si>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</si>
  <si>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</si>
  <si>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</si>
  <si>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</si>
  <si>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</si>
  <si>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</si>
  <si>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</si>
  <si>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</si>
  <si>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</si>
  <si>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</si>
  <si>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</si>
  <si>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</si>
  <si>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</si>
  <si>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</si>
  <si>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</si>
  <si>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</si>
  <si>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</si>
  <si>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</si>
  <si>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</si>
  <si>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</si>
  <si>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</si>
  <si>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</si>
  <si>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</si>
  <si>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</si>
  <si>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</si>
  <si>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</si>
  <si>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</si>
  <si>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</si>
  <si>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</si>
  <si>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</si>
  <si>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</si>
  <si>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</si>
  <si>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</si>
  <si>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</si>
  <si>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</si>
  <si>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</si>
  <si>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</si>
  <si>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</si>
  <si>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</si>
  <si>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</si>
  <si>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</si>
  <si>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</si>
  <si>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</si>
  <si>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</si>
  <si>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</si>
  <si>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</si>
  <si>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</si>
  <si>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</si>
  <si>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</si>
  <si>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</si>
  <si>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</si>
  <si>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</si>
  <si>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</si>
  <si>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</si>
  <si>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</si>
  <si>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</si>
  <si>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</si>
  <si>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</si>
  <si>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</si>
  <si>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</si>
  <si>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</si>
  <si>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</si>
  <si>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</si>
  <si>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</si>
  <si>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</si>
  <si>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</si>
  <si>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</si>
  <si>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</si>
  <si>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</si>
  <si>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</si>
  <si>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</si>
  <si>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</si>
  <si>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</si>
  <si>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</si>
  <si>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</si>
  <si>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</si>
  <si>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</si>
  <si>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</si>
  <si>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</si>
  <si>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</si>
  <si>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</si>
  <si>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</si>
  <si>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</si>
  <si>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</si>
  <si>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</si>
  <si>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</si>
  <si>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</si>
  <si>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</si>
  <si>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</si>
  <si>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</si>
  <si>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</si>
  <si>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</si>
  <si>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</si>
  <si>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</si>
  <si>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</si>
  <si>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</si>
  <si>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</si>
  <si>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</si>
  <si>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</si>
  <si>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</si>
  <si>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</si>
  <si>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</si>
  <si>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</si>
  <si>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</si>
  <si>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</si>
  <si>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</si>
  <si>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</si>
  <si>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</si>
  <si>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</si>
  <si>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</si>
  <si>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</si>
  <si>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</si>
  <si>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</si>
  <si>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</si>
  <si>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</si>
  <si>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</si>
  <si>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</si>
  <si>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</si>
  <si>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</si>
  <si>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</si>
  <si>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</si>
  <si>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</si>
  <si>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</si>
  <si>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</si>
  <si>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</si>
  <si>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</si>
  <si>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</si>
  <si>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</si>
  <si>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</si>
  <si>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</si>
  <si>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</si>
  <si>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</si>
  <si>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</si>
  <si>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</si>
  <si>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</si>
  <si>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</si>
  <si>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</si>
  <si>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</si>
  <si>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</si>
  <si>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</si>
  <si>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</si>
  <si>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</si>
  <si>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</si>
  <si>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</si>
  <si>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</si>
  <si>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</si>
  <si>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</si>
  <si>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</si>
  <si>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</si>
  <si>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</si>
  <si>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</si>
  <si>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</si>
  <si>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</si>
  <si>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</si>
  <si>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</si>
  <si>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</si>
  <si>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</si>
  <si>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</si>
  <si>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</si>
  <si>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</si>
  <si>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</si>
  <si>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</si>
  <si>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</si>
  <si>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</si>
  <si>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</si>
  <si>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</si>
  <si>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</si>
  <si>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</si>
  <si>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</si>
  <si>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</si>
  <si>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</si>
  <si>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</si>
  <si>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</si>
  <si>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</si>
  <si>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</si>
  <si>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</si>
  <si>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</si>
  <si>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</si>
  <si>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</si>
  <si>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</si>
  <si>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</si>
  <si>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</si>
  <si>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</si>
  <si>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</si>
  <si>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</si>
  <si>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</si>
  <si>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</si>
  <si>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</si>
  <si>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</si>
  <si>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</si>
  <si>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</si>
  <si>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</si>
  <si>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</si>
  <si>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</si>
  <si>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</si>
  <si>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</si>
  <si>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</si>
  <si>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</si>
  <si>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</si>
  <si>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</si>
  <si>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</si>
  <si>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</si>
  <si>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</si>
  <si>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</si>
  <si>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</si>
  <si>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</si>
  <si>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</si>
  <si>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</si>
  <si>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</si>
  <si>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</si>
  <si>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</si>
  <si>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</si>
  <si>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</si>
  <si>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</si>
  <si>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</si>
  <si>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</si>
  <si>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</si>
  <si>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</si>
  <si>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</si>
  <si>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</si>
  <si>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</si>
  <si>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</si>
  <si>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</si>
  <si>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</si>
  <si>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</si>
  <si>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</si>
  <si>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</si>
  <si>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</si>
  <si>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</si>
  <si>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</si>
  <si>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</si>
  <si>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</si>
  <si>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</si>
  <si>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</si>
  <si>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</si>
  <si>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</si>
  <si>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</si>
  <si>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</si>
  <si>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</si>
  <si>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</si>
  <si>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</si>
  <si>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</si>
  <si>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</si>
  <si>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</si>
  <si>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</si>
  <si>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</si>
  <si>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</si>
  <si>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</si>
  <si>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</si>
  <si>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</si>
  <si>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</si>
  <si>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</si>
  <si>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</si>
  <si>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</si>
  <si>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</si>
  <si>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</si>
  <si>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</si>
  <si>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</si>
  <si>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</si>
  <si>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</si>
  <si>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</si>
  <si>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</si>
  <si>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</si>
  <si>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</si>
  <si>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</si>
  <si>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</si>
  <si>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</si>
  <si>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</si>
  <si>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</si>
  <si>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</si>
  <si>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</si>
  <si>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</si>
  <si>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</si>
  <si>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</si>
  <si>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</si>
  <si>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</si>
  <si>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</si>
  <si>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</si>
  <si>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</si>
  <si>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</si>
  <si>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</si>
  <si>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</si>
  <si>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</si>
  <si>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</si>
  <si>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</si>
  <si>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</si>
  <si>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</si>
  <si>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</si>
  <si>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</si>
  <si>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</si>
  <si>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</si>
  <si>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</si>
  <si>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</si>
  <si>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</si>
  <si>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</si>
  <si>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</si>
  <si>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</si>
  <si>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</si>
  <si>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</si>
  <si>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</si>
  <si>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</si>
  <si>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</si>
  <si>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</si>
  <si>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</si>
  <si>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</si>
  <si>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</si>
  <si>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</si>
  <si>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</si>
  <si>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</si>
  <si>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</si>
  <si>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</si>
  <si>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</si>
  <si>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</si>
  <si>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</si>
  <si>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</si>
  <si>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</si>
  <si>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</si>
  <si>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</si>
  <si>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</si>
  <si>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</si>
  <si>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</si>
  <si>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</si>
  <si>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</si>
  <si>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</si>
  <si>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</si>
  <si>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</si>
  <si>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</si>
  <si>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</si>
  <si>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</si>
  <si>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</si>
  <si>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</si>
  <si>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</si>
  <si>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</si>
  <si>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</si>
  <si>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</si>
  <si>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</si>
  <si>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</si>
  <si>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</si>
  <si>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</si>
  <si>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</si>
  <si>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</si>
  <si>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</si>
  <si>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</si>
  <si>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</si>
  <si>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</si>
  <si>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</si>
  <si>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</si>
  <si>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</si>
  <si>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</si>
  <si>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</si>
  <si>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</si>
  <si>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</si>
  <si>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</si>
  <si>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</si>
  <si>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</si>
  <si>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</si>
  <si>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</si>
  <si>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</si>
  <si>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</si>
  <si>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</si>
  <si>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</si>
  <si>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</si>
  <si>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</si>
  <si>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</si>
  <si>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</si>
  <si>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</si>
  <si>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</si>
  <si>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</si>
  <si>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</si>
  <si>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</si>
  <si>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</si>
  <si>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</si>
  <si>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</si>
  <si>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</si>
  <si>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</si>
  <si>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</si>
  <si>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</si>
  <si>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</si>
  <si>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</si>
  <si>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</si>
  <si>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</si>
  <si>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</si>
  <si>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</si>
  <si>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</si>
  <si>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</si>
  <si>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</si>
  <si>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</si>
  <si>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</si>
  <si>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</si>
  <si>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</si>
  <si>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</si>
  <si>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</si>
  <si>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</si>
  <si>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</si>
  <si>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</si>
  <si>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</si>
  <si>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</si>
  <si>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</si>
  <si>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</si>
  <si>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</si>
  <si>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</si>
  <si>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</si>
  <si>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</si>
  <si>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</si>
  <si>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</si>
  <si>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</si>
  <si>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</si>
  <si>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</si>
  <si>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</si>
  <si>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</si>
  <si>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</si>
  <si>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</si>
  <si>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</si>
  <si>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</si>
  <si>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</si>
  <si>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</si>
  <si>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</si>
  <si>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</si>
  <si>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</si>
  <si>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</si>
  <si>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</si>
  <si>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</si>
  <si>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</si>
  <si>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</si>
  <si>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</si>
  <si>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</si>
  <si>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</si>
  <si>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</si>
  <si>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</si>
  <si>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</si>
  <si>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</si>
  <si>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</si>
  <si>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</si>
  <si>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</si>
  <si>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</si>
  <si>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</si>
  <si>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</si>
  <si>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</si>
  <si>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11/2008</t>
  </si>
  <si>
    <t>6/2018</t>
  </si>
  <si>
    <t>11/2022</t>
  </si>
  <si>
    <t>8/2038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</si>
</sst>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38" fontId="7" fillId="0" borderId="0" xfId="0" quotePrefix="1" applyNumberFormat="1" applyFont="1" applyAlignment="1" applyProtection="1">
      <alignment horizontal="center"/>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5" zoomScale="140" zoomScaleNormal="14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1089</v>
      </c>
      <c r="B2">
        <f>INDEX('School Tables'!$AH$3:$AH$209,MATCH('DOE25'!A2,'School Tables'!$AJ$3:$AJ$209,0))</f>
        <v>238</v>
      </c>
      <c r="C2">
        <f>INDEX('School Tables'!$AI$3:$AI$209,MATCH('DOE25'!A2,'School Tables'!$AJ$3:$AJ$209,0))</f>
        <v>238</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221401+984339+100</f>
        <v>1205840</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1351352</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138941</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544895</v>
      </c>
      <c r="G13" s="18">
        <v>41518</v>
      </c>
      <c r="H13" s="18">
        <v>247236</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132848</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201679</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2224203</v>
      </c>
      <c r="G19" s="38">
        <f>SUM(G9:G18)</f>
        <v>41518</v>
      </c>
      <c r="H19" s="38">
        <f>SUM(H9:H18)</f>
        <v>247236</v>
      </c>
      <c r="I19" s="38">
        <f>SUM(I9:I18)</f>
        <v>0</v>
      </c>
      <c r="J19" s="38">
        <f>SUM(J9:J18)</f>
        <v>1351352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6495</v>
      </c>
      <c r="H22" s="18">
        <f>140815-8370</f>
        <v>132445</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341876+45670</f>
        <v>387546</v>
      </c>
      <c r="G24" s="18">
        <v>28145</v>
      </c>
      <c r="H24" s="18">
        <f>61670+1262</f>
        <v>62932</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4837+840+1474</f>
        <v>7151</v>
      </c>
      <c r="G29" s="18"/>
      <c r="H29" s="18">
        <v>765</v>
      </c>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6878</v>
      </c>
      <c r="H30" s="18">
        <v>43986</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394697</v>
      </c>
      <c r="G32" s="38">
        <f>SUM(G22:G31)</f>
        <v>41518</v>
      </c>
      <c r="H32" s="38">
        <f>SUM(H22:H31)</f>
        <v>240128</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201679</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f>120000+70870</f>
        <v>190870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173488</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f>984339-70870</f>
        <v>913469</v>
      </c>
      <c r="G48" s="18"/>
      <c r="H48" s="18">
        <f>6526+8300-7718</f>
        <v>7108</v>
      </c>
      <c r="I48" s="18"/>
      <c r="J48" s="13">
        <f>SUM(I460)</f>
        <v>1351352</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762400+13968864-14381265+1</f>
        <v>350000</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1829506</v>
      </c>
      <c r="G51" s="38">
        <f>SUM(G35:G50)</f>
        <v>0</v>
      </c>
      <c r="H51" s="38">
        <f>SUM(H35:H50)</f>
        <v>7108</v>
      </c>
      <c r="I51" s="38">
        <f>SUM(I35:I50)</f>
        <v>0</v>
      </c>
      <c r="J51" s="38">
        <f>SUM(J35:J50)</f>
        <v>1351352</v>
      </c>
      <c r="K51" s="42" t="s">
        <v>288</v>
      </c>
      <c r="L51" s="42" t="s">
        <v>288</v>
      </c>
      <c r="N51" s="131"/>
    </row>
    <row r="52" spans="1:14" s="3" customFormat="1" ht="12.2" customHeight="1" thickTop="1" x14ac:dyDescent="0.15">
      <c r="A52" s="35" t="s">
        <v>455</v>
      </c>
      <c r="B52" s="36" t="s">
        <v>289</v>
      </c>
      <c r="C52" s="6">
        <v>37</v>
      </c>
      <c r="D52" s="36" t="s">
        <v>653</v>
      </c>
      <c r="E52" s="36"/>
      <c r="F52" s="38">
        <f>F51+F32</f>
        <v>2224203</v>
      </c>
      <c r="G52" s="38">
        <f>G51+G32</f>
        <v>41518</v>
      </c>
      <c r="H52" s="38">
        <f>H51+H32</f>
        <v>247236</v>
      </c>
      <c r="I52" s="38">
        <f>I51+I32</f>
        <v>0</v>
      </c>
      <c r="J52" s="38">
        <f>J51+J32</f>
        <v>1351352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6779592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6779592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9719</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1270224</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215109</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1495052</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f>22516+6359</f>
        <v>28875</v>
      </c>
      <c r="G96" s="18"/>
      <c r="H96" s="18"/>
      <c r="I96" s="18"/>
      <c r="J96" s="18">
        <v>16811</v>
      </c>
      <c r="K96" s="23" t="s">
        <v>288</v>
      </c>
      <c r="L96" s="23" t="s">
        <v>288</v>
      </c>
      <c r="M96" s="8"/>
      <c r="N96" s="165"/>
    </row>
    <row r="97" spans="1:14" s="3" customFormat="1" ht="12.2" customHeight="1" x14ac:dyDescent="0.15">
      <c r="A97" s="1" t="s">
        <v>503</v>
      </c>
      <c r="B97" s="2" t="s">
        <v>315</v>
      </c>
      <c r="C97" s="6">
        <v>12</v>
      </c>
      <c r="D97" s="2" t="s">
        <v>430</v>
      </c>
      <c r="E97" s="6">
        <v>1600</v>
      </c>
      <c r="F97" s="23" t="s">
        <v>288</v>
      </c>
      <c r="G97" s="18">
        <f>116063-86283</f>
        <v>29780</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750</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38860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f>14664-1</f>
        <v>14663</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1433</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f>22207-2</f>
        <v>22205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17440</v>
      </c>
      <c r="G110" s="18">
        <f>1824-1</f>
        <v>1823</v>
      </c>
      <c r="H110" s="18">
        <f>8300</f>
        <v>8300</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109563</v>
      </c>
      <c r="G111" s="38">
        <f>SUM(G96:G110)</f>
        <v>31603</v>
      </c>
      <c r="H111" s="38">
        <f>SUM(H96:H110)</f>
        <v>22963</v>
      </c>
      <c r="I111" s="38">
        <f>SUM(I96:I110)</f>
        <v>0</v>
      </c>
      <c r="J111" s="38">
        <f>SUM(J96:J110)</f>
        <v>16811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8384207</v>
      </c>
      <c r="G112" s="38">
        <f>G60+G111</f>
        <v>31603</v>
      </c>
      <c r="H112" s="38">
        <f>H60+H79+H94+H111</f>
        <v>22963</v>
      </c>
      <c r="I112" s="38">
        <f>I60+I111</f>
        <v>0</v>
      </c>
      <c r="J112" s="38">
        <f>J60+J111</f>
        <v>16811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4606919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455227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v>3836</v>
      </c>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5062146</v>
      </c>
      <c r="G121" s="38">
        <f>SUM(G117:G120)</f>
        <v>0</v>
      </c>
      <c r="H121" s="38">
        <f>SUM(H117:H120)</f>
        <v>3836</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75250</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113364</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13722</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2749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80289</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282625</v>
      </c>
      <c r="G136" s="38">
        <f>SUM(G123:G135)</f>
        <v>2749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5344771</v>
      </c>
      <c r="G140" s="38">
        <f>G121+SUM(G136:G137)</f>
        <v>2749</v>
      </c>
      <c r="H140" s="38">
        <f>H121+SUM(H136:H139)</f>
        <v>3836</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212668</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55014+78063+9000</f>
        <v>142077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15350+41648+124180+1548+29819</f>
        <v>212545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225831+20377</f>
        <v>246208</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103481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614424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103481</v>
      </c>
      <c r="G163" s="38">
        <f>SUM(G150:G162)</f>
        <v>212545</v>
      </c>
      <c r="H163" s="38">
        <f>SUM(H150:H162)</f>
        <v>1215377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1462</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104943</v>
      </c>
      <c r="G170" s="38">
        <f>G147+G163+SUM(G164:G169)</f>
        <v>212545</v>
      </c>
      <c r="H170" s="38">
        <f>H147+H163+SUM(H164:H169)</f>
        <v>1215377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f>7987+86283</f>
        <v>94270</v>
      </c>
      <c r="H180" s="18"/>
      <c r="I180" s="18"/>
      <c r="J180" s="18">
        <v>120000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94270</v>
      </c>
      <c r="H184" s="38">
        <f>SUM(H180:H183)</f>
        <v>0</v>
      </c>
      <c r="I184" s="38">
        <f>SUM(I180:I183)</f>
        <v>0</v>
      </c>
      <c r="J184" s="38">
        <f>SUM(J180:J183)</f>
        <v>120000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134943</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134943</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134943</v>
      </c>
      <c r="G193" s="38">
        <f>G184+SUM(G189:G192)</f>
        <v>94270</v>
      </c>
      <c r="H193" s="38">
        <f>+H184+SUM(H189:H192)</f>
        <v>0</v>
      </c>
      <c r="I193" s="38">
        <f>I178+I184+SUM(I189:I192)</f>
        <v>0</v>
      </c>
      <c r="J193" s="38">
        <f>J184</f>
        <v>120000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13968864</v>
      </c>
      <c r="G194" s="38">
        <f>G112+G140+G170+G193</f>
        <v>341167</v>
      </c>
      <c r="H194" s="38">
        <f>H112+H140+H170+H193</f>
        <v>1242176</v>
      </c>
      <c r="I194" s="38">
        <f>I112+I140+I170+I193</f>
        <v>0</v>
      </c>
      <c r="J194" s="38">
        <f>J112+J140+J193</f>
        <v>136811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822322</v>
      </c>
      <c r="G198" s="18">
        <v>440796</v>
      </c>
      <c r="H198" s="18">
        <f>69365+149</f>
        <v>69514</v>
      </c>
      <c r="I198" s="18">
        <v>68028</v>
      </c>
      <c r="J198" s="18">
        <v>1382</v>
      </c>
      <c r="K198" s="18">
        <v>85</v>
      </c>
      <c r="L198" s="13">
        <f>SUM(F198:K198)</f>
        <v>1402127</v>
      </c>
      <c r="M198" s="8"/>
      <c r="N198" s="165"/>
    </row>
    <row r="199" spans="1:14" s="3" customFormat="1" ht="12.2" customHeight="1" x14ac:dyDescent="0.15">
      <c r="A199" s="1" t="s">
        <v>439</v>
      </c>
      <c r="B199" s="2" t="s">
        <v>341</v>
      </c>
      <c r="C199" s="2" t="s">
        <v>291</v>
      </c>
      <c r="D199" s="2" t="s">
        <v>431</v>
      </c>
      <c r="E199" s="6">
        <v>1200</v>
      </c>
      <c r="F199" s="18">
        <v>539614</v>
      </c>
      <c r="G199" s="18">
        <v>265402</v>
      </c>
      <c r="H199" s="18">
        <f>6714</f>
        <v>6714</v>
      </c>
      <c r="I199" s="18">
        <v>1631</v>
      </c>
      <c r="J199" s="18">
        <v>826</v>
      </c>
      <c r="K199" s="18"/>
      <c r="L199" s="13">
        <f>SUM(F199:K199)</f>
        <v>814187</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29710</v>
      </c>
      <c r="G201" s="18">
        <v>7251</v>
      </c>
      <c r="H201" s="18"/>
      <c r="I201" s="18"/>
      <c r="J201" s="18"/>
      <c r="K201" s="18"/>
      <c r="L201" s="13">
        <f>SUM(F201:K201)</f>
        <v>36961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120420</v>
      </c>
      <c r="G203" s="18">
        <v>72866</v>
      </c>
      <c r="H203" s="18">
        <f>317972+3659</f>
        <v>321631</v>
      </c>
      <c r="I203" s="18">
        <v>4663</v>
      </c>
      <c r="J203" s="18"/>
      <c r="K203" s="18"/>
      <c r="L203" s="13">
        <f t="shared" ref="L203:L209" si="0">SUM(F203:K203)</f>
        <v>519580</v>
      </c>
      <c r="M203" s="8"/>
      <c r="N203" s="165"/>
    </row>
    <row r="204" spans="1:14" s="3" customFormat="1" ht="12.2" customHeight="1" x14ac:dyDescent="0.15">
      <c r="A204" s="1" t="s">
        <v>443</v>
      </c>
      <c r="B204" s="2" t="s">
        <v>341</v>
      </c>
      <c r="C204" s="2" t="s">
        <v>295</v>
      </c>
      <c r="D204" s="2" t="s">
        <v>431</v>
      </c>
      <c r="E204" s="6">
        <v>2200</v>
      </c>
      <c r="F204" s="18">
        <v>33034</v>
      </c>
      <c r="G204" s="18">
        <v>29651</v>
      </c>
      <c r="H204" s="18">
        <f>6593+106</f>
        <v>6699</v>
      </c>
      <c r="I204" s="18">
        <v>6044</v>
      </c>
      <c r="J204" s="18">
        <v>5200</v>
      </c>
      <c r="K204" s="18"/>
      <c r="L204" s="13">
        <f t="shared" si="0"/>
        <v>80628</v>
      </c>
      <c r="M204" s="8"/>
      <c r="N204" s="165"/>
    </row>
    <row r="205" spans="1:14" s="3" customFormat="1" ht="12.2" customHeight="1" x14ac:dyDescent="0.15">
      <c r="A205" s="1" t="s">
        <v>444</v>
      </c>
      <c r="B205" s="2" t="s">
        <v>341</v>
      </c>
      <c r="C205" s="2" t="s">
        <v>296</v>
      </c>
      <c r="D205" s="2" t="s">
        <v>431</v>
      </c>
      <c r="E205" s="6">
        <v>2300</v>
      </c>
      <c r="F205" s="18">
        <v>2052</v>
      </c>
      <c r="G205" s="18">
        <v>158</v>
      </c>
      <c r="H205" s="18">
        <f>261790+9519</f>
        <v>271309</v>
      </c>
      <c r="I205" s="18">
        <v>2388</v>
      </c>
      <c r="J205" s="18"/>
      <c r="K205" s="18">
        <v>3917</v>
      </c>
      <c r="L205" s="13">
        <f t="shared" si="0"/>
        <v>279824</v>
      </c>
      <c r="M205" s="8"/>
      <c r="N205" s="165"/>
    </row>
    <row r="206" spans="1:14" s="3" customFormat="1" ht="12.2" customHeight="1" x14ac:dyDescent="0.15">
      <c r="A206" s="1" t="s">
        <v>445</v>
      </c>
      <c r="B206" s="2" t="s">
        <v>341</v>
      </c>
      <c r="C206" s="2" t="s">
        <v>297</v>
      </c>
      <c r="D206" s="2" t="s">
        <v>431</v>
      </c>
      <c r="E206" s="6">
        <v>2400</v>
      </c>
      <c r="F206" s="18">
        <v>128139</v>
      </c>
      <c r="G206" s="18">
        <v>79806</v>
      </c>
      <c r="H206" s="18">
        <f>150+7442</f>
        <v>7592</v>
      </c>
      <c r="I206" s="18">
        <v>938</v>
      </c>
      <c r="J206" s="18"/>
      <c r="K206" s="18">
        <v>162</v>
      </c>
      <c r="L206" s="13">
        <f t="shared" si="0"/>
        <v>216637</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89961</v>
      </c>
      <c r="G208" s="18">
        <v>37662</v>
      </c>
      <c r="H208" s="18">
        <f>51182+146334+3688</f>
        <v>201204</v>
      </c>
      <c r="I208" s="18">
        <v>81421</v>
      </c>
      <c r="J208" s="18">
        <v>8416</v>
      </c>
      <c r="K208" s="18"/>
      <c r="L208" s="13">
        <f t="shared" si="0"/>
        <v>418664</v>
      </c>
      <c r="M208" s="8"/>
      <c r="N208" s="165"/>
    </row>
    <row r="209" spans="1:14" s="3" customFormat="1" ht="12.2" customHeight="1" x14ac:dyDescent="0.15">
      <c r="A209" s="1" t="s">
        <v>448</v>
      </c>
      <c r="B209" s="2" t="s">
        <v>341</v>
      </c>
      <c r="C209" s="2" t="s">
        <v>300</v>
      </c>
      <c r="D209" s="2" t="s">
        <v>431</v>
      </c>
      <c r="E209" s="6">
        <v>2700</v>
      </c>
      <c r="F209" s="18">
        <v>9976</v>
      </c>
      <c r="G209" s="18">
        <v>5655</v>
      </c>
      <c r="H209" s="18">
        <f>790+150116</f>
        <v>150906</v>
      </c>
      <c r="I209" s="18">
        <v>1900</v>
      </c>
      <c r="J209" s="18"/>
      <c r="K209" s="18"/>
      <c r="L209" s="13">
        <f t="shared" si="0"/>
        <v>168437</v>
      </c>
      <c r="M209" s="8"/>
      <c r="N209" s="165"/>
    </row>
    <row r="210" spans="1:14" s="3" customFormat="1" ht="12.2" customHeight="1" x14ac:dyDescent="0.15">
      <c r="A210" s="1" t="s">
        <v>449</v>
      </c>
      <c r="B210" s="2" t="s">
        <v>341</v>
      </c>
      <c r="C210" s="2" t="s">
        <v>343</v>
      </c>
      <c r="D210" s="2" t="s">
        <v>431</v>
      </c>
      <c r="E210" s="6">
        <v>2800</v>
      </c>
      <c r="F210" s="18"/>
      <c r="G210" s="18"/>
      <c r="H210" s="18">
        <f>10948</f>
        <v>10948</v>
      </c>
      <c r="I210" s="18"/>
      <c r="J210" s="18">
        <v>251</v>
      </c>
      <c r="K210" s="18"/>
      <c r="L210" s="13">
        <f>SUM(F210:K210)</f>
        <v>11199</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1775228</v>
      </c>
      <c r="G212" s="38">
        <f t="shared" si="1"/>
        <v>939247</v>
      </c>
      <c r="H212" s="38">
        <f t="shared" si="1"/>
        <v>1046517</v>
      </c>
      <c r="I212" s="38">
        <f t="shared" si="1"/>
        <v>167013</v>
      </c>
      <c r="J212" s="38">
        <f t="shared" si="1"/>
        <v>16075</v>
      </c>
      <c r="K212" s="38">
        <f t="shared" si="1"/>
        <v>4164</v>
      </c>
      <c r="L212" s="38">
        <f t="shared" si="1"/>
        <v>3948244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966866</v>
      </c>
      <c r="G216" s="18">
        <v>533912</v>
      </c>
      <c r="H216" s="18">
        <f>603</f>
        <v>603</v>
      </c>
      <c r="I216" s="18">
        <v>96996</v>
      </c>
      <c r="J216" s="18">
        <v>256</v>
      </c>
      <c r="K216" s="18">
        <v>1491</v>
      </c>
      <c r="L216" s="13">
        <f>SUM(F216:K216)</f>
        <v>1600124</v>
      </c>
      <c r="M216" s="8"/>
      <c r="N216" s="165"/>
    </row>
    <row r="217" spans="1:14" s="3" customFormat="1" ht="12.2" customHeight="1" x14ac:dyDescent="0.15">
      <c r="A217" s="1" t="s">
        <v>439</v>
      </c>
      <c r="B217" s="2" t="s">
        <v>346</v>
      </c>
      <c r="C217" s="2" t="s">
        <v>291</v>
      </c>
      <c r="D217" s="2" t="s">
        <v>431</v>
      </c>
      <c r="E217" s="6">
        <v>1200</v>
      </c>
      <c r="F217" s="18">
        <v>361497</v>
      </c>
      <c r="G217" s="18">
        <v>204105</v>
      </c>
      <c r="H217" s="18">
        <f>8804+92424</f>
        <v>101228</v>
      </c>
      <c r="I217" s="18">
        <v>3389</v>
      </c>
      <c r="J217" s="18"/>
      <c r="K217" s="18"/>
      <c r="L217" s="13">
        <f>SUM(F217:K217)</f>
        <v>670219</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91052</v>
      </c>
      <c r="G219" s="18">
        <v>35332</v>
      </c>
      <c r="H219" s="18">
        <f>5823+2685+2376</f>
        <v>10884</v>
      </c>
      <c r="I219" s="18">
        <v>12278</v>
      </c>
      <c r="J219" s="18">
        <v>527</v>
      </c>
      <c r="K219" s="18">
        <v>376</v>
      </c>
      <c r="L219" s="13">
        <f>SUM(F219:K219)</f>
        <v>150449</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138147</v>
      </c>
      <c r="G221" s="18">
        <v>61005</v>
      </c>
      <c r="H221" s="18">
        <f>88456+4001</f>
        <v>92457</v>
      </c>
      <c r="I221" s="18">
        <v>6002</v>
      </c>
      <c r="J221" s="18"/>
      <c r="K221" s="18"/>
      <c r="L221" s="13">
        <f t="shared" ref="L221:L227" si="2">SUM(F221:K221)</f>
        <v>297611</v>
      </c>
      <c r="M221" s="8"/>
      <c r="N221" s="165"/>
    </row>
    <row r="222" spans="1:14" s="3" customFormat="1" ht="12.2" customHeight="1" x14ac:dyDescent="0.15">
      <c r="A222" s="1" t="s">
        <v>443</v>
      </c>
      <c r="B222" s="2" t="s">
        <v>346</v>
      </c>
      <c r="C222" s="2" t="s">
        <v>295</v>
      </c>
      <c r="D222" s="2" t="s">
        <v>431</v>
      </c>
      <c r="E222" s="6">
        <v>2200</v>
      </c>
      <c r="F222" s="18">
        <f>86417+69935-1</f>
        <v>156351</v>
      </c>
      <c r="G222" s="18">
        <f>55965+43699</f>
        <v>99664</v>
      </c>
      <c r="H222" s="18">
        <f>29233+1506</f>
        <v>30739</v>
      </c>
      <c r="I222" s="18">
        <v>7006</v>
      </c>
      <c r="J222" s="18">
        <v>3693</v>
      </c>
      <c r="K222" s="18"/>
      <c r="L222" s="13">
        <f t="shared" si="2"/>
        <v>297453</v>
      </c>
      <c r="M222" s="8"/>
      <c r="N222" s="165"/>
    </row>
    <row r="223" spans="1:14" s="3" customFormat="1" ht="12.2" customHeight="1" x14ac:dyDescent="0.15">
      <c r="A223" s="1" t="s">
        <v>444</v>
      </c>
      <c r="B223" s="2" t="s">
        <v>346</v>
      </c>
      <c r="C223" s="2" t="s">
        <v>296</v>
      </c>
      <c r="D223" s="2" t="s">
        <v>431</v>
      </c>
      <c r="E223" s="6">
        <v>2300</v>
      </c>
      <c r="F223" s="18">
        <v>2297</v>
      </c>
      <c r="G223" s="18">
        <v>177</v>
      </c>
      <c r="H223" s="18">
        <f>293523+10545</f>
        <v>304068</v>
      </c>
      <c r="I223" s="18">
        <v>2706</v>
      </c>
      <c r="J223" s="18"/>
      <c r="K223" s="18">
        <v>4392</v>
      </c>
      <c r="L223" s="13">
        <f t="shared" si="2"/>
        <v>313640</v>
      </c>
      <c r="M223" s="8"/>
      <c r="N223" s="165"/>
    </row>
    <row r="224" spans="1:14" s="3" customFormat="1" ht="12.2" customHeight="1" x14ac:dyDescent="0.15">
      <c r="A224" s="1" t="s">
        <v>445</v>
      </c>
      <c r="B224" s="2" t="s">
        <v>346</v>
      </c>
      <c r="C224" s="2" t="s">
        <v>297</v>
      </c>
      <c r="D224" s="2" t="s">
        <v>431</v>
      </c>
      <c r="E224" s="6">
        <v>2400</v>
      </c>
      <c r="F224" s="18">
        <v>248006</v>
      </c>
      <c r="G224" s="18">
        <v>148632</v>
      </c>
      <c r="H224" s="18">
        <f>905+7973</f>
        <v>8878</v>
      </c>
      <c r="I224" s="18">
        <v>2203</v>
      </c>
      <c r="J224" s="18">
        <v>107</v>
      </c>
      <c r="K224" s="18">
        <v>1584</v>
      </c>
      <c r="L224" s="13">
        <f t="shared" si="2"/>
        <v>409410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v>112140</v>
      </c>
      <c r="G226" s="18">
        <v>38026</v>
      </c>
      <c r="H226" s="18">
        <f>31594+116256+4136</f>
        <v>151986</v>
      </c>
      <c r="I226" s="18">
        <v>120843</v>
      </c>
      <c r="J226" s="18">
        <v>49963</v>
      </c>
      <c r="K226" s="18"/>
      <c r="L226" s="13">
        <f t="shared" si="2"/>
        <v>472958</v>
      </c>
      <c r="M226" s="8"/>
      <c r="N226" s="165"/>
    </row>
    <row r="227" spans="1:14" s="3" customFormat="1" ht="12.2" customHeight="1" x14ac:dyDescent="0.15">
      <c r="A227" s="1" t="s">
        <v>448</v>
      </c>
      <c r="B227" s="2" t="s">
        <v>346</v>
      </c>
      <c r="C227" s="2" t="s">
        <v>300</v>
      </c>
      <c r="D227" s="2" t="s">
        <v>431</v>
      </c>
      <c r="E227" s="6">
        <v>2700</v>
      </c>
      <c r="F227" s="18">
        <v>11186</v>
      </c>
      <c r="G227" s="18">
        <v>6340</v>
      </c>
      <c r="H227" s="18">
        <f>885+192629</f>
        <v>193514</v>
      </c>
      <c r="I227" s="18">
        <v>2129</v>
      </c>
      <c r="J227" s="18"/>
      <c r="K227" s="18"/>
      <c r="L227" s="13">
        <f t="shared" si="2"/>
        <v>213169</v>
      </c>
      <c r="M227" s="8"/>
      <c r="N227" s="165"/>
    </row>
    <row r="228" spans="1:14" s="3" customFormat="1" ht="12.2" customHeight="1" x14ac:dyDescent="0.15">
      <c r="A228" s="1" t="s">
        <v>449</v>
      </c>
      <c r="B228" s="2" t="s">
        <v>346</v>
      </c>
      <c r="C228" s="2" t="s">
        <v>343</v>
      </c>
      <c r="D228" s="2" t="s">
        <v>431</v>
      </c>
      <c r="E228" s="6">
        <v>2800</v>
      </c>
      <c r="F228" s="18"/>
      <c r="G228" s="18"/>
      <c r="H228" s="18">
        <v>10891</v>
      </c>
      <c r="I228" s="18"/>
      <c r="J228" s="18">
        <v>251</v>
      </c>
      <c r="K228" s="18"/>
      <c r="L228" s="13">
        <f>SUM(F228:K228)</f>
        <v>11142</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2087542</v>
      </c>
      <c r="G230" s="38">
        <f>SUM(G216:G229)</f>
        <v>1127193</v>
      </c>
      <c r="H230" s="38">
        <f>SUM(H216:H229)</f>
        <v>905248</v>
      </c>
      <c r="I230" s="38">
        <f>SUM(I216:I229)</f>
        <v>253552</v>
      </c>
      <c r="J230" s="38">
        <f>SUM(J216:J229)</f>
        <v>54797</v>
      </c>
      <c r="K230" s="38">
        <f t="shared" si="3"/>
        <v>7843</v>
      </c>
      <c r="L230" s="38">
        <f t="shared" si="3"/>
        <v>4436175</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1151276</v>
      </c>
      <c r="G234" s="18">
        <v>617796</v>
      </c>
      <c r="H234" s="18">
        <f>411+1891</f>
        <v>2302</v>
      </c>
      <c r="I234" s="18">
        <v>91953</v>
      </c>
      <c r="J234" s="18">
        <v>14225</v>
      </c>
      <c r="K234" s="18">
        <v>1591</v>
      </c>
      <c r="L234" s="13">
        <f>SUM(F234:K234)</f>
        <v>1879143</v>
      </c>
      <c r="M234" s="8"/>
      <c r="N234" s="165"/>
    </row>
    <row r="235" spans="1:14" s="3" customFormat="1" ht="12.2" customHeight="1" x14ac:dyDescent="0.15">
      <c r="A235" s="1" t="s">
        <v>439</v>
      </c>
      <c r="B235" s="2" t="s">
        <v>350</v>
      </c>
      <c r="C235" s="2" t="s">
        <v>291</v>
      </c>
      <c r="D235" s="2" t="s">
        <v>431</v>
      </c>
      <c r="E235" s="6">
        <v>1200</v>
      </c>
      <c r="F235" s="18">
        <v>451813</v>
      </c>
      <c r="G235" s="18">
        <v>233084</v>
      </c>
      <c r="H235" s="18">
        <f>36703+279157</f>
        <v>315860</v>
      </c>
      <c r="I235" s="18">
        <v>4953</v>
      </c>
      <c r="J235" s="18">
        <v>720</v>
      </c>
      <c r="K235" s="18"/>
      <c r="L235" s="13">
        <f>SUM(F235:K235)</f>
        <v>1006430</v>
      </c>
      <c r="M235" s="8"/>
      <c r="N235" s="165"/>
    </row>
    <row r="236" spans="1:14" s="3" customFormat="1" ht="12.2" customHeight="1" x14ac:dyDescent="0.15">
      <c r="A236" s="1" t="s">
        <v>440</v>
      </c>
      <c r="B236" s="2" t="s">
        <v>350</v>
      </c>
      <c r="C236" s="2" t="s">
        <v>292</v>
      </c>
      <c r="D236" s="2" t="s">
        <v>431</v>
      </c>
      <c r="E236" s="6">
        <v>1300</v>
      </c>
      <c r="F236" s="18"/>
      <c r="G236" s="18"/>
      <c r="H236" s="18">
        <f>364473</f>
        <v>364473</v>
      </c>
      <c r="I236" s="18"/>
      <c r="J236" s="18"/>
      <c r="K236" s="18"/>
      <c r="L236" s="13">
        <f>SUM(F236:K236)</f>
        <v>364473</v>
      </c>
      <c r="M236" s="8"/>
      <c r="N236" s="165"/>
    </row>
    <row r="237" spans="1:14" s="3" customFormat="1" ht="12.2" customHeight="1" x14ac:dyDescent="0.15">
      <c r="A237" s="1" t="s">
        <v>441</v>
      </c>
      <c r="B237" s="2" t="s">
        <v>350</v>
      </c>
      <c r="C237" s="2" t="s">
        <v>293</v>
      </c>
      <c r="D237" s="2" t="s">
        <v>431</v>
      </c>
      <c r="E237" s="6">
        <v>1400</v>
      </c>
      <c r="F237" s="18">
        <v>117019</v>
      </c>
      <c r="G237" s="18">
        <v>38643</v>
      </c>
      <c r="H237" s="18">
        <f>18097+3746+3520</f>
        <v>25363</v>
      </c>
      <c r="I237" s="18">
        <v>18489</v>
      </c>
      <c r="J237" s="18">
        <v>1857</v>
      </c>
      <c r="K237" s="18">
        <v>9336</v>
      </c>
      <c r="L237" s="13">
        <f>SUM(F237:K237)</f>
        <v>210707</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159144</v>
      </c>
      <c r="G239" s="18">
        <v>69773</v>
      </c>
      <c r="H239" s="18">
        <f>65344+3982+1136</f>
        <v>70462</v>
      </c>
      <c r="I239" s="18">
        <v>6480</v>
      </c>
      <c r="J239" s="18">
        <v>618</v>
      </c>
      <c r="K239" s="18">
        <v>5054</v>
      </c>
      <c r="L239" s="13">
        <f t="shared" ref="L239:L245" si="4">SUM(F239:K239)</f>
        <v>311531</v>
      </c>
      <c r="M239" s="8"/>
      <c r="N239" s="165"/>
    </row>
    <row r="240" spans="1:14" s="3" customFormat="1" ht="12.2" customHeight="1" x14ac:dyDescent="0.15">
      <c r="A240" s="1" t="s">
        <v>443</v>
      </c>
      <c r="B240" s="2" t="s">
        <v>350</v>
      </c>
      <c r="C240" s="2" t="s">
        <v>295</v>
      </c>
      <c r="D240" s="2" t="s">
        <v>431</v>
      </c>
      <c r="E240" s="6">
        <v>2200</v>
      </c>
      <c r="F240" s="18">
        <v>71681</v>
      </c>
      <c r="G240" s="18">
        <v>44765</v>
      </c>
      <c r="H240" s="18">
        <f>58300+188</f>
        <v>58488</v>
      </c>
      <c r="I240" s="18">
        <v>7810</v>
      </c>
      <c r="J240" s="18">
        <v>25265</v>
      </c>
      <c r="K240" s="18"/>
      <c r="L240" s="13">
        <f t="shared" si="4"/>
        <v>208009</v>
      </c>
      <c r="M240" s="8"/>
      <c r="N240" s="165"/>
    </row>
    <row r="241" spans="1:14" s="3" customFormat="1" ht="12.2" customHeight="1" x14ac:dyDescent="0.15">
      <c r="A241" s="1" t="s">
        <v>444</v>
      </c>
      <c r="B241" s="2" t="s">
        <v>350</v>
      </c>
      <c r="C241" s="2" t="s">
        <v>296</v>
      </c>
      <c r="D241" s="2" t="s">
        <v>431</v>
      </c>
      <c r="E241" s="6">
        <v>2300</v>
      </c>
      <c r="F241" s="18">
        <v>1859</v>
      </c>
      <c r="G241" s="18">
        <v>143</v>
      </c>
      <c r="H241" s="18">
        <f>237991+8567</f>
        <v>246558</v>
      </c>
      <c r="I241" s="18">
        <v>2126</v>
      </c>
      <c r="J241" s="18"/>
      <c r="K241" s="18">
        <v>3561</v>
      </c>
      <c r="L241" s="13">
        <f t="shared" si="4"/>
        <v>254247</v>
      </c>
      <c r="M241" s="8"/>
      <c r="N241" s="165"/>
    </row>
    <row r="242" spans="1:14" s="3" customFormat="1" ht="12.2" customHeight="1" x14ac:dyDescent="0.15">
      <c r="A242" s="1" t="s">
        <v>445</v>
      </c>
      <c r="B242" s="2" t="s">
        <v>350</v>
      </c>
      <c r="C242" s="2" t="s">
        <v>297</v>
      </c>
      <c r="D242" s="2" t="s">
        <v>431</v>
      </c>
      <c r="E242" s="6">
        <v>2400</v>
      </c>
      <c r="F242" s="18">
        <v>265385</v>
      </c>
      <c r="G242" s="18">
        <v>110662</v>
      </c>
      <c r="H242" s="18">
        <f>600+1630+15145</f>
        <v>17375</v>
      </c>
      <c r="I242" s="18">
        <v>6569</v>
      </c>
      <c r="J242" s="18"/>
      <c r="K242" s="18">
        <v>6854</v>
      </c>
      <c r="L242" s="13">
        <f t="shared" si="4"/>
        <v>406845</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95051</v>
      </c>
      <c r="G244" s="18">
        <v>35396</v>
      </c>
      <c r="H244" s="18">
        <f>25628+161630+4128</f>
        <v>191386</v>
      </c>
      <c r="I244" s="18">
        <v>126912</v>
      </c>
      <c r="J244" s="18">
        <v>62519</v>
      </c>
      <c r="K244" s="18">
        <v>1250</v>
      </c>
      <c r="L244" s="13">
        <f t="shared" si="4"/>
        <v>512514</v>
      </c>
      <c r="M244" s="8"/>
      <c r="N244" s="165"/>
    </row>
    <row r="245" spans="1:14" s="3" customFormat="1" ht="12.2" customHeight="1" x14ac:dyDescent="0.15">
      <c r="A245" s="1" t="s">
        <v>448</v>
      </c>
      <c r="B245" s="2" t="s">
        <v>350</v>
      </c>
      <c r="C245" s="2" t="s">
        <v>300</v>
      </c>
      <c r="D245" s="2" t="s">
        <v>431</v>
      </c>
      <c r="E245" s="6">
        <v>2700</v>
      </c>
      <c r="F245" s="18">
        <v>9441</v>
      </c>
      <c r="G245" s="18">
        <v>5217</v>
      </c>
      <c r="H245" s="18">
        <f>718+207612</f>
        <v>208330</v>
      </c>
      <c r="I245" s="18">
        <v>1708</v>
      </c>
      <c r="J245" s="18"/>
      <c r="K245" s="18"/>
      <c r="L245" s="13">
        <f t="shared" si="4"/>
        <v>224696</v>
      </c>
      <c r="M245" s="8"/>
      <c r="N245" s="165"/>
    </row>
    <row r="246" spans="1:14" s="3" customFormat="1" ht="12.2" customHeight="1" x14ac:dyDescent="0.15">
      <c r="A246" s="1" t="s">
        <v>449</v>
      </c>
      <c r="B246" s="2" t="s">
        <v>350</v>
      </c>
      <c r="C246" s="2" t="s">
        <v>343</v>
      </c>
      <c r="D246" s="2" t="s">
        <v>431</v>
      </c>
      <c r="E246" s="6">
        <v>2800</v>
      </c>
      <c r="F246" s="18"/>
      <c r="G246" s="18"/>
      <c r="H246" s="18">
        <v>5378</v>
      </c>
      <c r="I246" s="18"/>
      <c r="J246" s="18">
        <v>819</v>
      </c>
      <c r="K246" s="18"/>
      <c r="L246" s="13">
        <f>SUM(F246:K246)</f>
        <v>6197</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2322669</v>
      </c>
      <c r="G248" s="38">
        <f t="shared" si="5"/>
        <v>1155479</v>
      </c>
      <c r="H248" s="38">
        <f t="shared" si="5"/>
        <v>1505975</v>
      </c>
      <c r="I248" s="38">
        <f t="shared" si="5"/>
        <v>267000</v>
      </c>
      <c r="J248" s="38">
        <f t="shared" si="5"/>
        <v>106023</v>
      </c>
      <c r="K248" s="38">
        <f t="shared" si="5"/>
        <v>27646</v>
      </c>
      <c r="L248" s="38">
        <f t="shared" si="5"/>
        <v>5384792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v>10809</v>
      </c>
      <c r="G254" s="18">
        <v>865</v>
      </c>
      <c r="H254" s="18">
        <v>686</v>
      </c>
      <c r="I254" s="18">
        <v>578</v>
      </c>
      <c r="J254" s="18"/>
      <c r="K254" s="18"/>
      <c r="L254" s="13">
        <f t="shared" si="6"/>
        <v>12938</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10809</v>
      </c>
      <c r="G257" s="38">
        <f t="shared" si="7"/>
        <v>865</v>
      </c>
      <c r="H257" s="38">
        <f t="shared" si="7"/>
        <v>686</v>
      </c>
      <c r="I257" s="38">
        <f t="shared" si="7"/>
        <v>578</v>
      </c>
      <c r="J257" s="38">
        <f t="shared" si="7"/>
        <v>0</v>
      </c>
      <c r="K257" s="38">
        <f t="shared" si="7"/>
        <v>0</v>
      </c>
      <c r="L257" s="38">
        <f>SUM(F257:K257)</f>
        <v>12938</v>
      </c>
      <c r="M257" s="8"/>
      <c r="N257" s="165"/>
    </row>
    <row r="258" spans="1:14" s="3" customFormat="1" ht="12.2" customHeight="1" thickTop="1" x14ac:dyDescent="0.15">
      <c r="A258" s="35" t="s">
        <v>462</v>
      </c>
      <c r="B258" s="37">
        <v>10</v>
      </c>
      <c r="C258" s="37">
        <v>8</v>
      </c>
      <c r="D258" s="36" t="s">
        <v>431</v>
      </c>
      <c r="E258" s="37"/>
      <c r="F258" s="38">
        <f t="shared" ref="F258:L258" si="8">F212+F230+F248+F257</f>
        <v>6196248</v>
      </c>
      <c r="G258" s="38">
        <f t="shared" si="8"/>
        <v>3222784</v>
      </c>
      <c r="H258" s="38">
        <f t="shared" si="8"/>
        <v>3458426</v>
      </c>
      <c r="I258" s="38">
        <f t="shared" si="8"/>
        <v>688143</v>
      </c>
      <c r="J258" s="38">
        <f t="shared" si="8"/>
        <v>176895</v>
      </c>
      <c r="K258" s="38">
        <f t="shared" si="8"/>
        <v>39653</v>
      </c>
      <c r="L258" s="38">
        <f t="shared" si="8"/>
        <v>13782149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237000</v>
      </c>
      <c r="L261" s="13">
        <f>SUM(F261:K261)</f>
        <v>237000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127686</v>
      </c>
      <c r="L262" s="13">
        <f>SUM(F262:K262)</f>
        <v>127686</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94270</v>
      </c>
      <c r="L264" s="13">
        <f>SUM(F264:K264)</f>
        <v>94270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120000</v>
      </c>
      <c r="L267" s="13">
        <f t="shared" si="9"/>
        <v>120000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20160</v>
      </c>
      <c r="L269" s="13">
        <f t="shared" si="9"/>
        <v>20160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599116</v>
      </c>
      <c r="L271" s="38">
        <f t="shared" si="9"/>
        <v>599116</v>
      </c>
      <c r="M271" s="8"/>
      <c r="N271" s="165"/>
    </row>
    <row r="272" spans="1:14" s="33" customFormat="1" ht="12.2" customHeight="1" thickTop="1" x14ac:dyDescent="0.2">
      <c r="A272" s="40" t="s">
        <v>464</v>
      </c>
      <c r="B272" s="37">
        <v>10</v>
      </c>
      <c r="C272" s="37">
        <v>18</v>
      </c>
      <c r="D272" s="36" t="s">
        <v>431</v>
      </c>
      <c r="E272" s="37"/>
      <c r="F272" s="39">
        <f t="shared" ref="F272:L272" si="11">F258+F271</f>
        <v>6196248</v>
      </c>
      <c r="G272" s="39">
        <f t="shared" si="11"/>
        <v>3222784</v>
      </c>
      <c r="H272" s="39">
        <f t="shared" si="11"/>
        <v>3458426</v>
      </c>
      <c r="I272" s="39">
        <f t="shared" si="11"/>
        <v>688143</v>
      </c>
      <c r="J272" s="39">
        <f t="shared" si="11"/>
        <v>176895</v>
      </c>
      <c r="K272" s="39">
        <f t="shared" si="11"/>
        <v>638769</v>
      </c>
      <c r="L272" s="39">
        <f t="shared" si="11"/>
        <v>14381265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131143</v>
      </c>
      <c r="G277" s="18">
        <v>70900</v>
      </c>
      <c r="H277" s="18"/>
      <c r="I277" s="18">
        <v>3696</v>
      </c>
      <c r="J277" s="18"/>
      <c r="K277" s="18"/>
      <c r="L277" s="13">
        <f>SUM(F277:K277)</f>
        <v>205739</v>
      </c>
      <c r="M277" s="8"/>
      <c r="N277" s="165"/>
    </row>
    <row r="278" spans="1:14" s="3" customFormat="1" ht="12.2" customHeight="1" x14ac:dyDescent="0.15">
      <c r="A278" s="1" t="s">
        <v>439</v>
      </c>
      <c r="B278" s="2" t="s">
        <v>357</v>
      </c>
      <c r="C278" s="2" t="s">
        <v>291</v>
      </c>
      <c r="D278" s="2" t="s">
        <v>431</v>
      </c>
      <c r="E278" s="6">
        <v>1200</v>
      </c>
      <c r="F278" s="18">
        <f>135+83254</f>
        <v>83389</v>
      </c>
      <c r="G278" s="18">
        <f>10+60295</f>
        <v>60305</v>
      </c>
      <c r="H278" s="18"/>
      <c r="I278" s="18">
        <f>2250+2032+6691</f>
        <v>10973</v>
      </c>
      <c r="J278" s="18">
        <v>34826</v>
      </c>
      <c r="K278" s="18"/>
      <c r="L278" s="13">
        <f>SUM(F278:K278)</f>
        <v>189493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16355</v>
      </c>
      <c r="G280" s="18">
        <v>3689</v>
      </c>
      <c r="H280" s="18"/>
      <c r="I280" s="18">
        <v>1710</v>
      </c>
      <c r="J280" s="18"/>
      <c r="K280" s="18"/>
      <c r="L280" s="13">
        <f>SUM(F280:K280)</f>
        <v>21754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68132</f>
        <v>68132</v>
      </c>
      <c r="G282" s="18">
        <f>40305</f>
        <v>40305</v>
      </c>
      <c r="H282" s="18">
        <f>54257+13606+80</f>
        <v>67943</v>
      </c>
      <c r="I282" s="18"/>
      <c r="J282" s="18"/>
      <c r="K282" s="18"/>
      <c r="L282" s="13">
        <f t="shared" ref="L282:L288" si="12">SUM(F282:K282)</f>
        <v>176380</v>
      </c>
      <c r="M282" s="8"/>
      <c r="N282" s="165"/>
    </row>
    <row r="283" spans="1:14" s="3" customFormat="1" ht="12.2" customHeight="1" x14ac:dyDescent="0.15">
      <c r="A283" s="1" t="s">
        <v>443</v>
      </c>
      <c r="B283" s="2" t="s">
        <v>357</v>
      </c>
      <c r="C283" s="2" t="s">
        <v>295</v>
      </c>
      <c r="D283" s="2" t="s">
        <v>431</v>
      </c>
      <c r="E283" s="6">
        <v>2200</v>
      </c>
      <c r="F283" s="18">
        <v>2000</v>
      </c>
      <c r="G283" s="18">
        <v>485</v>
      </c>
      <c r="H283" s="18">
        <f>18565+10209+2232</f>
        <v>31006</v>
      </c>
      <c r="I283" s="18">
        <f>1000+36889</f>
        <v>37889</v>
      </c>
      <c r="J283" s="18">
        <v>11640</v>
      </c>
      <c r="K283" s="18"/>
      <c r="L283" s="13">
        <f t="shared" si="12"/>
        <v>83020</v>
      </c>
      <c r="M283" s="8"/>
      <c r="N283" s="165"/>
    </row>
    <row r="284" spans="1:14" s="3" customFormat="1" ht="12.2" customHeight="1" x14ac:dyDescent="0.15">
      <c r="A284" s="1" t="s">
        <v>444</v>
      </c>
      <c r="B284" s="2" t="s">
        <v>357</v>
      </c>
      <c r="C284" s="2" t="s">
        <v>296</v>
      </c>
      <c r="D284" s="2" t="s">
        <v>431</v>
      </c>
      <c r="E284" s="6">
        <v>2300</v>
      </c>
      <c r="F284" s="18">
        <v>5027</v>
      </c>
      <c r="G284" s="18"/>
      <c r="H284" s="18"/>
      <c r="I284" s="18"/>
      <c r="J284" s="18"/>
      <c r="K284" s="18"/>
      <c r="L284" s="13">
        <f t="shared" si="12"/>
        <v>5027</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306046</v>
      </c>
      <c r="G291" s="39">
        <f t="shared" si="13"/>
        <v>175684</v>
      </c>
      <c r="H291" s="39">
        <f t="shared" si="13"/>
        <v>98949</v>
      </c>
      <c r="I291" s="39">
        <f t="shared" si="13"/>
        <v>54268</v>
      </c>
      <c r="J291" s="39">
        <f t="shared" si="13"/>
        <v>46466</v>
      </c>
      <c r="K291" s="39">
        <f t="shared" si="13"/>
        <v>0</v>
      </c>
      <c r="L291" s="38">
        <f t="shared" si="13"/>
        <v>681413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41355</v>
      </c>
      <c r="G296" s="18">
        <v>20014</v>
      </c>
      <c r="H296" s="18"/>
      <c r="I296" s="18"/>
      <c r="J296" s="18"/>
      <c r="K296" s="18"/>
      <c r="L296" s="13">
        <f>SUM(F296:K296)</f>
        <v>61369</v>
      </c>
      <c r="M296" s="8"/>
      <c r="N296" s="165"/>
    </row>
    <row r="297" spans="1:14" s="3" customFormat="1" ht="12.2" customHeight="1" x14ac:dyDescent="0.15">
      <c r="A297" s="1" t="s">
        <v>439</v>
      </c>
      <c r="B297" s="2" t="s">
        <v>358</v>
      </c>
      <c r="C297" s="2" t="s">
        <v>291</v>
      </c>
      <c r="D297" s="2" t="s">
        <v>431</v>
      </c>
      <c r="E297" s="6">
        <v>1200</v>
      </c>
      <c r="F297" s="18">
        <v>50870</v>
      </c>
      <c r="G297" s="18">
        <v>14913</v>
      </c>
      <c r="H297" s="18"/>
      <c r="I297" s="18"/>
      <c r="J297" s="18"/>
      <c r="K297" s="18"/>
      <c r="L297" s="13">
        <f>SUM(F297:K297)</f>
        <v>65783</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16381</v>
      </c>
      <c r="G299" s="18">
        <v>4402</v>
      </c>
      <c r="H299" s="18">
        <f>1400</f>
        <v>1400</v>
      </c>
      <c r="I299" s="18"/>
      <c r="J299" s="18"/>
      <c r="K299" s="18"/>
      <c r="L299" s="13">
        <f>SUM(F299:K299)</f>
        <v>22183</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63105</v>
      </c>
      <c r="G301" s="18">
        <v>20498</v>
      </c>
      <c r="H301" s="18"/>
      <c r="I301" s="18"/>
      <c r="J301" s="18"/>
      <c r="K301" s="18"/>
      <c r="L301" s="13">
        <f t="shared" ref="L301:L307" si="14">SUM(F301:K301)</f>
        <v>83603</v>
      </c>
      <c r="M301" s="8"/>
      <c r="N301" s="165"/>
    </row>
    <row r="302" spans="1:14" s="3" customFormat="1" ht="12.2" customHeight="1" x14ac:dyDescent="0.15">
      <c r="A302" s="1" t="s">
        <v>443</v>
      </c>
      <c r="B302" s="2" t="s">
        <v>358</v>
      </c>
      <c r="C302" s="2" t="s">
        <v>295</v>
      </c>
      <c r="D302" s="2" t="s">
        <v>431</v>
      </c>
      <c r="E302" s="6">
        <v>2200</v>
      </c>
      <c r="F302" s="18">
        <v>2800</v>
      </c>
      <c r="G302" s="18">
        <v>793</v>
      </c>
      <c r="H302" s="18">
        <v>11133</v>
      </c>
      <c r="I302" s="18"/>
      <c r="J302" s="18"/>
      <c r="K302" s="18"/>
      <c r="L302" s="13">
        <f t="shared" si="14"/>
        <v>14726</v>
      </c>
      <c r="M302" s="8"/>
      <c r="N302" s="165"/>
    </row>
    <row r="303" spans="1:14" s="3" customFormat="1" ht="12.2" customHeight="1" x14ac:dyDescent="0.15">
      <c r="A303" s="1" t="s">
        <v>444</v>
      </c>
      <c r="B303" s="2" t="s">
        <v>358</v>
      </c>
      <c r="C303" s="2" t="s">
        <v>296</v>
      </c>
      <c r="D303" s="2" t="s">
        <v>431</v>
      </c>
      <c r="E303" s="6">
        <v>2300</v>
      </c>
      <c r="F303" s="18">
        <v>615</v>
      </c>
      <c r="G303" s="18"/>
      <c r="H303" s="18"/>
      <c r="I303" s="18"/>
      <c r="J303" s="18"/>
      <c r="K303" s="18"/>
      <c r="L303" s="13">
        <f t="shared" si="14"/>
        <v>615</v>
      </c>
      <c r="M303" s="8"/>
      <c r="N303" s="165"/>
    </row>
    <row r="304" spans="1:14" s="3" customFormat="1" ht="12.2" customHeight="1" x14ac:dyDescent="0.15">
      <c r="A304" s="1" t="s">
        <v>445</v>
      </c>
      <c r="B304" s="2" t="s">
        <v>358</v>
      </c>
      <c r="C304" s="2" t="s">
        <v>297</v>
      </c>
      <c r="D304" s="2" t="s">
        <v>431</v>
      </c>
      <c r="E304" s="6">
        <v>2400</v>
      </c>
      <c r="F304" s="18">
        <v>32292</v>
      </c>
      <c r="G304" s="18">
        <v>25003</v>
      </c>
      <c r="H304" s="18"/>
      <c r="I304" s="18"/>
      <c r="J304" s="18"/>
      <c r="K304" s="18"/>
      <c r="L304" s="13">
        <f t="shared" si="14"/>
        <v>57295</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v>4180</v>
      </c>
      <c r="I307" s="18"/>
      <c r="J307" s="18"/>
      <c r="K307" s="18"/>
      <c r="L307" s="13">
        <f t="shared" si="14"/>
        <v>4180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207418</v>
      </c>
      <c r="G310" s="39">
        <f t="shared" si="15"/>
        <v>85623</v>
      </c>
      <c r="H310" s="39">
        <f t="shared" si="15"/>
        <v>16713</v>
      </c>
      <c r="I310" s="39">
        <f t="shared" si="15"/>
        <v>0</v>
      </c>
      <c r="J310" s="39">
        <f t="shared" si="15"/>
        <v>0</v>
      </c>
      <c r="K310" s="39">
        <f t="shared" si="15"/>
        <v>0</v>
      </c>
      <c r="L310" s="38">
        <f t="shared" si="15"/>
        <v>309754</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5106</v>
      </c>
      <c r="G318" s="18">
        <v>1022</v>
      </c>
      <c r="H318" s="18"/>
      <c r="I318" s="18">
        <v>280</v>
      </c>
      <c r="J318" s="18"/>
      <c r="K318" s="18">
        <v>1000</v>
      </c>
      <c r="L318" s="13">
        <f>SUM(F318:K318)</f>
        <v>7408</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57061</v>
      </c>
      <c r="G320" s="18">
        <v>22829</v>
      </c>
      <c r="H320" s="18"/>
      <c r="I320" s="18">
        <v>7718</v>
      </c>
      <c r="J320" s="18"/>
      <c r="K320" s="18"/>
      <c r="L320" s="13">
        <f t="shared" ref="L320:L326" si="16">SUM(F320:K320)</f>
        <v>87608</v>
      </c>
      <c r="M320" s="8"/>
      <c r="N320" s="165"/>
    </row>
    <row r="321" spans="1:14" s="3" customFormat="1" ht="12.2" customHeight="1" x14ac:dyDescent="0.15">
      <c r="A321" s="1" t="s">
        <v>443</v>
      </c>
      <c r="B321" s="2" t="s">
        <v>359</v>
      </c>
      <c r="C321" s="2" t="s">
        <v>295</v>
      </c>
      <c r="D321" s="2" t="s">
        <v>431</v>
      </c>
      <c r="E321" s="6">
        <v>2200</v>
      </c>
      <c r="F321" s="18"/>
      <c r="G321" s="18"/>
      <c r="H321" s="18">
        <v>10682</v>
      </c>
      <c r="I321" s="18"/>
      <c r="J321" s="18">
        <v>21655</v>
      </c>
      <c r="K321" s="18"/>
      <c r="L321" s="13">
        <f t="shared" si="16"/>
        <v>32337</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v>123074</v>
      </c>
      <c r="K325" s="18"/>
      <c r="L325" s="13">
        <f t="shared" si="16"/>
        <v>123074</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62167</v>
      </c>
      <c r="G329" s="39">
        <f t="shared" si="17"/>
        <v>23851</v>
      </c>
      <c r="H329" s="39">
        <f t="shared" si="17"/>
        <v>10682</v>
      </c>
      <c r="I329" s="39">
        <f t="shared" si="17"/>
        <v>7998</v>
      </c>
      <c r="J329" s="39">
        <f t="shared" si="17"/>
        <v>144729</v>
      </c>
      <c r="K329" s="39">
        <f t="shared" si="17"/>
        <v>1000</v>
      </c>
      <c r="L329" s="38">
        <f t="shared" si="17"/>
        <v>250427</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575631</v>
      </c>
      <c r="G339" s="38">
        <f t="shared" si="20"/>
        <v>285158</v>
      </c>
      <c r="H339" s="38">
        <f t="shared" si="20"/>
        <v>126344</v>
      </c>
      <c r="I339" s="38">
        <f t="shared" si="20"/>
        <v>62266</v>
      </c>
      <c r="J339" s="38">
        <f t="shared" si="20"/>
        <v>191195</v>
      </c>
      <c r="K339" s="38">
        <f t="shared" si="20"/>
        <v>1000</v>
      </c>
      <c r="L339" s="38">
        <f t="shared" si="20"/>
        <v>1241594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575631</v>
      </c>
      <c r="G353" s="38">
        <f>G339</f>
        <v>285158</v>
      </c>
      <c r="H353" s="38">
        <f>H339</f>
        <v>126344</v>
      </c>
      <c r="I353" s="38">
        <f>I339</f>
        <v>62266</v>
      </c>
      <c r="J353" s="38">
        <f>J339</f>
        <v>191195</v>
      </c>
      <c r="K353" s="38">
        <f>K339+K352</f>
        <v>1000</v>
      </c>
      <c r="L353" s="38">
        <f>L339+L352</f>
        <v>1241594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122489</v>
      </c>
      <c r="I359" s="18"/>
      <c r="J359" s="18"/>
      <c r="K359" s="18"/>
      <c r="L359" s="13">
        <f>SUM(F359:K359)</f>
        <v>122489</v>
      </c>
      <c r="M359" s="8"/>
      <c r="N359" s="165"/>
    </row>
    <row r="360" spans="1:22" s="3" customFormat="1" ht="12.2" customHeight="1" x14ac:dyDescent="0.15">
      <c r="A360" s="1" t="s">
        <v>542</v>
      </c>
      <c r="B360" s="2" t="s">
        <v>366</v>
      </c>
      <c r="C360" s="6">
        <v>2</v>
      </c>
      <c r="D360" s="2" t="s">
        <v>431</v>
      </c>
      <c r="E360" s="6"/>
      <c r="F360" s="18"/>
      <c r="G360" s="18"/>
      <c r="H360" s="18">
        <v>123015</v>
      </c>
      <c r="I360" s="18">
        <v>115</v>
      </c>
      <c r="J360" s="18"/>
      <c r="K360" s="18"/>
      <c r="L360" s="13">
        <f>SUM(F360:K360)</f>
        <v>123130</v>
      </c>
      <c r="M360" s="8"/>
      <c r="N360" s="165"/>
    </row>
    <row r="361" spans="1:22" s="3" customFormat="1" ht="12.2" customHeight="1" x14ac:dyDescent="0.15">
      <c r="A361" s="3" t="s">
        <v>543</v>
      </c>
      <c r="B361" s="2" t="s">
        <v>366</v>
      </c>
      <c r="C361" s="6">
        <v>3</v>
      </c>
      <c r="D361" s="2" t="s">
        <v>431</v>
      </c>
      <c r="E361" s="6"/>
      <c r="F361" s="18"/>
      <c r="G361" s="18"/>
      <c r="H361" s="18">
        <v>95548</v>
      </c>
      <c r="I361" s="18"/>
      <c r="J361" s="18"/>
      <c r="K361" s="18"/>
      <c r="L361" s="13">
        <f>SUM(F361:K361)</f>
        <v>95548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341052</v>
      </c>
      <c r="I363" s="38">
        <f t="shared" si="22"/>
        <v>115</v>
      </c>
      <c r="J363" s="38">
        <f t="shared" si="22"/>
        <v>0</v>
      </c>
      <c r="K363" s="38">
        <f t="shared" si="22"/>
        <v>0</v>
      </c>
      <c r="L363" s="38">
        <f t="shared" si="22"/>
        <v>341167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v>115</v>
      </c>
      <c r="H369" s="53"/>
      <c r="I369" s="13">
        <f>SUM(F369:H369)</f>
        <v>115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115</v>
      </c>
      <c r="H370" s="38">
        <f>SUM(H368:H369)</f>
        <v>0</v>
      </c>
      <c r="I370" s="38">
        <f>SUM(I368:I369)</f>
        <v>115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v>5000</v>
      </c>
      <c r="H393" s="18">
        <f>263+351-1</f>
        <v>613</v>
      </c>
      <c r="I393" s="18"/>
      <c r="J393" s="23" t="s">
        <v>288</v>
      </c>
      <c r="K393" s="23" t="s">
        <v>288</v>
      </c>
      <c r="L393" s="13">
        <f t="shared" si="25"/>
        <v>5613</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5000</v>
      </c>
      <c r="H394" s="97">
        <f>SUM(H388:H393)</f>
        <v>613</v>
      </c>
      <c r="I394" s="54">
        <f>SUM(I388:I393)</f>
        <v>0</v>
      </c>
      <c r="J394" s="42" t="s">
        <v>288</v>
      </c>
      <c r="K394" s="42" t="s">
        <v>288</v>
      </c>
      <c r="L394" s="38">
        <f>SUM(L388:L393)</f>
        <v>5613</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50000</v>
      </c>
      <c r="H397" s="18">
        <v>2885</v>
      </c>
      <c r="I397" s="18"/>
      <c r="J397" s="23" t="s">
        <v>288</v>
      </c>
      <c r="K397" s="23" t="s">
        <v>288</v>
      </c>
      <c r="L397" s="13">
        <f t="shared" si="26"/>
        <v>52885</v>
      </c>
      <c r="M397" s="8"/>
      <c r="N397" s="165"/>
    </row>
    <row r="398" spans="1:14" s="3" customFormat="1" ht="12.2" customHeight="1" x14ac:dyDescent="0.15">
      <c r="A398" s="62" t="s">
        <v>515</v>
      </c>
      <c r="B398" s="2" t="s">
        <v>381</v>
      </c>
      <c r="C398" s="6">
        <v>10</v>
      </c>
      <c r="D398" s="2" t="s">
        <v>432</v>
      </c>
      <c r="E398" s="6"/>
      <c r="F398" s="18"/>
      <c r="G398" s="18">
        <v>50000</v>
      </c>
      <c r="H398" s="18">
        <v>3391</v>
      </c>
      <c r="I398" s="18"/>
      <c r="J398" s="23" t="s">
        <v>288</v>
      </c>
      <c r="K398" s="23" t="s">
        <v>288</v>
      </c>
      <c r="L398" s="13">
        <f t="shared" si="26"/>
        <v>53391</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15000</v>
      </c>
      <c r="H401" s="18">
        <f>2067+7855</f>
        <v>9922</v>
      </c>
      <c r="I401" s="18"/>
      <c r="J401" s="23" t="s">
        <v>288</v>
      </c>
      <c r="K401" s="23" t="s">
        <v>288</v>
      </c>
      <c r="L401" s="13">
        <f t="shared" si="26"/>
        <v>24922</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115000</v>
      </c>
      <c r="H402" s="38">
        <f>SUM(H396:H401)</f>
        <v>16198</v>
      </c>
      <c r="I402" s="38">
        <f>SUM(I396:I401)</f>
        <v>0</v>
      </c>
      <c r="J402" s="42" t="s">
        <v>288</v>
      </c>
      <c r="K402" s="42" t="s">
        <v>288</v>
      </c>
      <c r="L402" s="38">
        <f>SUM(L396:L401)</f>
        <v>131198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120000</v>
      </c>
      <c r="H409" s="38">
        <f>H394+H402+H408</f>
        <v>16811</v>
      </c>
      <c r="I409" s="38">
        <f>I394+I402+I408</f>
        <v>0</v>
      </c>
      <c r="J409" s="23" t="s">
        <v>288</v>
      </c>
      <c r="K409" s="23" t="s">
        <v>288</v>
      </c>
      <c r="L409" s="38">
        <f>L394+L402+L408</f>
        <v>136811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v>20000</v>
      </c>
      <c r="I419" s="18"/>
      <c r="J419" s="18"/>
      <c r="K419" s="18"/>
      <c r="L419" s="13">
        <f t="shared" si="27"/>
        <v>20000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20000</v>
      </c>
      <c r="I420" s="97">
        <f t="shared" si="28"/>
        <v>0</v>
      </c>
      <c r="J420" s="97">
        <f t="shared" si="28"/>
        <v>0</v>
      </c>
      <c r="K420" s="97">
        <f t="shared" si="28"/>
        <v>0</v>
      </c>
      <c r="L420" s="38">
        <f t="shared" si="28"/>
        <v>20000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v>114943</v>
      </c>
      <c r="I427" s="18"/>
      <c r="J427" s="18"/>
      <c r="K427" s="18"/>
      <c r="L427" s="13">
        <f t="shared" si="29"/>
        <v>114943</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114943</v>
      </c>
      <c r="I428" s="38">
        <f t="shared" si="30"/>
        <v>0</v>
      </c>
      <c r="J428" s="38">
        <f t="shared" si="30"/>
        <v>0</v>
      </c>
      <c r="K428" s="38">
        <f t="shared" si="30"/>
        <v>0</v>
      </c>
      <c r="L428" s="38">
        <f t="shared" si="30"/>
        <v>114943</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134943</v>
      </c>
      <c r="I435" s="38">
        <f t="shared" si="32"/>
        <v>0</v>
      </c>
      <c r="J435" s="38">
        <f t="shared" si="32"/>
        <v>0</v>
      </c>
      <c r="K435" s="38">
        <f t="shared" si="32"/>
        <v>0</v>
      </c>
      <c r="L435" s="38">
        <f t="shared" si="32"/>
        <v>134943</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f>1371352-20000</f>
        <v>1351352</v>
      </c>
      <c r="H441" s="18"/>
      <c r="I441" s="13">
        <f t="shared" si="33"/>
        <v>1351352</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1351352</v>
      </c>
      <c r="H447" s="13">
        <f>SUM(H440:H446)</f>
        <v>0</v>
      </c>
      <c r="I447" s="13">
        <f>SUM(I440:I446)</f>
        <v>1351352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1351352</v>
      </c>
      <c r="H460" s="18"/>
      <c r="I460" s="13">
        <f t="shared" si="34"/>
        <v>1351352</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1351352</v>
      </c>
      <c r="H461" s="65">
        <f>SUM(H455:H460)</f>
        <v>0</v>
      </c>
      <c r="I461" s="65">
        <f>SUM(I455:I460)</f>
        <v>1351352</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1351352</v>
      </c>
      <c r="H462" s="39">
        <f>H453+H461</f>
        <v>0</v>
      </c>
      <c r="I462" s="39">
        <f>I453+I461</f>
        <v>1351352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2241907</f>
        <v>2241907</v>
      </c>
      <c r="G466" s="18">
        <v>0</v>
      </c>
      <c r="H466" s="18">
        <v>6526</v>
      </c>
      <c r="I466" s="18">
        <v>0</v>
      </c>
      <c r="J466" s="18">
        <v>1349484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13968864</v>
      </c>
      <c r="G469" s="18">
        <v>341167</v>
      </c>
      <c r="H469" s="18">
        <f>1213499+8300+20377</f>
        <v>1242176</v>
      </c>
      <c r="I469" s="18">
        <v>0</v>
      </c>
      <c r="J469" s="18">
        <v>136811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13968864</v>
      </c>
      <c r="G471" s="19">
        <f>SUM(G469:G470)</f>
        <v>341167</v>
      </c>
      <c r="H471" s="19">
        <f>SUM(H469:H470)</f>
        <v>1242176</v>
      </c>
      <c r="I471" s="19">
        <f>SUM(I469:I470)</f>
        <v>0</v>
      </c>
      <c r="J471" s="19">
        <f>SUM(J469:J470)</f>
        <v>136811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14381265</v>
      </c>
      <c r="G473" s="18">
        <v>341167</v>
      </c>
      <c r="H473" s="18">
        <f>1213499+7718+20377</f>
        <v>1241594</v>
      </c>
      <c r="I473" s="18">
        <v>0</v>
      </c>
      <c r="J473" s="18">
        <v>134943</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14381265</v>
      </c>
      <c r="G475" s="19">
        <f>SUM(G473:G474)</f>
        <v>341167</v>
      </c>
      <c r="H475" s="19">
        <f>SUM(H473:H474)</f>
        <v>1241594</v>
      </c>
      <c r="I475" s="19">
        <f>SUM(I473:I474)</f>
        <v>0</v>
      </c>
      <c r="J475" s="19">
        <f>SUM(J473:J474)</f>
        <v>134943</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1829506</v>
      </c>
      <c r="G477" s="19">
        <f>(G466+G471)- G475</f>
        <v>0</v>
      </c>
      <c r="H477" s="19">
        <f>(H466+H471)- H475</f>
        <v>7108</v>
      </c>
      <c r="I477" s="19">
        <f>(I466+I471)- I475</f>
        <v>0</v>
      </c>
      <c r="J477" s="19">
        <f>(J466+J471)- J475</f>
        <v>1351352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14</v>
      </c>
      <c r="G491" s="111">
        <v>20</v>
      </c>
      <c r="H491" s="101"/>
      <c r="I491" s="111"/>
      <c r="J491" s="111"/>
      <c r="K491" s="23" t="s">
        <v>288</v>
      </c>
      <c r="L491" s="23" t="s">
        <v>288</v>
      </c>
      <c r="N491" s="131"/>
    </row>
    <row r="492" spans="1:14" ht="12.2" customHeight="1" x14ac:dyDescent="0.2">
      <c r="A492" s="21" t="s">
        <v>615</v>
      </c>
      <c r="B492" s="22">
        <v>20</v>
      </c>
      <c r="C492" s="22">
        <v>2</v>
      </c>
      <c r="D492" s="2" t="s">
        <v>432</v>
      </c>
      <c r="E492" s="22"/>
      <c r="F492" s="112" t="s">
        <v>1812</v>
      </c>
      <c r="G492" s="314" t="s">
        <v>1813</v>
      </c>
      <c r="H492" s="101"/>
      <c r="I492" s="111"/>
      <c r="J492" s="111"/>
      <c r="K492" s="23" t="s">
        <v>288</v>
      </c>
      <c r="L492" s="23" t="s">
        <v>288</v>
      </c>
      <c r="N492" s="131"/>
    </row>
    <row r="493" spans="1:14" ht="12.2" customHeight="1" x14ac:dyDescent="0.2">
      <c r="A493" s="21" t="s">
        <v>616</v>
      </c>
      <c r="B493" s="22">
        <v>20</v>
      </c>
      <c r="C493" s="22">
        <v>3</v>
      </c>
      <c r="D493" s="2" t="s">
        <v>432</v>
      </c>
      <c r="E493" s="22"/>
      <c r="F493" s="112" t="s">
        <v>1814</v>
      </c>
      <c r="G493" s="314" t="s">
        <v>1815</v>
      </c>
      <c r="H493" s="101"/>
      <c r="I493" s="111"/>
      <c r="J493" s="111"/>
      <c r="K493" s="23" t="s">
        <v>288</v>
      </c>
      <c r="L493" s="23" t="s">
        <v>288</v>
      </c>
      <c r="N493" s="131"/>
    </row>
    <row r="494" spans="1:14" ht="12.2" customHeight="1" x14ac:dyDescent="0.2">
      <c r="A494" s="21" t="s">
        <v>617</v>
      </c>
      <c r="B494" s="22">
        <v>20</v>
      </c>
      <c r="C494" s="22">
        <v>4</v>
      </c>
      <c r="D494" s="2" t="s">
        <v>432</v>
      </c>
      <c r="E494" s="22"/>
      <c r="F494" s="18">
        <v>1498000</v>
      </c>
      <c r="G494" s="18">
        <v>3541950</v>
      </c>
      <c r="H494" s="101"/>
      <c r="I494" s="18"/>
      <c r="J494" s="18"/>
      <c r="K494" s="23" t="s">
        <v>288</v>
      </c>
      <c r="L494" s="23" t="s">
        <v>288</v>
      </c>
      <c r="N494" s="131"/>
    </row>
    <row r="495" spans="1:14" ht="12.2" customHeight="1" x14ac:dyDescent="0.2">
      <c r="A495" s="21" t="s">
        <v>618</v>
      </c>
      <c r="B495" s="22">
        <v>20</v>
      </c>
      <c r="C495" s="22">
        <v>5</v>
      </c>
      <c r="D495" s="2" t="s">
        <v>432</v>
      </c>
      <c r="E495" s="22"/>
      <c r="F495" s="18">
        <v>0</v>
      </c>
      <c r="G495" s="18">
        <v>3.34</v>
      </c>
      <c r="H495" s="101"/>
      <c r="I495" s="18"/>
      <c r="J495" s="18"/>
      <c r="K495" s="23" t="s">
        <v>288</v>
      </c>
      <c r="L495" s="23" t="s">
        <v>288</v>
      </c>
      <c r="N495" s="131"/>
    </row>
    <row r="496" spans="1:14" ht="12.2" customHeight="1" x14ac:dyDescent="0.2">
      <c r="A496" s="21" t="s">
        <v>619</v>
      </c>
      <c r="B496" s="22">
        <v>20</v>
      </c>
      <c r="C496" s="22">
        <v>6</v>
      </c>
      <c r="D496" s="2" t="s">
        <v>432</v>
      </c>
      <c r="E496" s="22"/>
      <c r="F496" s="18">
        <v>107000</v>
      </c>
      <c r="G496" s="18">
        <v>3195000</v>
      </c>
      <c r="H496" s="101"/>
      <c r="I496" s="18"/>
      <c r="J496" s="18"/>
      <c r="K496" s="19">
        <f>SUM(F496:J496)</f>
        <v>3302000</v>
      </c>
      <c r="L496" s="23" t="s">
        <v>288</v>
      </c>
      <c r="N496" s="131"/>
    </row>
    <row r="497" spans="1:14" ht="12.2" customHeight="1" x14ac:dyDescent="0.2">
      <c r="A497" s="21" t="s">
        <v>620</v>
      </c>
      <c r="B497" s="22">
        <v>20</v>
      </c>
      <c r="C497" s="22">
        <v>7</v>
      </c>
      <c r="D497" s="2" t="s">
        <v>432</v>
      </c>
      <c r="E497" s="22"/>
      <c r="F497" s="18"/>
      <c r="G497" s="18"/>
      <c r="H497" s="101"/>
      <c r="I497" s="18"/>
      <c r="J497" s="18"/>
      <c r="K497" s="19">
        <f>SUM(F497:J497)</f>
        <v>0</v>
      </c>
      <c r="L497" s="23" t="s">
        <v>288</v>
      </c>
      <c r="N497" s="131"/>
    </row>
    <row r="498" spans="1:14" ht="12.2" customHeight="1" x14ac:dyDescent="0.2">
      <c r="A498" s="21" t="s">
        <v>621</v>
      </c>
      <c r="B498" s="22">
        <v>20</v>
      </c>
      <c r="C498" s="22">
        <v>8</v>
      </c>
      <c r="D498" s="2" t="s">
        <v>432</v>
      </c>
      <c r="E498" s="22"/>
      <c r="F498" s="18">
        <v>107000</v>
      </c>
      <c r="G498" s="18">
        <v>130000</v>
      </c>
      <c r="H498" s="101"/>
      <c r="I498" s="18"/>
      <c r="J498" s="18"/>
      <c r="K498" s="19">
        <f>SUM(F498:J498)</f>
        <v>237000</v>
      </c>
      <c r="L498" s="23" t="s">
        <v>288</v>
      </c>
      <c r="N498" s="131"/>
    </row>
    <row r="499" spans="1:14" ht="12.2" customHeight="1" x14ac:dyDescent="0.2">
      <c r="A499" s="144" t="s">
        <v>622</v>
      </c>
      <c r="B499" s="145">
        <v>20</v>
      </c>
      <c r="C499" s="145">
        <v>9</v>
      </c>
      <c r="D499" s="146" t="s">
        <v>432</v>
      </c>
      <c r="E499" s="145"/>
      <c r="F499" s="147">
        <f>F496-F498</f>
        <v>0</v>
      </c>
      <c r="G499" s="147">
        <f>G496-G498</f>
        <v>3065000</v>
      </c>
      <c r="H499" s="147"/>
      <c r="I499" s="147"/>
      <c r="J499" s="147"/>
      <c r="K499" s="148">
        <f t="shared" ref="K499:K504" si="35">SUM(F499:J499)</f>
        <v>3065000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3065000</v>
      </c>
      <c r="H501" s="39">
        <f>SUM(H499:H500)</f>
        <v>0</v>
      </c>
      <c r="I501" s="39">
        <f>SUM(I499:I500)</f>
        <v>0</v>
      </c>
      <c r="J501" s="39">
        <f>SUM(J499:J500)</f>
        <v>0</v>
      </c>
      <c r="K501" s="39">
        <f t="shared" si="35"/>
        <v>3065000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83254+437917</f>
        <v>521171</v>
      </c>
      <c r="G522" s="18">
        <f>60295+221436</f>
        <v>281731</v>
      </c>
      <c r="H522" s="18">
        <f>6714</f>
        <v>6714</v>
      </c>
      <c r="I522" s="18">
        <f>2032+2250</f>
        <v>4282</v>
      </c>
      <c r="J522" s="18">
        <f>34826+826</f>
        <v>35652</v>
      </c>
      <c r="K522" s="18"/>
      <c r="L522" s="69">
        <f>SUM(F522:K522)</f>
        <v>849550</v>
      </c>
      <c r="N522" s="131"/>
    </row>
    <row r="523" spans="1:14" ht="12.2" customHeight="1" x14ac:dyDescent="0.2">
      <c r="A523" s="21" t="s">
        <v>634</v>
      </c>
      <c r="B523" s="22">
        <v>21</v>
      </c>
      <c r="C523" s="22">
        <v>2</v>
      </c>
      <c r="D523" s="2" t="s">
        <v>432</v>
      </c>
      <c r="E523" s="22"/>
      <c r="F523" s="18">
        <v>411442</v>
      </c>
      <c r="G523" s="18">
        <v>218752</v>
      </c>
      <c r="H523" s="18">
        <f>8684+92424</f>
        <v>101108</v>
      </c>
      <c r="I523" s="18">
        <v>3389</v>
      </c>
      <c r="J523" s="18"/>
      <c r="K523" s="18"/>
      <c r="L523" s="69">
        <f>SUM(F523:K523)</f>
        <v>734691</v>
      </c>
      <c r="N523" s="131"/>
    </row>
    <row r="524" spans="1:14" ht="12.2" customHeight="1" thickBot="1" x14ac:dyDescent="0.25">
      <c r="A524" s="21" t="s">
        <v>635</v>
      </c>
      <c r="B524" s="22">
        <v>21</v>
      </c>
      <c r="C524" s="22">
        <v>3</v>
      </c>
      <c r="D524" s="2" t="s">
        <v>432</v>
      </c>
      <c r="E524" s="22"/>
      <c r="F524" s="18">
        <v>451063</v>
      </c>
      <c r="G524" s="18">
        <v>232869</v>
      </c>
      <c r="H524" s="18">
        <f>36216+279157</f>
        <v>315373</v>
      </c>
      <c r="I524" s="18">
        <v>4953</v>
      </c>
      <c r="J524" s="18">
        <v>720</v>
      </c>
      <c r="K524" s="18"/>
      <c r="L524" s="69">
        <f>SUM(F524:K524)</f>
        <v>1004978</v>
      </c>
      <c r="N524" s="131"/>
    </row>
    <row r="525" spans="1:14" ht="12.2" customHeight="1" thickTop="1" x14ac:dyDescent="0.2">
      <c r="A525" s="97" t="s">
        <v>63</v>
      </c>
      <c r="B525" s="41">
        <v>21</v>
      </c>
      <c r="C525" s="41">
        <v>4</v>
      </c>
      <c r="D525" s="115" t="s">
        <v>432</v>
      </c>
      <c r="E525" s="41"/>
      <c r="F525" s="81">
        <f>SUM(F522:F524)</f>
        <v>1383676</v>
      </c>
      <c r="G525" s="81">
        <f t="shared" ref="G525:L525" si="36">SUM(G522:G524)</f>
        <v>733352</v>
      </c>
      <c r="H525" s="81">
        <f t="shared" si="36"/>
        <v>423195</v>
      </c>
      <c r="I525" s="81">
        <f t="shared" si="36"/>
        <v>12624</v>
      </c>
      <c r="J525" s="81">
        <f t="shared" si="36"/>
        <v>36372</v>
      </c>
      <c r="K525" s="81">
        <f t="shared" si="36"/>
        <v>0</v>
      </c>
      <c r="L525" s="70">
        <f t="shared" si="36"/>
        <v>2589219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68132</f>
        <v>68132</v>
      </c>
      <c r="G527" s="18">
        <v>40305</v>
      </c>
      <c r="H527" s="18">
        <f>54257+317972</f>
        <v>372229</v>
      </c>
      <c r="I527" s="18"/>
      <c r="J527" s="18"/>
      <c r="K527" s="18"/>
      <c r="L527" s="69">
        <f>SUM(F527:K527)</f>
        <v>480666</v>
      </c>
      <c r="M527" s="8"/>
      <c r="N527" s="165"/>
    </row>
    <row r="528" spans="1:14" s="3" customFormat="1" ht="12.2" customHeight="1" x14ac:dyDescent="0.15">
      <c r="A528" s="21" t="s">
        <v>634</v>
      </c>
      <c r="B528" s="22">
        <v>21</v>
      </c>
      <c r="C528" s="22">
        <v>6</v>
      </c>
      <c r="D528" s="2" t="s">
        <v>432</v>
      </c>
      <c r="E528" s="22"/>
      <c r="F528" s="18"/>
      <c r="G528" s="18"/>
      <c r="H528" s="18">
        <v>88456</v>
      </c>
      <c r="I528" s="18">
        <v>380</v>
      </c>
      <c r="J528" s="18"/>
      <c r="K528" s="18"/>
      <c r="L528" s="69">
        <f>SUM(F528:K528)</f>
        <v>88836</v>
      </c>
      <c r="M528" s="8"/>
      <c r="N528" s="165"/>
    </row>
    <row r="529" spans="1:14" s="3" customFormat="1" ht="12.2" customHeight="1" thickBot="1" x14ac:dyDescent="0.2">
      <c r="A529" s="21" t="s">
        <v>635</v>
      </c>
      <c r="B529" s="22">
        <v>21</v>
      </c>
      <c r="C529" s="22">
        <v>7</v>
      </c>
      <c r="D529" s="2" t="s">
        <v>432</v>
      </c>
      <c r="E529" s="22"/>
      <c r="F529" s="18"/>
      <c r="G529" s="18"/>
      <c r="H529" s="18">
        <v>65344</v>
      </c>
      <c r="I529" s="18"/>
      <c r="J529" s="18"/>
      <c r="K529" s="18"/>
      <c r="L529" s="69">
        <f>SUM(F529:K529)</f>
        <v>65344</v>
      </c>
      <c r="M529" s="8"/>
      <c r="N529" s="165"/>
    </row>
    <row r="530" spans="1:14" s="3" customFormat="1" ht="12.2" customHeight="1" thickTop="1" x14ac:dyDescent="0.15">
      <c r="A530" s="97" t="s">
        <v>65</v>
      </c>
      <c r="B530" s="41">
        <v>21</v>
      </c>
      <c r="C530" s="41">
        <v>8</v>
      </c>
      <c r="D530" s="115" t="s">
        <v>432</v>
      </c>
      <c r="E530" s="41"/>
      <c r="F530" s="70">
        <f>SUM(F527:F529)</f>
        <v>68132</v>
      </c>
      <c r="G530" s="70">
        <f t="shared" ref="G530:L530" si="37">SUM(G527:G529)</f>
        <v>40305</v>
      </c>
      <c r="H530" s="70">
        <f t="shared" si="37"/>
        <v>526029</v>
      </c>
      <c r="I530" s="70">
        <f t="shared" si="37"/>
        <v>380</v>
      </c>
      <c r="J530" s="70">
        <f t="shared" si="37"/>
        <v>0</v>
      </c>
      <c r="K530" s="70">
        <f t="shared" si="37"/>
        <v>0</v>
      </c>
      <c r="L530" s="70">
        <f t="shared" si="37"/>
        <v>634846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56857</v>
      </c>
      <c r="I532" s="18"/>
      <c r="J532" s="18"/>
      <c r="K532" s="18"/>
      <c r="L532" s="69">
        <f>SUM(F532:K532)</f>
        <v>56857</v>
      </c>
      <c r="M532" s="8"/>
      <c r="N532" s="165"/>
    </row>
    <row r="533" spans="1:14" s="3" customFormat="1" ht="12.2" customHeight="1" x14ac:dyDescent="0.15">
      <c r="A533" s="21" t="s">
        <v>634</v>
      </c>
      <c r="B533" s="22">
        <v>21</v>
      </c>
      <c r="C533" s="22">
        <v>10</v>
      </c>
      <c r="D533" s="2" t="s">
        <v>432</v>
      </c>
      <c r="E533" s="22"/>
      <c r="F533" s="18"/>
      <c r="G533" s="18"/>
      <c r="H533" s="18">
        <v>63964</v>
      </c>
      <c r="I533" s="18"/>
      <c r="J533" s="18"/>
      <c r="K533" s="18"/>
      <c r="L533" s="69">
        <f>SUM(F533:K533)</f>
        <v>63964</v>
      </c>
      <c r="M533" s="8"/>
      <c r="N533" s="165"/>
    </row>
    <row r="534" spans="1:14" s="3" customFormat="1" ht="12.2" customHeight="1" thickBot="1" x14ac:dyDescent="0.2">
      <c r="A534" s="21" t="s">
        <v>635</v>
      </c>
      <c r="B534" s="22">
        <v>21</v>
      </c>
      <c r="C534" s="22">
        <v>11</v>
      </c>
      <c r="D534" s="2" t="s">
        <v>432</v>
      </c>
      <c r="E534" s="22"/>
      <c r="F534" s="18"/>
      <c r="G534" s="18"/>
      <c r="H534" s="18">
        <v>56858</v>
      </c>
      <c r="I534" s="18"/>
      <c r="J534" s="18"/>
      <c r="K534" s="18"/>
      <c r="L534" s="69">
        <f>SUM(F534:K534)</f>
        <v>56858</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177679</v>
      </c>
      <c r="I535" s="70">
        <f t="shared" si="38"/>
        <v>0</v>
      </c>
      <c r="J535" s="70">
        <f t="shared" si="38"/>
        <v>0</v>
      </c>
      <c r="K535" s="70">
        <f t="shared" si="38"/>
        <v>0</v>
      </c>
      <c r="L535" s="70">
        <f t="shared" si="38"/>
        <v>177679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9976</v>
      </c>
      <c r="G542" s="18">
        <v>5655</v>
      </c>
      <c r="H542" s="18">
        <f>790+5347</f>
        <v>6137</v>
      </c>
      <c r="I542" s="18">
        <v>1900</v>
      </c>
      <c r="J542" s="18"/>
      <c r="K542" s="18"/>
      <c r="L542" s="69">
        <f>SUM(F542:K542)</f>
        <v>23668</v>
      </c>
      <c r="M542" s="8"/>
      <c r="N542" s="165"/>
    </row>
    <row r="543" spans="1:14" s="3" customFormat="1" ht="12.2" customHeight="1" x14ac:dyDescent="0.15">
      <c r="A543" s="21" t="s">
        <v>634</v>
      </c>
      <c r="B543" s="22">
        <v>21</v>
      </c>
      <c r="C543" s="22">
        <v>18</v>
      </c>
      <c r="D543" s="2" t="s">
        <v>432</v>
      </c>
      <c r="E543" s="22"/>
      <c r="F543" s="18">
        <v>11186</v>
      </c>
      <c r="G543" s="18">
        <v>6340</v>
      </c>
      <c r="H543" s="18">
        <f>885+8164</f>
        <v>9049</v>
      </c>
      <c r="I543" s="18">
        <v>2129</v>
      </c>
      <c r="J543" s="18"/>
      <c r="K543" s="18"/>
      <c r="L543" s="69">
        <f>SUM(F543:K543)</f>
        <v>28704</v>
      </c>
      <c r="M543" s="8"/>
      <c r="N543" s="165"/>
    </row>
    <row r="544" spans="1:14" s="3" customFormat="1" ht="12.2" customHeight="1" thickBot="1" x14ac:dyDescent="0.2">
      <c r="A544" s="21" t="s">
        <v>635</v>
      </c>
      <c r="B544" s="22">
        <v>21</v>
      </c>
      <c r="C544" s="22">
        <v>19</v>
      </c>
      <c r="D544" s="2" t="s">
        <v>432</v>
      </c>
      <c r="E544" s="22"/>
      <c r="F544" s="18">
        <v>9441</v>
      </c>
      <c r="G544" s="18">
        <v>5217</v>
      </c>
      <c r="H544" s="18">
        <f>718+7522</f>
        <v>8240</v>
      </c>
      <c r="I544" s="18">
        <v>1708</v>
      </c>
      <c r="J544" s="18"/>
      <c r="K544" s="18"/>
      <c r="L544" s="69">
        <f>SUM(F544:K544)</f>
        <v>24606</v>
      </c>
      <c r="M544" s="8"/>
      <c r="N544" s="165"/>
    </row>
    <row r="545" spans="1:14" s="3" customFormat="1" ht="12.2" customHeight="1" thickTop="1" thickBot="1" x14ac:dyDescent="0.2">
      <c r="A545" s="93" t="s">
        <v>71</v>
      </c>
      <c r="B545" s="63">
        <v>21</v>
      </c>
      <c r="C545" s="63">
        <v>20</v>
      </c>
      <c r="D545" s="140" t="s">
        <v>432</v>
      </c>
      <c r="E545" s="63"/>
      <c r="F545" s="141">
        <f>SUM(F542:F544)</f>
        <v>30603</v>
      </c>
      <c r="G545" s="141">
        <f t="shared" ref="G545:L545" si="40">SUM(G542:G544)</f>
        <v>17212</v>
      </c>
      <c r="H545" s="141">
        <f t="shared" si="40"/>
        <v>23426</v>
      </c>
      <c r="I545" s="141">
        <f t="shared" si="40"/>
        <v>5737</v>
      </c>
      <c r="J545" s="141">
        <f t="shared" si="40"/>
        <v>0</v>
      </c>
      <c r="K545" s="141">
        <f t="shared" si="40"/>
        <v>0</v>
      </c>
      <c r="L545" s="141">
        <f t="shared" si="40"/>
        <v>76978</v>
      </c>
      <c r="M545" s="8"/>
      <c r="N545" s="165"/>
    </row>
    <row r="546" spans="1:14" s="3" customFormat="1" ht="12.2" customHeight="1" thickTop="1" x14ac:dyDescent="0.15">
      <c r="A546" s="75" t="s">
        <v>72</v>
      </c>
      <c r="B546" s="41">
        <v>21</v>
      </c>
      <c r="C546" s="41">
        <v>21</v>
      </c>
      <c r="D546" s="115" t="s">
        <v>432</v>
      </c>
      <c r="E546" s="41"/>
      <c r="F546" s="70">
        <f>F525+F530+F535+F540+F545</f>
        <v>1482411</v>
      </c>
      <c r="G546" s="70">
        <f t="shared" ref="G546:L546" si="41">G525+G530+G535+G540+G545</f>
        <v>790869</v>
      </c>
      <c r="H546" s="70">
        <f t="shared" si="41"/>
        <v>1150329</v>
      </c>
      <c r="I546" s="70">
        <f t="shared" si="41"/>
        <v>18741</v>
      </c>
      <c r="J546" s="70">
        <f t="shared" si="41"/>
        <v>36372</v>
      </c>
      <c r="K546" s="70">
        <f t="shared" si="41"/>
        <v>0</v>
      </c>
      <c r="L546" s="70">
        <f t="shared" si="41"/>
        <v>3478722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849550</v>
      </c>
      <c r="G550" s="69">
        <f>L527</f>
        <v>480666</v>
      </c>
      <c r="H550" s="69">
        <f>L532</f>
        <v>56857</v>
      </c>
      <c r="I550" s="69">
        <f>L537</f>
        <v>0</v>
      </c>
      <c r="J550" s="69">
        <f>L542</f>
        <v>23668</v>
      </c>
      <c r="K550" s="69">
        <f>SUM(F550:J550)</f>
        <v>1410741</v>
      </c>
      <c r="L550" s="23" t="s">
        <v>288</v>
      </c>
      <c r="M550" s="8"/>
      <c r="N550" s="165"/>
    </row>
    <row r="551" spans="1:14" s="3" customFormat="1" ht="12.2" customHeight="1" x14ac:dyDescent="0.15">
      <c r="A551" s="21" t="s">
        <v>634</v>
      </c>
      <c r="B551" s="22">
        <v>21</v>
      </c>
      <c r="C551" s="22">
        <v>23</v>
      </c>
      <c r="D551" s="2" t="s">
        <v>432</v>
      </c>
      <c r="E551" s="22"/>
      <c r="F551" s="69">
        <f>L523</f>
        <v>734691</v>
      </c>
      <c r="G551" s="69">
        <f>L528</f>
        <v>88836</v>
      </c>
      <c r="H551" s="69">
        <f>L533</f>
        <v>63964</v>
      </c>
      <c r="I551" s="69">
        <f>L538</f>
        <v>0</v>
      </c>
      <c r="J551" s="69">
        <f>L543</f>
        <v>28704</v>
      </c>
      <c r="K551" s="69">
        <f>SUM(F551:J551)</f>
        <v>916195</v>
      </c>
      <c r="L551" s="23" t="s">
        <v>288</v>
      </c>
      <c r="M551" s="8"/>
      <c r="N551" s="165"/>
    </row>
    <row r="552" spans="1:14" s="3" customFormat="1" ht="12.2" customHeight="1" thickBot="1" x14ac:dyDescent="0.2">
      <c r="A552" s="21" t="s">
        <v>635</v>
      </c>
      <c r="B552" s="22">
        <v>21</v>
      </c>
      <c r="C552" s="22">
        <v>24</v>
      </c>
      <c r="D552" s="2" t="s">
        <v>432</v>
      </c>
      <c r="E552" s="22"/>
      <c r="F552" s="69">
        <f>L524</f>
        <v>1004978</v>
      </c>
      <c r="G552" s="69">
        <f>L529</f>
        <v>65344</v>
      </c>
      <c r="H552" s="69">
        <f>L534</f>
        <v>56858</v>
      </c>
      <c r="I552" s="69">
        <f>L539</f>
        <v>0</v>
      </c>
      <c r="J552" s="69">
        <f>L544</f>
        <v>24606</v>
      </c>
      <c r="K552" s="69">
        <f>SUM(F552:J552)</f>
        <v>1151786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2589219</v>
      </c>
      <c r="G553" s="70">
        <f t="shared" si="42"/>
        <v>634846</v>
      </c>
      <c r="H553" s="70">
        <f t="shared" si="42"/>
        <v>177679</v>
      </c>
      <c r="I553" s="70">
        <f t="shared" si="42"/>
        <v>0</v>
      </c>
      <c r="J553" s="70">
        <f t="shared" si="42"/>
        <v>76978</v>
      </c>
      <c r="K553" s="70">
        <f t="shared" si="42"/>
        <v>3478722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825</v>
      </c>
      <c r="G563" s="18">
        <v>237</v>
      </c>
      <c r="H563" s="18"/>
      <c r="I563" s="18">
        <v>449</v>
      </c>
      <c r="J563" s="18"/>
      <c r="K563" s="18"/>
      <c r="L563" s="69">
        <f>SUM(F563:K563)</f>
        <v>1511</v>
      </c>
      <c r="M563" s="8"/>
      <c r="N563" s="165"/>
    </row>
    <row r="564" spans="1:14" s="3" customFormat="1" ht="12.2" customHeight="1" x14ac:dyDescent="0.15">
      <c r="A564" s="21" t="s">
        <v>634</v>
      </c>
      <c r="B564" s="22">
        <v>22</v>
      </c>
      <c r="C564" s="22">
        <v>6</v>
      </c>
      <c r="D564" s="2" t="s">
        <v>432</v>
      </c>
      <c r="E564" s="22"/>
      <c r="F564" s="18">
        <v>925</v>
      </c>
      <c r="G564" s="18">
        <v>265</v>
      </c>
      <c r="H564" s="18">
        <v>120</v>
      </c>
      <c r="I564" s="18"/>
      <c r="J564" s="18"/>
      <c r="K564" s="18"/>
      <c r="L564" s="69">
        <f>SUM(F564:K564)</f>
        <v>1310</v>
      </c>
      <c r="M564" s="8"/>
      <c r="N564" s="165"/>
    </row>
    <row r="565" spans="1:14" s="3" customFormat="1" ht="12.2" customHeight="1" thickBot="1" x14ac:dyDescent="0.2">
      <c r="A565" s="21" t="s">
        <v>635</v>
      </c>
      <c r="B565" s="22">
        <v>22</v>
      </c>
      <c r="C565" s="22">
        <v>7</v>
      </c>
      <c r="D565" s="2" t="s">
        <v>432</v>
      </c>
      <c r="E565" s="22"/>
      <c r="F565" s="18">
        <v>750</v>
      </c>
      <c r="G565" s="18">
        <v>215</v>
      </c>
      <c r="H565" s="18">
        <v>487</v>
      </c>
      <c r="I565" s="18"/>
      <c r="J565" s="18"/>
      <c r="K565" s="18"/>
      <c r="L565" s="69">
        <f>SUM(F565:K565)</f>
        <v>1452</v>
      </c>
      <c r="M565" s="8"/>
      <c r="N565" s="165"/>
    </row>
    <row r="566" spans="1:14" s="3" customFormat="1" ht="12.2" customHeight="1" thickTop="1" x14ac:dyDescent="0.15">
      <c r="A566" s="97" t="s">
        <v>65</v>
      </c>
      <c r="B566" s="41">
        <v>22</v>
      </c>
      <c r="C566" s="41">
        <v>8</v>
      </c>
      <c r="D566" s="115" t="s">
        <v>432</v>
      </c>
      <c r="E566" s="41"/>
      <c r="F566" s="70">
        <f t="shared" ref="F566:L566" si="44">SUM(F563:F565)</f>
        <v>2500</v>
      </c>
      <c r="G566" s="70">
        <f t="shared" si="44"/>
        <v>717</v>
      </c>
      <c r="H566" s="70">
        <f t="shared" si="44"/>
        <v>607</v>
      </c>
      <c r="I566" s="70">
        <f t="shared" si="44"/>
        <v>449</v>
      </c>
      <c r="J566" s="70">
        <f t="shared" si="44"/>
        <v>0</v>
      </c>
      <c r="K566" s="70">
        <f t="shared" si="44"/>
        <v>0</v>
      </c>
      <c r="L566" s="70">
        <f t="shared" si="44"/>
        <v>4273</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2500</v>
      </c>
      <c r="G572" s="70">
        <f t="shared" ref="G572:L572" si="46">G561+G566+G571</f>
        <v>717</v>
      </c>
      <c r="H572" s="70">
        <f t="shared" si="46"/>
        <v>607</v>
      </c>
      <c r="I572" s="70">
        <f t="shared" si="46"/>
        <v>449</v>
      </c>
      <c r="J572" s="70">
        <f t="shared" si="46"/>
        <v>0</v>
      </c>
      <c r="K572" s="70">
        <f t="shared" si="46"/>
        <v>0</v>
      </c>
      <c r="L572" s="70">
        <f t="shared" si="46"/>
        <v>4273</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v>17366</v>
      </c>
      <c r="I581" s="69">
        <f t="shared" si="47"/>
        <v>17366</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v>92424</v>
      </c>
      <c r="H583" s="18">
        <v>261791</v>
      </c>
      <c r="I583" s="69">
        <f t="shared" si="47"/>
        <v>354215</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339473</v>
      </c>
      <c r="I586" s="69">
        <f t="shared" si="47"/>
        <v>339473</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142535</v>
      </c>
      <c r="I592" s="18">
        <f>160442+1</f>
        <v>160443</v>
      </c>
      <c r="J592" s="18">
        <v>129578</v>
      </c>
      <c r="K592" s="80">
        <f t="shared" ref="K592:K598" si="48">SUM(H592:J592)</f>
        <v>432556</v>
      </c>
      <c r="L592" s="23" t="s">
        <v>288</v>
      </c>
      <c r="M592" s="8"/>
      <c r="N592" s="165"/>
    </row>
    <row r="593" spans="1:14" s="3" customFormat="1" ht="12.2" customHeight="1" x14ac:dyDescent="0.15">
      <c r="A593" s="3" t="s">
        <v>638</v>
      </c>
      <c r="B593" s="22">
        <v>23</v>
      </c>
      <c r="C593" s="22">
        <v>2</v>
      </c>
      <c r="D593" s="2" t="s">
        <v>432</v>
      </c>
      <c r="E593" s="22"/>
      <c r="F593" s="78">
        <v>2722</v>
      </c>
      <c r="G593" s="79" t="s">
        <v>97</v>
      </c>
      <c r="H593" s="18">
        <v>23668</v>
      </c>
      <c r="I593" s="18">
        <v>28704</v>
      </c>
      <c r="J593" s="18">
        <f>24607-1</f>
        <v>24606</v>
      </c>
      <c r="K593" s="80">
        <f t="shared" si="48"/>
        <v>76978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28153</v>
      </c>
      <c r="K594" s="80">
        <f t="shared" si="48"/>
        <v>28153</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530</v>
      </c>
      <c r="J595" s="18">
        <v>26280</v>
      </c>
      <c r="K595" s="80">
        <f t="shared" si="48"/>
        <v>26810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2234</v>
      </c>
      <c r="I596" s="18">
        <v>5504</v>
      </c>
      <c r="J596" s="18"/>
      <c r="K596" s="80">
        <f t="shared" si="48"/>
        <v>7738</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v>17988</v>
      </c>
      <c r="J598" s="18">
        <v>16079</v>
      </c>
      <c r="K598" s="80">
        <f t="shared" si="48"/>
        <v>34067</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168437</v>
      </c>
      <c r="I599" s="81">
        <f>SUM(I592:I598)</f>
        <v>213169</v>
      </c>
      <c r="J599" s="81">
        <f>SUM(J592:J598)</f>
        <v>224696</v>
      </c>
      <c r="K599" s="81">
        <f>SUM(K592:K598)</f>
        <v>606302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v>134782</v>
      </c>
      <c r="K604" s="80">
        <f>SUM(H604:J604)</f>
        <v>134782</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34826+27714+1</f>
        <v>62541</v>
      </c>
      <c r="I605" s="18">
        <v>54797</v>
      </c>
      <c r="J605" s="18">
        <f>250752-134782</f>
        <v>115970</v>
      </c>
      <c r="K605" s="80">
        <f>SUM(H605:J605)</f>
        <v>233308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62541</v>
      </c>
      <c r="I606" s="81">
        <f>SUM(I603:I605)</f>
        <v>54797</v>
      </c>
      <c r="J606" s="81">
        <f>SUM(J603:J605)</f>
        <v>250752</v>
      </c>
      <c r="K606" s="81">
        <f>SUM(K603:K605)</f>
        <v>368090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30900</v>
      </c>
      <c r="G612" s="18">
        <v>7703</v>
      </c>
      <c r="H612" s="18"/>
      <c r="I612" s="18"/>
      <c r="J612" s="18"/>
      <c r="K612" s="18"/>
      <c r="L612" s="69">
        <f>SUM(F612:K612)</f>
        <v>38603</v>
      </c>
      <c r="M612" s="8"/>
      <c r="N612" s="165"/>
    </row>
    <row r="613" spans="1:14" s="3" customFormat="1" ht="12.2" customHeight="1" x14ac:dyDescent="0.15">
      <c r="A613" s="21" t="s">
        <v>634</v>
      </c>
      <c r="B613" s="22">
        <v>23</v>
      </c>
      <c r="C613" s="22">
        <v>14</v>
      </c>
      <c r="D613" s="2" t="s">
        <v>432</v>
      </c>
      <c r="E613" s="22"/>
      <c r="F613" s="18">
        <v>23594</v>
      </c>
      <c r="G613" s="18">
        <v>6172</v>
      </c>
      <c r="H613" s="18">
        <v>1981</v>
      </c>
      <c r="I613" s="18"/>
      <c r="J613" s="18"/>
      <c r="K613" s="18"/>
      <c r="L613" s="69">
        <f>SUM(F613:K613)</f>
        <v>31747</v>
      </c>
      <c r="M613" s="8"/>
      <c r="N613" s="165"/>
    </row>
    <row r="614" spans="1:14" s="3" customFormat="1" ht="12.2" customHeight="1" thickBot="1" x14ac:dyDescent="0.2">
      <c r="A614" s="21" t="s">
        <v>645</v>
      </c>
      <c r="B614" s="22">
        <v>23</v>
      </c>
      <c r="C614" s="22">
        <v>15</v>
      </c>
      <c r="D614" s="2" t="s">
        <v>432</v>
      </c>
      <c r="E614" s="22"/>
      <c r="F614" s="18">
        <v>19876</v>
      </c>
      <c r="G614" s="18">
        <v>4667</v>
      </c>
      <c r="H614" s="18">
        <v>2972</v>
      </c>
      <c r="I614" s="18">
        <v>280</v>
      </c>
      <c r="J614" s="18"/>
      <c r="K614" s="18"/>
      <c r="L614" s="69">
        <f>SUM(F614:K614)</f>
        <v>27795</v>
      </c>
      <c r="M614" s="8"/>
      <c r="N614" s="165"/>
    </row>
    <row r="615" spans="1:14" s="3" customFormat="1" ht="12.2" customHeight="1" thickTop="1" x14ac:dyDescent="0.15">
      <c r="A615" s="75" t="s">
        <v>340</v>
      </c>
      <c r="B615" s="41">
        <v>23</v>
      </c>
      <c r="C615" s="41">
        <v>16</v>
      </c>
      <c r="D615" s="36" t="s">
        <v>432</v>
      </c>
      <c r="E615" s="41"/>
      <c r="F615" s="81">
        <f t="shared" ref="F615:L615" si="49">SUM(F612:F614)</f>
        <v>74370</v>
      </c>
      <c r="G615" s="81">
        <f t="shared" si="49"/>
        <v>18542</v>
      </c>
      <c r="H615" s="81">
        <f t="shared" si="49"/>
        <v>4953</v>
      </c>
      <c r="I615" s="81">
        <f t="shared" si="49"/>
        <v>280</v>
      </c>
      <c r="J615" s="81">
        <f t="shared" si="49"/>
        <v>0</v>
      </c>
      <c r="K615" s="81">
        <f t="shared" si="49"/>
        <v>0</v>
      </c>
      <c r="L615" s="70">
        <f t="shared" si="49"/>
        <v>98145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2224203</v>
      </c>
      <c r="H618" s="80">
        <f>SUM(F52)</f>
        <v>2224203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41518</v>
      </c>
      <c r="H619" s="80">
        <f>SUM(G52)</f>
        <v>41518</v>
      </c>
      <c r="I619" s="87" t="s">
        <v>875</v>
      </c>
      <c r="J619" s="80">
        <f>G619-H619</f>
        <v>0</v>
      </c>
      <c r="K619" s="80"/>
      <c r="L619" s="80"/>
      <c r="M619" s="8"/>
    </row>
    <row r="620" spans="1:14" s="3" customFormat="1" ht="12.2" customHeight="1" x14ac:dyDescent="0.15">
      <c r="A620" s="74"/>
      <c r="B620" s="22"/>
      <c r="C620" s="22"/>
      <c r="D620" s="22"/>
      <c r="E620" s="22"/>
      <c r="F620" s="87" t="s">
        <v>685</v>
      </c>
      <c r="G620" s="80">
        <f>SUM(H19)</f>
        <v>247236</v>
      </c>
      <c r="H620" s="80">
        <f>SUM(H52)</f>
        <v>247236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1351352</v>
      </c>
      <c r="H622" s="80">
        <f>SUM(J52)</f>
        <v>1351352</v>
      </c>
      <c r="I622" s="87" t="s">
        <v>878</v>
      </c>
      <c r="J622" s="80">
        <f>G622-H622</f>
        <v>0</v>
      </c>
      <c r="K622" s="80"/>
      <c r="L622" s="80"/>
      <c r="M622" s="8"/>
    </row>
    <row r="623" spans="1:14" s="3" customFormat="1" ht="12.2" customHeight="1" x14ac:dyDescent="0.15">
      <c r="A623" s="74"/>
      <c r="B623" s="22"/>
      <c r="C623" s="22"/>
      <c r="D623" s="22"/>
      <c r="E623" s="22"/>
      <c r="F623" s="87" t="s">
        <v>864</v>
      </c>
      <c r="G623" s="80">
        <f>F51</f>
        <v>1829506</v>
      </c>
      <c r="H623" s="80">
        <f>F477</f>
        <v>1829506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7108</v>
      </c>
      <c r="H625" s="80">
        <f>H477</f>
        <v>7108</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1351352</v>
      </c>
      <c r="H627" s="80">
        <f>J477</f>
        <v>1351352</v>
      </c>
      <c r="I627" s="87" t="s">
        <v>105</v>
      </c>
      <c r="J627" s="80">
        <f t="shared" si="50"/>
        <v>0</v>
      </c>
      <c r="K627" s="67"/>
      <c r="L627" s="69"/>
      <c r="M627" s="8"/>
    </row>
    <row r="628" spans="1:13" s="3" customFormat="1" ht="12.2" customHeight="1" x14ac:dyDescent="0.15">
      <c r="A628" s="21"/>
      <c r="B628" s="22"/>
      <c r="C628" s="22"/>
      <c r="D628" s="22"/>
      <c r="E628" s="22"/>
      <c r="F628" s="86" t="s">
        <v>658</v>
      </c>
      <c r="G628" s="80">
        <f>F194</f>
        <v>13968864</v>
      </c>
      <c r="H628" s="80">
        <f>SUM(F469)</f>
        <v>13968864</v>
      </c>
      <c r="I628" s="87" t="s">
        <v>106</v>
      </c>
      <c r="J628" s="80">
        <f>G628-H628</f>
        <v>0</v>
      </c>
      <c r="K628" s="67"/>
      <c r="L628" s="69"/>
      <c r="M628" s="8"/>
    </row>
    <row r="629" spans="1:13" s="3" customFormat="1" ht="12.2" customHeight="1" x14ac:dyDescent="0.15">
      <c r="A629" s="21"/>
      <c r="B629" s="22"/>
      <c r="C629" s="22"/>
      <c r="D629" s="22"/>
      <c r="E629" s="22"/>
      <c r="F629" s="86" t="s">
        <v>659</v>
      </c>
      <c r="G629" s="80">
        <f>G194</f>
        <v>341167</v>
      </c>
      <c r="H629" s="80">
        <f>SUM(G469)</f>
        <v>341167</v>
      </c>
      <c r="I629" s="87" t="s">
        <v>107</v>
      </c>
      <c r="J629" s="80">
        <f>G629-H629</f>
        <v>0</v>
      </c>
      <c r="K629" s="67"/>
      <c r="L629" s="69"/>
      <c r="M629" s="8"/>
    </row>
    <row r="630" spans="1:13" s="3" customFormat="1" ht="12.2" customHeight="1" x14ac:dyDescent="0.15">
      <c r="A630" s="21"/>
      <c r="B630" s="22"/>
      <c r="C630" s="22"/>
      <c r="D630" s="22"/>
      <c r="E630" s="22"/>
      <c r="F630" s="86" t="s">
        <v>660</v>
      </c>
      <c r="G630" s="80">
        <f>H194</f>
        <v>1242176</v>
      </c>
      <c r="H630" s="80">
        <f>SUM(H469)</f>
        <v>1242176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136811</v>
      </c>
      <c r="H632" s="80">
        <f>SUM(J469)</f>
        <v>136811</v>
      </c>
      <c r="I632" s="87" t="s">
        <v>110</v>
      </c>
      <c r="J632" s="80">
        <f>G632-H632</f>
        <v>0</v>
      </c>
      <c r="K632" s="67"/>
      <c r="L632" s="69"/>
      <c r="M632" s="8"/>
    </row>
    <row r="633" spans="1:13" s="3" customFormat="1" ht="12.2" customHeight="1" x14ac:dyDescent="0.15">
      <c r="A633" s="21"/>
      <c r="B633" s="22"/>
      <c r="C633" s="22"/>
      <c r="D633" s="22"/>
      <c r="E633" s="22"/>
      <c r="F633" s="86" t="s">
        <v>394</v>
      </c>
      <c r="G633" s="80">
        <f>SUM(L272)</f>
        <v>14381265</v>
      </c>
      <c r="H633" s="80">
        <f>SUM(F473)</f>
        <v>14381265</v>
      </c>
      <c r="I633" s="87" t="s">
        <v>111</v>
      </c>
      <c r="J633" s="80">
        <f t="shared" si="50"/>
        <v>0</v>
      </c>
      <c r="K633" s="67"/>
      <c r="L633" s="69"/>
      <c r="M633" s="8"/>
    </row>
    <row r="634" spans="1:13" s="3" customFormat="1" ht="12.2" customHeight="1" x14ac:dyDescent="0.15">
      <c r="A634" s="21"/>
      <c r="B634" s="22"/>
      <c r="C634" s="22"/>
      <c r="D634" s="22"/>
      <c r="E634" s="22"/>
      <c r="F634" s="86" t="s">
        <v>395</v>
      </c>
      <c r="G634" s="80">
        <f>SUM(L353)</f>
        <v>1241594</v>
      </c>
      <c r="H634" s="80">
        <f>SUM(H473)</f>
        <v>1241594</v>
      </c>
      <c r="I634" s="87" t="s">
        <v>112</v>
      </c>
      <c r="J634" s="80">
        <f>G634-H634</f>
        <v>0</v>
      </c>
      <c r="K634" s="67"/>
      <c r="L634" s="69"/>
      <c r="M634" s="8"/>
    </row>
    <row r="635" spans="1:13" s="124" customFormat="1" ht="12.2" customHeight="1" x14ac:dyDescent="0.15">
      <c r="A635" s="21"/>
      <c r="B635" s="22"/>
      <c r="C635" s="22"/>
      <c r="D635" s="22"/>
      <c r="E635" s="22"/>
      <c r="F635" s="99" t="s">
        <v>247</v>
      </c>
      <c r="G635" s="80">
        <f>I363</f>
        <v>115</v>
      </c>
      <c r="H635" s="80">
        <f>I370</f>
        <v>115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341167</v>
      </c>
      <c r="H636" s="80">
        <f>SUM(G473)</f>
        <v>341167</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136811</v>
      </c>
      <c r="H638" s="108">
        <f>SUM(J469)</f>
        <v>136811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134943</v>
      </c>
      <c r="H639" s="108">
        <f>SUM(J473)</f>
        <v>134943</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1351352</v>
      </c>
      <c r="H641" s="80">
        <f>SUM(G462)</f>
        <v>1351352</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1351352</v>
      </c>
      <c r="H643" s="80">
        <f>SUM(I462)</f>
        <v>1351352</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16811</v>
      </c>
      <c r="H645" s="80">
        <f>H409</f>
        <v>16811</v>
      </c>
      <c r="I645" s="87" t="s">
        <v>480</v>
      </c>
      <c r="J645" s="80">
        <f t="shared" si="50"/>
        <v>0</v>
      </c>
      <c r="K645" s="67"/>
      <c r="L645" s="69"/>
      <c r="M645" s="8"/>
    </row>
    <row r="646" spans="1:13" s="3" customFormat="1" ht="12.2" customHeight="1" x14ac:dyDescent="0.15">
      <c r="A646" s="21"/>
      <c r="B646" s="22"/>
      <c r="C646" s="22"/>
      <c r="D646" s="22"/>
      <c r="E646" s="22"/>
      <c r="F646" s="86" t="s">
        <v>664</v>
      </c>
      <c r="G646" s="80">
        <f>J184</f>
        <v>120000</v>
      </c>
      <c r="H646" s="80">
        <f>G409</f>
        <v>120000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136811</v>
      </c>
      <c r="H647" s="80">
        <f>L409</f>
        <v>136811</v>
      </c>
      <c r="I647" s="87" t="s">
        <v>477</v>
      </c>
      <c r="J647" s="80">
        <f t="shared" si="50"/>
        <v>0</v>
      </c>
      <c r="K647" s="67"/>
      <c r="L647" s="69"/>
      <c r="M647" s="8"/>
    </row>
    <row r="648" spans="1:13" s="3" customFormat="1" ht="12.2" customHeight="1" x14ac:dyDescent="0.15">
      <c r="A648" s="21"/>
      <c r="B648" s="22"/>
      <c r="C648" s="22"/>
      <c r="D648" s="22"/>
      <c r="E648" s="22"/>
      <c r="F648" s="86" t="s">
        <v>51</v>
      </c>
      <c r="G648" s="80">
        <f>K599</f>
        <v>606302</v>
      </c>
      <c r="H648" s="80">
        <f>L209+L227+L245</f>
        <v>606302</v>
      </c>
      <c r="I648" s="87" t="s">
        <v>396</v>
      </c>
      <c r="J648" s="80">
        <f t="shared" si="50"/>
        <v>0</v>
      </c>
      <c r="K648" s="67"/>
      <c r="L648" s="69"/>
      <c r="M648" s="8"/>
    </row>
    <row r="649" spans="1:13" s="3" customFormat="1" ht="12.2" customHeight="1" x14ac:dyDescent="0.15">
      <c r="A649" s="21"/>
      <c r="B649" s="22"/>
      <c r="C649" s="22"/>
      <c r="D649" s="22"/>
      <c r="E649" s="22"/>
      <c r="F649" s="86" t="s">
        <v>52</v>
      </c>
      <c r="G649" s="80">
        <f>K606</f>
        <v>368090</v>
      </c>
      <c r="H649" s="80">
        <f>(J258+J339)-(J256+J337)</f>
        <v>368090</v>
      </c>
      <c r="I649" s="87" t="s">
        <v>699</v>
      </c>
      <c r="J649" s="80">
        <f t="shared" si="50"/>
        <v>0</v>
      </c>
      <c r="K649" s="67"/>
      <c r="L649" s="69"/>
      <c r="M649" s="8"/>
    </row>
    <row r="650" spans="1:13" s="3" customFormat="1" ht="12.2" customHeight="1" x14ac:dyDescent="0.15">
      <c r="A650" s="21"/>
      <c r="B650" s="22"/>
      <c r="C650" s="22"/>
      <c r="D650" s="22"/>
      <c r="E650" s="22"/>
      <c r="F650" s="86" t="s">
        <v>387</v>
      </c>
      <c r="G650" s="80">
        <f>L209</f>
        <v>168437</v>
      </c>
      <c r="H650" s="80">
        <f>H599</f>
        <v>168437</v>
      </c>
      <c r="I650" s="87" t="s">
        <v>388</v>
      </c>
      <c r="J650" s="80">
        <f t="shared" si="50"/>
        <v>0</v>
      </c>
      <c r="K650" s="67"/>
      <c r="L650" s="69"/>
      <c r="M650" s="8"/>
    </row>
    <row r="651" spans="1:13" s="3" customFormat="1" ht="12.2" customHeight="1" x14ac:dyDescent="0.15">
      <c r="A651" s="21"/>
      <c r="B651" s="22"/>
      <c r="C651" s="22"/>
      <c r="D651" s="22"/>
      <c r="E651" s="22"/>
      <c r="F651" s="86" t="s">
        <v>392</v>
      </c>
      <c r="G651" s="80">
        <f>L227</f>
        <v>213169</v>
      </c>
      <c r="H651" s="80">
        <f>I599</f>
        <v>213169</v>
      </c>
      <c r="I651" s="87" t="s">
        <v>389</v>
      </c>
      <c r="J651" s="80">
        <f t="shared" si="50"/>
        <v>0</v>
      </c>
      <c r="K651" s="67"/>
      <c r="L651" s="69"/>
      <c r="M651" s="8"/>
    </row>
    <row r="652" spans="1:13" s="3" customFormat="1" ht="12.2" customHeight="1" x14ac:dyDescent="0.15">
      <c r="A652" s="21"/>
      <c r="B652" s="22"/>
      <c r="C652" s="22"/>
      <c r="D652" s="22"/>
      <c r="E652" s="22"/>
      <c r="F652" s="86" t="s">
        <v>393</v>
      </c>
      <c r="G652" s="80">
        <f>L245</f>
        <v>224696</v>
      </c>
      <c r="H652" s="80">
        <f>J599</f>
        <v>224696</v>
      </c>
      <c r="I652" s="87" t="s">
        <v>390</v>
      </c>
      <c r="J652" s="80">
        <f t="shared" si="50"/>
        <v>0</v>
      </c>
      <c r="K652" s="67"/>
      <c r="L652" s="69"/>
      <c r="M652" s="8"/>
    </row>
    <row r="653" spans="1:13" s="3" customFormat="1" ht="12.2" customHeight="1" x14ac:dyDescent="0.15">
      <c r="A653" s="21"/>
      <c r="B653" s="22"/>
      <c r="C653" s="22"/>
      <c r="D653" s="22"/>
      <c r="E653" s="22"/>
      <c r="F653" s="86" t="s">
        <v>665</v>
      </c>
      <c r="G653" s="80">
        <f>G180+G182</f>
        <v>94270</v>
      </c>
      <c r="H653" s="80">
        <f>K264+K346</f>
        <v>94270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120000</v>
      </c>
      <c r="H656" s="80">
        <f>K267+K348</f>
        <v>120000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4752146</v>
      </c>
      <c r="G661" s="13">
        <f>(L230+L310+L360)</f>
        <v>4869059</v>
      </c>
      <c r="H661" s="13">
        <f>(L248+L329+L361)</f>
        <v>5730767</v>
      </c>
      <c r="I661" s="13">
        <f>SUM(F661:H661)</f>
        <v>15351972</v>
      </c>
      <c r="J661" s="13"/>
      <c r="K661" s="13"/>
      <c r="L661" s="13"/>
      <c r="M661" s="9"/>
    </row>
    <row r="662" spans="1:13" s="3" customFormat="1" ht="12.2" customHeight="1" x14ac:dyDescent="0.2">
      <c r="A662" s="1" t="s">
        <v>127</v>
      </c>
      <c r="F662" s="13">
        <f>(L359/IF(SUM(L359:L361)=0,1,SUM(L359:L361))*(SUM(G97:G110)))</f>
        <v>11346.40767424751</v>
      </c>
      <c r="G662" s="13">
        <f>(L360/IF(SUM(L359:L361)=0,1,SUM(L359:L361))*(SUM(G97:G110)))</f>
        <v>11405.784820923478</v>
      </c>
      <c r="H662" s="13">
        <f>(L361/IF(SUM(L359:L361)=0,1,SUM(L359:L361))*(SUM(G97:G110)))</f>
        <v>8850.8075048290139</v>
      </c>
      <c r="I662" s="13">
        <f>SUM(F662:H662)</f>
        <v>31603</v>
      </c>
      <c r="J662"/>
      <c r="K662" s="13"/>
      <c r="L662" s="13"/>
      <c r="M662" s="8"/>
    </row>
    <row r="663" spans="1:13" s="3" customFormat="1" ht="12.2" customHeight="1" x14ac:dyDescent="0.2">
      <c r="A663" s="1" t="s">
        <v>128</v>
      </c>
      <c r="F663" s="13">
        <f>(L209+L288)-(J209+J288)</f>
        <v>168437</v>
      </c>
      <c r="G663" s="13">
        <f>(L227+L307)-(J227+J307)</f>
        <v>217349</v>
      </c>
      <c r="H663" s="13">
        <f>(L245+L326)-(J245+J326)</f>
        <v>224696</v>
      </c>
      <c r="I663" s="13">
        <f>SUM(F663:H663)</f>
        <v>610482</v>
      </c>
      <c r="J663"/>
      <c r="K663" s="13"/>
      <c r="L663" s="13"/>
      <c r="M663" s="9"/>
    </row>
    <row r="664" spans="1:13" s="3" customFormat="1" ht="12.2" customHeight="1" x14ac:dyDescent="0.15">
      <c r="A664" s="142" t="s">
        <v>129</v>
      </c>
      <c r="B664" s="124"/>
      <c r="C664" s="124"/>
      <c r="D664" s="124"/>
      <c r="E664" s="124"/>
      <c r="F664" s="143">
        <f>SUM(F576:F588)+SUM(H603:H605)+SUM(L612)</f>
        <v>101144</v>
      </c>
      <c r="G664" s="143">
        <f>SUM(G576:G588)+SUM(I603:I605)+L613</f>
        <v>178968</v>
      </c>
      <c r="H664" s="143">
        <f>SUM(H576:H588)+SUM(J603:J605)+L614</f>
        <v>897177</v>
      </c>
      <c r="I664" s="13">
        <f>SUM(F664:H664)</f>
        <v>1177289</v>
      </c>
      <c r="J664" s="13"/>
      <c r="K664" s="13"/>
      <c r="L664" s="13"/>
      <c r="M664" s="9"/>
    </row>
    <row r="665" spans="1:13" s="3" customFormat="1" ht="12.2" customHeight="1" x14ac:dyDescent="0.15">
      <c r="A665" s="1" t="s">
        <v>130</v>
      </c>
      <c r="F665" s="13">
        <f>F661-SUM(F662:F664)</f>
        <v>4471218.5923257526</v>
      </c>
      <c r="G665" s="13">
        <f>G661-SUM(G662:G664)</f>
        <v>4461336.2151790764</v>
      </c>
      <c r="H665" s="13">
        <f>H661-SUM(H662:H664)</f>
        <v>4600043.192495171</v>
      </c>
      <c r="I665" s="13">
        <f>I661-SUM(I662:I664)</f>
        <v>13532598</v>
      </c>
      <c r="J665" s="13"/>
      <c r="K665" s="13"/>
      <c r="L665" s="13"/>
      <c r="M665" s="8"/>
    </row>
    <row r="666" spans="1:13" s="3" customFormat="1" ht="12.2" customHeight="1" x14ac:dyDescent="0.2">
      <c r="A666" s="1" t="s">
        <v>131</v>
      </c>
      <c r="F666" s="183">
        <v>181.09</v>
      </c>
      <c r="G666" s="184">
        <v>217.79</v>
      </c>
      <c r="H666" s="184">
        <v>214.35</v>
      </c>
      <c r="I666" s="13">
        <f>SUM(F666:H666)</f>
        <v>613.23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24690.59</v>
      </c>
      <c r="G668" s="13">
        <f>ROUND(G665/G666,2)</f>
        <v>20484.580000000002</v>
      </c>
      <c r="H668" s="13">
        <f>ROUND(H665/H666,2)</f>
        <v>21460.43</v>
      </c>
      <c r="I668" s="13">
        <f>ROUND(I665/I666,2)</f>
        <v>22067.74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-10.44</v>
      </c>
      <c r="I671" s="13">
        <f>SUM(F671:H671)</f>
        <v>-10.44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24690.59</v>
      </c>
      <c r="G673" s="13">
        <f>ROUND((G665+G670)/(G666+G671),2)</f>
        <v>20484.580000000002</v>
      </c>
      <c r="H673" s="13">
        <f>ROUND((H665+H670)/(H666+H671),2)</f>
        <v>22559.18</v>
      </c>
      <c r="I673" s="13">
        <f>ROUND((I665+I670)/(I666+I671),2)</f>
        <v>22449.94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E22"/>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142077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55014</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20768</v>
      </c>
      <c r="F13" s="272" t="s">
        <v>1629</v>
      </c>
    </row>
    <row r="14" spans="2:8" x14ac:dyDescent="0.25">
      <c r="B14" s="271"/>
      <c r="C14" s="271"/>
      <c r="D14" s="272"/>
      <c r="E14" s="271"/>
      <c r="F14" s="271"/>
    </row>
    <row r="15" spans="2:8" x14ac:dyDescent="0.25">
      <c r="B15" s="271"/>
      <c r="C15" s="272" t="s">
        <v>1623</v>
      </c>
      <c r="D15" s="272" t="s">
        <v>1636</v>
      </c>
      <c r="E15" s="260">
        <v>57295</v>
      </c>
      <c r="F15" s="272" t="s">
        <v>1630</v>
      </c>
    </row>
    <row r="16" spans="2:8" x14ac:dyDescent="0.25">
      <c r="B16" s="271"/>
      <c r="C16" s="271"/>
      <c r="D16" s="271"/>
      <c r="E16" s="271"/>
      <c r="F16" s="271"/>
    </row>
    <row r="17" spans="2:8" x14ac:dyDescent="0.25">
      <c r="B17" s="271"/>
      <c r="C17" s="272" t="s">
        <v>1622</v>
      </c>
      <c r="D17" s="272" t="s">
        <v>1637</v>
      </c>
      <c r="E17" s="260">
        <v>9000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9"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Haverhill Cooperative</v>
      </c>
      <c r="C5" s="318"/>
      <c r="D5" s="318"/>
      <c r="E5" s="318"/>
      <c r="F5" s="318"/>
    </row>
    <row r="8" spans="1:9" ht="18" x14ac:dyDescent="0.25">
      <c r="A8" s="240" t="s">
        <v>1560</v>
      </c>
      <c r="F8" s="247" t="s">
        <v>1578</v>
      </c>
    </row>
    <row r="9" spans="1:9" ht="15" x14ac:dyDescent="0.2">
      <c r="A9" s="238" t="s">
        <v>1561</v>
      </c>
      <c r="B9" s="241">
        <f>'DOE25'!G97</f>
        <v>29780</v>
      </c>
      <c r="F9" s="238" t="s">
        <v>1574</v>
      </c>
    </row>
    <row r="10" spans="1:9" ht="15" x14ac:dyDescent="0.2">
      <c r="A10" s="238" t="s">
        <v>1562</v>
      </c>
      <c r="B10" s="241">
        <f>'DOE25'!G112-'DOE25'!G97</f>
        <v>1823</v>
      </c>
      <c r="F10" s="238" t="s">
        <v>1575</v>
      </c>
    </row>
    <row r="11" spans="1:9" ht="15" x14ac:dyDescent="0.2">
      <c r="A11" s="238" t="s">
        <v>1563</v>
      </c>
      <c r="B11" s="241">
        <f>'DOE25'!G140</f>
        <v>2749</v>
      </c>
      <c r="F11" s="238" t="s">
        <v>1576</v>
      </c>
    </row>
    <row r="12" spans="1:9" ht="15" x14ac:dyDescent="0.2">
      <c r="A12" s="238" t="s">
        <v>1564</v>
      </c>
      <c r="B12" s="241">
        <f>'DOE25'!G170</f>
        <v>212545</v>
      </c>
      <c r="F12" s="238" t="s">
        <v>1577</v>
      </c>
    </row>
    <row r="13" spans="1:9" ht="15" x14ac:dyDescent="0.2">
      <c r="A13" s="238" t="s">
        <v>1565</v>
      </c>
      <c r="B13" s="241">
        <f>'DOE25'!G193-'DOE25'!G180</f>
        <v>0</v>
      </c>
      <c r="F13" s="238" t="s">
        <v>1587</v>
      </c>
    </row>
    <row r="14" spans="1:9" ht="18" x14ac:dyDescent="0.25">
      <c r="A14" s="240" t="s">
        <v>732</v>
      </c>
      <c r="B14" s="242">
        <f>SUM(B9:B13)</f>
        <v>246897</v>
      </c>
    </row>
    <row r="16" spans="1:9" ht="18" x14ac:dyDescent="0.25">
      <c r="A16" s="240" t="s">
        <v>786</v>
      </c>
      <c r="F16" s="247" t="s">
        <v>1579</v>
      </c>
    </row>
    <row r="17" spans="1:6" ht="15" x14ac:dyDescent="0.2">
      <c r="A17" s="238" t="s">
        <v>1566</v>
      </c>
      <c r="B17" s="241">
        <f>'DOE25'!L363-'DOE25'!L362</f>
        <v>341167</v>
      </c>
      <c r="F17" s="238" t="s">
        <v>1580</v>
      </c>
    </row>
    <row r="18" spans="1:6" ht="15" x14ac:dyDescent="0.2">
      <c r="A18" s="238" t="s">
        <v>1567</v>
      </c>
      <c r="B18" s="251">
        <v>0</v>
      </c>
      <c r="F18" s="247" t="s">
        <v>1604</v>
      </c>
    </row>
    <row r="19" spans="1:6" ht="18" x14ac:dyDescent="0.25">
      <c r="A19" s="240" t="s">
        <v>725</v>
      </c>
      <c r="B19" s="242">
        <f>SUM(B17:B18)</f>
        <v>341167</v>
      </c>
    </row>
    <row r="21" spans="1:6" ht="18.75" thickBot="1" x14ac:dyDescent="0.3">
      <c r="A21" s="240" t="s">
        <v>1568</v>
      </c>
    </row>
    <row r="22" spans="1:6" ht="18.75" thickTop="1" x14ac:dyDescent="0.25">
      <c r="A22" s="240" t="s">
        <v>1569</v>
      </c>
      <c r="B22" s="246">
        <f>B14-B19</f>
        <v>-94270</v>
      </c>
      <c r="F22" s="238" t="s">
        <v>1581</v>
      </c>
    </row>
    <row r="26" spans="1:6" ht="18" x14ac:dyDescent="0.25">
      <c r="A26" s="240" t="s">
        <v>186</v>
      </c>
    </row>
    <row r="27" spans="1:6" ht="15" x14ac:dyDescent="0.2">
      <c r="A27" s="238" t="s">
        <v>1570</v>
      </c>
      <c r="B27" s="241">
        <f>'DOE25'!G180</f>
        <v>94270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26918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28" zoomScale="150" zoomScaleNormal="150" workbookViewId="0">
      <selection activeCell="B39" sqref="B3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Haverhill Cooperative</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3112962</v>
      </c>
      <c r="C9" s="167">
        <f>'DOE25'!G198+'DOE25'!G216+'DOE25'!G234+'DOE25'!G277+'DOE25'!G296+'DOE25'!G315</f>
        <v>1683418</v>
      </c>
    </row>
    <row r="10" spans="1:3" x14ac:dyDescent="0.2">
      <c r="A10" t="s">
        <v>775</v>
      </c>
      <c r="B10" s="177">
        <v>2988305</v>
      </c>
      <c r="C10" s="177">
        <v>1673882</v>
      </c>
    </row>
    <row r="11" spans="1:3" x14ac:dyDescent="0.2">
      <c r="A11" t="s">
        <v>776</v>
      </c>
      <c r="B11" s="177">
        <v>2762</v>
      </c>
      <c r="C11" s="177">
        <v>211</v>
      </c>
    </row>
    <row r="12" spans="1:3" x14ac:dyDescent="0.2">
      <c r="A12" t="s">
        <v>777</v>
      </c>
      <c r="B12" s="177">
        <v>121895</v>
      </c>
      <c r="C12" s="177">
        <v>9325</v>
      </c>
    </row>
    <row r="13" spans="1:3" x14ac:dyDescent="0.2">
      <c r="A13" t="str">
        <f>IF(B9=B13,IF(C9=C13,"Check Total OK","Check Total Error"),"Check Total Error")</f>
        <v>Check Total OK</v>
      </c>
      <c r="B13" s="169">
        <f>SUM(B10:B12)</f>
        <v>3112962</v>
      </c>
      <c r="C13" s="169">
        <f>SUM(C10:C12)</f>
        <v>1683418</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1487183</v>
      </c>
      <c r="C18" s="167">
        <f>'DOE25'!G199+'DOE25'!G217+'DOE25'!G235+'DOE25'!G278+'DOE25'!G297+'DOE25'!G316</f>
        <v>777809</v>
      </c>
    </row>
    <row r="19" spans="1:3" x14ac:dyDescent="0.2">
      <c r="A19" t="s">
        <v>775</v>
      </c>
      <c r="B19" s="177">
        <f>636516+50870+38000+1</f>
        <v>725387</v>
      </c>
      <c r="C19" s="177">
        <v>272981</v>
      </c>
    </row>
    <row r="20" spans="1:3" x14ac:dyDescent="0.2">
      <c r="A20" t="s">
        <v>776</v>
      </c>
      <c r="B20" s="177">
        <v>735495</v>
      </c>
      <c r="C20" s="177">
        <v>502816</v>
      </c>
    </row>
    <row r="21" spans="1:3" x14ac:dyDescent="0.2">
      <c r="A21" t="s">
        <v>777</v>
      </c>
      <c r="B21" s="177">
        <v>26301</v>
      </c>
      <c r="C21" s="177">
        <v>2012</v>
      </c>
    </row>
    <row r="22" spans="1:3" x14ac:dyDescent="0.2">
      <c r="A22" t="str">
        <f>IF(B18=B22,IF(C18=C22,"Check Total OK","Check Total Error"),"Check Total Error")</f>
        <v>Check Total OK</v>
      </c>
      <c r="B22" s="169">
        <f>SUM(B19:B21)</f>
        <v>1487183</v>
      </c>
      <c r="C22" s="169">
        <f>SUM(C19:C21)</f>
        <v>777809</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275623</v>
      </c>
      <c r="C36" s="173">
        <f>'DOE25'!G201+'DOE25'!G219+'DOE25'!G237+'DOE25'!G280+'DOE25'!G299+'DOE25'!G318</f>
        <v>90339</v>
      </c>
    </row>
    <row r="37" spans="1:3" x14ac:dyDescent="0.2">
      <c r="A37" t="s">
        <v>775</v>
      </c>
      <c r="B37" s="177">
        <v>92384</v>
      </c>
      <c r="C37" s="177">
        <v>26487</v>
      </c>
    </row>
    <row r="38" spans="1:3" x14ac:dyDescent="0.2">
      <c r="A38" t="s">
        <v>776</v>
      </c>
      <c r="B38" s="177">
        <v>120851</v>
      </c>
      <c r="C38" s="177">
        <f>26237+32842</f>
        <v>59079</v>
      </c>
    </row>
    <row r="39" spans="1:3" x14ac:dyDescent="0.2">
      <c r="A39" t="s">
        <v>777</v>
      </c>
      <c r="B39" s="177">
        <v>62388</v>
      </c>
      <c r="C39" s="177">
        <v>4773</v>
      </c>
    </row>
    <row r="40" spans="1:3" x14ac:dyDescent="0.2">
      <c r="A40" t="str">
        <f>IF(B36=B40,IF(C36=C40,"Check Total OK","Check Total Error"),"Check Total Error")</f>
        <v>Check Total OK</v>
      </c>
      <c r="B40" s="169">
        <f>SUM(B37:B39)</f>
        <v>275623</v>
      </c>
      <c r="C40" s="169">
        <f>SUM(C37:C39)</f>
        <v>90339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0" zoomScaleNormal="120" workbookViewId="0">
      <pane ySplit="4" topLeftCell="A20" activePane="bottomLeft" state="frozen"/>
      <selection activeCell="F46" sqref="F46"/>
      <selection pane="bottomLeft" activeCell="A31" sqref="A31:XFD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Haverhill Cooperative</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8134820</v>
      </c>
      <c r="D5" s="19">
        <f>SUM('DOE25'!L198:L201)+SUM('DOE25'!L216:L219)+SUM('DOE25'!L234:L237)-F5-G5-H5</f>
        <v>8102148</v>
      </c>
      <c r="E5" s="180"/>
      <c r="F5" s="181"/>
      <c r="G5" s="19">
        <f>SUM('DOE25'!J198:J201)+SUM('DOE25'!J216:J219)+SUM('DOE25'!J234:J237)</f>
        <v>19793</v>
      </c>
      <c r="H5" s="19">
        <f>SUM('DOE25'!K198:K201)+SUM('DOE25'!K216:K219)+SUM('DOE25'!K234:K237)</f>
        <v>12879</v>
      </c>
      <c r="I5" s="192"/>
    </row>
    <row r="6" spans="1:9" x14ac:dyDescent="0.2">
      <c r="A6" s="31">
        <v>2100</v>
      </c>
      <c r="B6" t="s">
        <v>796</v>
      </c>
      <c r="C6" s="206">
        <f t="shared" si="0"/>
        <v>1128722</v>
      </c>
      <c r="D6" s="19">
        <f>'DOE25'!L203+'DOE25'!L221+'DOE25'!L239-F6-G6-H6</f>
        <v>986532</v>
      </c>
      <c r="E6" s="180"/>
      <c r="F6" s="181">
        <f>114840+64332+31292+26054-25000*4</f>
        <v>136518</v>
      </c>
      <c r="G6" s="19">
        <f>'DOE25'!J203+'DOE25'!J221+'DOE25'!J239</f>
        <v>618</v>
      </c>
      <c r="H6" s="19">
        <f>'DOE25'!K203+'DOE25'!K221+'DOE25'!K239</f>
        <v>5054</v>
      </c>
      <c r="I6" s="192"/>
    </row>
    <row r="7" spans="1:9" x14ac:dyDescent="0.2">
      <c r="A7" s="31">
        <v>2200</v>
      </c>
      <c r="B7" t="s">
        <v>820</v>
      </c>
      <c r="C7" s="206">
        <f t="shared" si="0"/>
        <v>586090</v>
      </c>
      <c r="D7" s="19">
        <f>'DOE25'!L204+'DOE25'!L222+'DOE25'!L240-F7-G7-H7</f>
        <v>551932</v>
      </c>
      <c r="E7" s="180"/>
      <c r="F7" s="181"/>
      <c r="G7" s="19">
        <f>'DOE25'!J204+'DOE25'!J222+'DOE25'!J240</f>
        <v>34158</v>
      </c>
      <c r="H7" s="19">
        <f>'DOE25'!K204+'DOE25'!K222+'DOE25'!K240</f>
        <v>0</v>
      </c>
      <c r="I7" s="192"/>
    </row>
    <row r="8" spans="1:9" x14ac:dyDescent="0.2">
      <c r="A8" s="31">
        <v>2300</v>
      </c>
      <c r="B8" t="s">
        <v>797</v>
      </c>
      <c r="C8" s="206">
        <f t="shared" si="0"/>
        <v>641879</v>
      </c>
      <c r="D8" s="180"/>
      <c r="E8" s="19">
        <f>'DOE25'!L205+'DOE25'!L223+'DOE25'!L241-F8-G8-H8-D9-D11</f>
        <v>630009</v>
      </c>
      <c r="F8" s="181"/>
      <c r="G8" s="19">
        <f>'DOE25'!J205+'DOE25'!J223+'DOE25'!J241</f>
        <v>0</v>
      </c>
      <c r="H8" s="19">
        <f>'DOE25'!K205+'DOE25'!K223+'DOE25'!K241</f>
        <v>11870</v>
      </c>
      <c r="I8" s="192"/>
    </row>
    <row r="9" spans="1:9" ht="14.25" x14ac:dyDescent="0.2">
      <c r="A9" s="31">
        <v>2310</v>
      </c>
      <c r="B9" s="71" t="s">
        <v>887</v>
      </c>
      <c r="C9" s="206">
        <f t="shared" si="0"/>
        <v>32488</v>
      </c>
      <c r="D9" s="181">
        <v>32488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173344</v>
      </c>
      <c r="D11" s="181">
        <v>173344</v>
      </c>
      <c r="E11" s="180"/>
      <c r="F11" s="180"/>
      <c r="G11" s="180"/>
      <c r="H11" s="180"/>
      <c r="I11" s="192"/>
    </row>
    <row r="12" spans="1:9" x14ac:dyDescent="0.2">
      <c r="A12" s="31">
        <v>2400</v>
      </c>
      <c r="B12" t="s">
        <v>711</v>
      </c>
      <c r="C12" s="206">
        <f t="shared" si="0"/>
        <v>1032892</v>
      </c>
      <c r="D12" s="19">
        <f>'DOE25'!L206+'DOE25'!L224+'DOE25'!L242-F12-G12-H12</f>
        <v>1024185</v>
      </c>
      <c r="E12" s="180"/>
      <c r="F12" s="181"/>
      <c r="G12" s="19">
        <f>'DOE25'!J206+'DOE25'!J224+'DOE25'!J242</f>
        <v>107</v>
      </c>
      <c r="H12" s="19">
        <f>'DOE25'!K206+'DOE25'!K224+'DOE25'!K242</f>
        <v>8600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1404136</v>
      </c>
      <c r="D14" s="19">
        <f>'DOE25'!L208+'DOE25'!L226+'DOE25'!L244-F14-G14-H14</f>
        <v>1202421</v>
      </c>
      <c r="E14" s="180"/>
      <c r="F14" s="181">
        <f>104567-25000</f>
        <v>79567</v>
      </c>
      <c r="G14" s="19">
        <f>'DOE25'!J208+'DOE25'!J226+'DOE25'!J244</f>
        <v>120898</v>
      </c>
      <c r="H14" s="19">
        <f>'DOE25'!K208+'DOE25'!K226+'DOE25'!K244</f>
        <v>1250</v>
      </c>
      <c r="I14" s="192"/>
    </row>
    <row r="15" spans="1:9" x14ac:dyDescent="0.2">
      <c r="A15" s="31">
        <v>2700</v>
      </c>
      <c r="B15" t="s">
        <v>799</v>
      </c>
      <c r="C15" s="206">
        <f t="shared" si="0"/>
        <v>606302</v>
      </c>
      <c r="D15" s="19">
        <f>'DOE25'!L209+'DOE25'!L227+'DOE25'!L245-F15-G15-H15</f>
        <v>93145</v>
      </c>
      <c r="E15" s="180"/>
      <c r="F15" s="181">
        <f>432555+105602-25000</f>
        <v>513157</v>
      </c>
      <c r="G15" s="19">
        <f>'DOE25'!J209+'DOE25'!J227+'DOE25'!J245</f>
        <v>0</v>
      </c>
      <c r="H15" s="19">
        <f>'DOE25'!K209+'DOE25'!K227+'DOE25'!K245</f>
        <v>0</v>
      </c>
      <c r="I15" s="192"/>
    </row>
    <row r="16" spans="1:9" x14ac:dyDescent="0.2">
      <c r="A16" s="31">
        <v>2800</v>
      </c>
      <c r="B16" t="s">
        <v>800</v>
      </c>
      <c r="C16" s="206">
        <f t="shared" si="0"/>
        <v>28538</v>
      </c>
      <c r="D16" s="180"/>
      <c r="E16" s="19">
        <f>'DOE25'!L210+'DOE25'!L228+'DOE25'!L246-F16-G16-H16</f>
        <v>27217</v>
      </c>
      <c r="F16" s="181"/>
      <c r="G16" s="19">
        <f>'DOE25'!J210+'DOE25'!J228+'DOE25'!J246</f>
        <v>1321</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12938</v>
      </c>
      <c r="D19" s="19">
        <f>'DOE25'!L254-F19-G19-H19</f>
        <v>12938</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364686</v>
      </c>
      <c r="D25" s="180"/>
      <c r="E25" s="180"/>
      <c r="F25" s="191"/>
      <c r="G25" s="180"/>
      <c r="H25" s="180"/>
      <c r="I25" s="190">
        <f>'DOE25'!L261+'DOE25'!L262+'DOE25'!L342+'DOE25'!L343</f>
        <v>364686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238372</v>
      </c>
      <c r="D29" s="212">
        <f>'DOE25'!L359+'DOE25'!L360+'DOE25'!L361-'DOE25'!I368-F29-G29-H29-F39</f>
        <v>238372</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1241594</v>
      </c>
      <c r="D31" s="19">
        <f>'DOE25'!L291+'DOE25'!L310+'DOE25'!L329+'DOE25'!L334+'DOE25'!L335+'DOE25'!L336-F31-G31-H31</f>
        <v>1049399</v>
      </c>
      <c r="E31" s="180"/>
      <c r="F31" s="181"/>
      <c r="G31" s="19">
        <f>'DOE25'!J291+'DOE25'!J310+'DOE25'!J329+'DOE25'!J334+'DOE25'!J335+'DOE25'!J336</f>
        <v>191195</v>
      </c>
      <c r="H31" s="19">
        <f>'DOE25'!K291+'DOE25'!K310+'DOE25'!K329+'DOE25'!K334+'DOE25'!K335+'DOE25'!K336</f>
        <v>1000</v>
      </c>
      <c r="I31" s="192"/>
    </row>
    <row r="32" spans="1:9" ht="12" thickBot="1" x14ac:dyDescent="0.25">
      <c r="C32" s="207"/>
      <c r="G32" s="188"/>
      <c r="H32" s="188"/>
      <c r="I32" s="194"/>
    </row>
    <row r="33" spans="1:9" ht="12" thickTop="1" x14ac:dyDescent="0.2">
      <c r="B33" t="s">
        <v>809</v>
      </c>
      <c r="D33" s="182">
        <f t="shared" ref="D33:I33" si="1">SUM(D5:D31)</f>
        <v>13466904</v>
      </c>
      <c r="E33" s="182">
        <f t="shared" si="1"/>
        <v>657226</v>
      </c>
      <c r="F33" s="182">
        <f t="shared" si="1"/>
        <v>729242</v>
      </c>
      <c r="G33" s="182">
        <f t="shared" si="1"/>
        <v>368090</v>
      </c>
      <c r="H33" s="182">
        <f t="shared" si="1"/>
        <v>40653</v>
      </c>
      <c r="I33" s="182">
        <f t="shared" si="1"/>
        <v>364686</v>
      </c>
    </row>
    <row r="34" spans="1:9" ht="12" thickBot="1" x14ac:dyDescent="0.25"/>
    <row r="35" spans="1:9" ht="12" thickBot="1" x14ac:dyDescent="0.25">
      <c r="B35" s="188" t="s">
        <v>830</v>
      </c>
      <c r="D35" s="189">
        <f>E33</f>
        <v>657226</v>
      </c>
      <c r="E35" s="185"/>
      <c r="F35" s="295" t="s">
        <v>1608</v>
      </c>
      <c r="G35" s="296"/>
      <c r="H35" s="296"/>
      <c r="I35" s="297"/>
    </row>
    <row r="36" spans="1:9" ht="12" thickTop="1" x14ac:dyDescent="0.2">
      <c r="B36" t="s">
        <v>810</v>
      </c>
      <c r="D36" s="19">
        <f>D33</f>
        <v>13466904</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102795</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120" zoomScaleNormal="120" workbookViewId="0">
      <selection activeCell="E39" sqref="E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Haverhill Cooperative</v>
      </c>
      <c r="B2">
        <f>'DOE25'!B2</f>
        <v>238</v>
      </c>
      <c r="J2" s="224" t="s">
        <v>1808</v>
      </c>
      <c r="K2" s="309">
        <f>SUM('DOE25'!L198:L201)+SUM('DOE25'!L216:L219)+SUM('DOE25'!L234:L237)+SUM('DOE25'!L277:L280)+SUM('DOE25'!L296:L299)+SUM('DOE25'!L315:L318)</f>
        <v>8708549</v>
      </c>
      <c r="L2" s="309">
        <f>'DOE25'!L203+'DOE25'!L221+'DOE25'!L239+'DOE25'!L282+'DOE25'!L301+'DOE25'!L320</f>
        <v>1476313</v>
      </c>
      <c r="M2" s="309">
        <f>'DOE25'!L204+'DOE25'!L222+'DOE25'!L240+'DOE25'!L283+'DOE25'!L302+'DOE25'!L321</f>
        <v>716173</v>
      </c>
      <c r="N2" s="309">
        <f>'DOE25'!L206+'DOE25'!L224+'DOE25'!L242+'DOE25'!L285+'DOE25'!L304+'DOE25'!L323</f>
        <v>1090187</v>
      </c>
      <c r="O2" s="309">
        <f>'Salaries-Benefits'!B10+'Salaries-Benefits'!B12+'Salaries-Benefits'!B19+'Salaries-Benefits'!B21+'Salaries-Benefits'!B28+'Salaries-Benefits'!B30+'Salaries-Benefits'!B37+'Salaries-Benefits'!B39</f>
        <v>4016660</v>
      </c>
      <c r="P2" s="309">
        <f>'Salaries-Benefits'!B11+'Salaries-Benefits'!B20+'Salaries-Benefits'!B29+'Salaries-Benefits'!B38</f>
        <v>859108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-8708549</v>
      </c>
      <c r="L3" s="311">
        <f t="shared" ref="L3:P3" si="0">L21+L33+L43-L2</f>
        <v>-1476313</v>
      </c>
      <c r="M3" s="311">
        <f t="shared" si="0"/>
        <v>-716173</v>
      </c>
      <c r="N3" s="311">
        <f t="shared" si="0"/>
        <v>-1090187</v>
      </c>
      <c r="O3" s="311">
        <f t="shared" si="0"/>
        <v>-4016660</v>
      </c>
      <c r="P3" s="311">
        <f t="shared" si="0"/>
        <v>-859108</v>
      </c>
      <c r="Q3" s="310"/>
      <c r="R3" s="306"/>
      <c r="S3" s="215"/>
      <c r="T3" s="215"/>
      <c r="U3" s="216"/>
    </row>
    <row r="4" spans="1:21" ht="55.5" customHeight="1" thickBot="1" x14ac:dyDescent="0.25">
      <c r="A4" s="224" t="s">
        <v>1522</v>
      </c>
      <c r="B4" s="224" t="s">
        <v>1523</v>
      </c>
      <c r="C4" s="224" t="s">
        <v>896</v>
      </c>
      <c r="D4" s="224" t="s">
        <v>786</v>
      </c>
      <c r="E4" s="224" t="s">
        <v>786</v>
      </c>
      <c r="F4" s="228">
        <f>SUM(F5:F20)</f>
        <v>4629657</v>
      </c>
      <c r="G4" s="229">
        <f>'DOE25'!L212+'DOE25'!L291</f>
        <v>4629657</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Woodsville Elementary School</v>
      </c>
      <c r="B6" s="230">
        <f>IFERROR(VLOOKUP(A6,'School Tables'!$C$3:$D$365,2,FALSE),"")</f>
        <v>20905</v>
      </c>
      <c r="C6" s="223" t="str">
        <f>IFERROR(INDEX('School Tables'!$B$3:$B$365,MATCH('School Level Expenditures'!B6,'School Tables'!$D$3:$D$365,0)),"")</f>
        <v>Haverhill Cooperative</v>
      </c>
      <c r="D6" s="220">
        <v>3948244</v>
      </c>
      <c r="E6" s="220">
        <v>681413</v>
      </c>
      <c r="F6" s="232">
        <f t="shared" ref="F6:F20" si="1">D6+E6</f>
        <v>4629657</v>
      </c>
      <c r="G6" s="223"/>
      <c r="H6" s="223"/>
      <c r="J6" t="str">
        <f>A6</f>
        <v>Woodsville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3948244</v>
      </c>
      <c r="E21" s="262">
        <f>SUM(E5:E20)</f>
        <v>681413</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4745929</v>
      </c>
      <c r="G24" s="229">
        <f>'DOE25'!L230+'DOE25'!L310</f>
        <v>4745929</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Haverhill Cooperative Middle School</v>
      </c>
      <c r="B26" s="230">
        <f>IFERROR(VLOOKUP(A26,'School Tables'!$N$4:$O$75,2,FALSE),"")</f>
        <v>26875</v>
      </c>
      <c r="C26" s="223" t="str">
        <f>IFERROR(INDEX('School Tables'!$M$4:$M$75,MATCH('School Level Expenditures'!A26,'School Tables'!$N$4:$N$75,0)),"")</f>
        <v>Haverhill Cooperative</v>
      </c>
      <c r="D26" s="220">
        <v>4436175</v>
      </c>
      <c r="E26" s="220">
        <v>309754</v>
      </c>
      <c r="F26" s="232">
        <f t="shared" ref="F26:F32" si="4">D26+E26</f>
        <v>4745929</v>
      </c>
      <c r="G26" s="223"/>
      <c r="H26" s="223"/>
      <c r="J26" t="str">
        <f t="shared" ref="J26:J32" si="5">A26</f>
        <v>Haverhill Cooperative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4436175</v>
      </c>
      <c r="E33" s="262">
        <f>SUM(E25:E32)</f>
        <v>309754</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5635219</v>
      </c>
      <c r="G36" s="229">
        <f>'DOE25'!L248+'DOE25'!L329</f>
        <v>5635219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Woodsville High School</v>
      </c>
      <c r="B38" s="230">
        <f>IFERROR(VLOOKUP(A38,'School Tables'!$Y$4:$Z$100,2,FALSE),"")</f>
        <v>20910</v>
      </c>
      <c r="C38" s="223" t="str">
        <f>IFERROR(INDEX('School Tables'!$X$4:$X$100,MATCH('School Level Expenditures'!A38,'School Tables'!$Y$4:$Y$100,0)),"")</f>
        <v>Haverhill Cooperative</v>
      </c>
      <c r="D38" s="220">
        <v>5384792</v>
      </c>
      <c r="E38" s="220">
        <v>250427</v>
      </c>
      <c r="F38" s="232">
        <f t="shared" si="7"/>
        <v>5635219</v>
      </c>
      <c r="G38" s="223"/>
      <c r="H38" s="223"/>
      <c r="J38" t="str">
        <f t="shared" ref="J38:J42" si="8">A38</f>
        <v>Woodsville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5384792</v>
      </c>
      <c r="E43" s="263">
        <f>SUM(E37:E42)</f>
        <v>250427</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22" zoomScale="80"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Haverhill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1205840</v>
      </c>
      <c r="D8" s="73">
        <f>'DOE25'!G9</f>
        <v>0</v>
      </c>
      <c r="E8" s="73">
        <f>'DOE25'!H9</f>
        <v>0</v>
      </c>
      <c r="F8" s="73">
        <f>'DOE25'!I9</f>
        <v>0</v>
      </c>
      <c r="G8" s="73">
        <f>'DOE25'!J9</f>
        <v>0</v>
      </c>
      <c r="H8" s="13">
        <f>SUM(C8:G8)</f>
        <v>1205840</v>
      </c>
      <c r="I8" s="90"/>
    </row>
    <row r="9" spans="1:9" x14ac:dyDescent="0.2">
      <c r="A9" s="1" t="s">
        <v>140</v>
      </c>
      <c r="B9" s="6">
        <v>110</v>
      </c>
      <c r="C9" s="73">
        <f>'DOE25'!F10</f>
        <v>0</v>
      </c>
      <c r="D9" s="73">
        <f>'DOE25'!G10</f>
        <v>0</v>
      </c>
      <c r="E9" s="73">
        <f>'DOE25'!H10</f>
        <v>0</v>
      </c>
      <c r="F9" s="73">
        <f>'DOE25'!I10</f>
        <v>0</v>
      </c>
      <c r="G9" s="73">
        <f>'DOE25'!J10</f>
        <v>1351352</v>
      </c>
      <c r="H9" s="13">
        <f t="shared" ref="H9:H18" si="0">SUM(C9:G9)</f>
        <v>1351352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138941</v>
      </c>
      <c r="D11" s="73">
        <f>'DOE25'!G12</f>
        <v>0</v>
      </c>
      <c r="E11" s="73">
        <f>'DOE25'!H12</f>
        <v>0</v>
      </c>
      <c r="F11" s="73">
        <f>'DOE25'!I12</f>
        <v>0</v>
      </c>
      <c r="G11" s="73">
        <f>'DOE25'!J12</f>
        <v>0</v>
      </c>
      <c r="H11" s="13">
        <f t="shared" si="0"/>
        <v>138941</v>
      </c>
      <c r="I11" s="90"/>
    </row>
    <row r="12" spans="1:9" x14ac:dyDescent="0.2">
      <c r="A12" s="1" t="s">
        <v>143</v>
      </c>
      <c r="B12" s="6">
        <v>140</v>
      </c>
      <c r="C12" s="73">
        <f>'DOE25'!F13</f>
        <v>544895</v>
      </c>
      <c r="D12" s="73">
        <f>'DOE25'!G13</f>
        <v>41518</v>
      </c>
      <c r="E12" s="73">
        <f>'DOE25'!H13</f>
        <v>247236</v>
      </c>
      <c r="F12" s="73">
        <f>'DOE25'!I13</f>
        <v>0</v>
      </c>
      <c r="G12" s="73">
        <f>'DOE25'!J13</f>
        <v>0</v>
      </c>
      <c r="H12" s="13">
        <f t="shared" si="0"/>
        <v>833649</v>
      </c>
      <c r="I12" s="90"/>
    </row>
    <row r="13" spans="1:9" x14ac:dyDescent="0.2">
      <c r="A13" s="1" t="s">
        <v>144</v>
      </c>
      <c r="B13" s="6">
        <v>150</v>
      </c>
      <c r="C13" s="73">
        <f>'DOE25'!F14</f>
        <v>132848</v>
      </c>
      <c r="D13" s="73">
        <f>'DOE25'!G14</f>
        <v>0</v>
      </c>
      <c r="E13" s="73">
        <f>'DOE25'!H14</f>
        <v>0</v>
      </c>
      <c r="F13" s="73">
        <f>'DOE25'!I14</f>
        <v>0</v>
      </c>
      <c r="G13" s="73">
        <f>'DOE25'!J14</f>
        <v>0</v>
      </c>
      <c r="H13" s="13">
        <f t="shared" si="0"/>
        <v>132848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201679</v>
      </c>
      <c r="D16" s="73">
        <f>'DOE25'!G17</f>
        <v>0</v>
      </c>
      <c r="E16" s="73">
        <f>'DOE25'!H17</f>
        <v>0</v>
      </c>
      <c r="F16" s="73">
        <f>'DOE25'!I17</f>
        <v>0</v>
      </c>
      <c r="G16" s="73">
        <f>'DOE25'!J17</f>
        <v>0</v>
      </c>
      <c r="H16" s="13">
        <f t="shared" si="0"/>
        <v>201679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2224203</v>
      </c>
      <c r="D18" s="38">
        <f>SUM(D8:D17)</f>
        <v>41518</v>
      </c>
      <c r="E18" s="38">
        <f>SUM(E8:E17)</f>
        <v>247236</v>
      </c>
      <c r="F18" s="38">
        <f>SUM(F8:F17)</f>
        <v>0</v>
      </c>
      <c r="G18" s="38">
        <f>SUM(G8:G17)</f>
        <v>1351352</v>
      </c>
      <c r="H18" s="38">
        <f t="shared" si="0"/>
        <v>3864309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6495</v>
      </c>
      <c r="E21" s="73">
        <f>'DOE25'!H22</f>
        <v>132445</v>
      </c>
      <c r="F21" s="73">
        <f>'DOE25'!I22</f>
        <v>0</v>
      </c>
      <c r="G21" s="73">
        <f>'DOE25'!J22</f>
        <v>0</v>
      </c>
      <c r="H21" s="13">
        <f t="shared" ref="H21:H31" si="1">SUM(C21:G21)</f>
        <v>138940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387546</v>
      </c>
      <c r="D23" s="73">
        <f>'DOE25'!G24</f>
        <v>28145</v>
      </c>
      <c r="E23" s="73">
        <f>'DOE25'!H24</f>
        <v>62932</v>
      </c>
      <c r="F23" s="73">
        <f>'DOE25'!I24</f>
        <v>0</v>
      </c>
      <c r="G23" s="73">
        <f>'DOE25'!J24</f>
        <v>0</v>
      </c>
      <c r="H23" s="13">
        <f t="shared" si="1"/>
        <v>478623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7151</v>
      </c>
      <c r="D28" s="73">
        <f>'DOE25'!G29</f>
        <v>0</v>
      </c>
      <c r="E28" s="73">
        <f>'DOE25'!H29</f>
        <v>765</v>
      </c>
      <c r="F28" s="73">
        <f>'DOE25'!I29</f>
        <v>0</v>
      </c>
      <c r="G28" s="23" t="s">
        <v>288</v>
      </c>
      <c r="H28" s="13">
        <f t="shared" si="1"/>
        <v>7916</v>
      </c>
      <c r="I28" s="90"/>
    </row>
    <row r="29" spans="1:9" x14ac:dyDescent="0.2">
      <c r="A29" s="1" t="s">
        <v>158</v>
      </c>
      <c r="B29" s="6">
        <v>480</v>
      </c>
      <c r="C29" s="73">
        <f>'DOE25'!F30</f>
        <v>0</v>
      </c>
      <c r="D29" s="73">
        <f>'DOE25'!G30</f>
        <v>6878</v>
      </c>
      <c r="E29" s="73">
        <f>'DOE25'!H30</f>
        <v>43986</v>
      </c>
      <c r="F29" s="73">
        <f>'DOE25'!I30</f>
        <v>0</v>
      </c>
      <c r="G29" s="23" t="s">
        <v>288</v>
      </c>
      <c r="H29" s="13">
        <f t="shared" si="1"/>
        <v>50864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394697</v>
      </c>
      <c r="D31" s="38">
        <f>SUM(D21:D30)</f>
        <v>41518</v>
      </c>
      <c r="E31" s="38">
        <f>SUM(E21:E30)</f>
        <v>240128</v>
      </c>
      <c r="F31" s="38">
        <f>SUM(F21:F30)</f>
        <v>0</v>
      </c>
      <c r="G31" s="38">
        <f>SUM(G21:G30)</f>
        <v>0</v>
      </c>
      <c r="H31" s="38">
        <f t="shared" si="1"/>
        <v>676343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201679</v>
      </c>
      <c r="D35" s="73">
        <f>'DOE25'!G36</f>
        <v>0</v>
      </c>
      <c r="E35" s="73">
        <f>'DOE25'!H36</f>
        <v>0</v>
      </c>
      <c r="F35" s="73">
        <f>'DOE25'!I36</f>
        <v>0</v>
      </c>
      <c r="G35" s="23" t="s">
        <v>288</v>
      </c>
      <c r="H35" s="13">
        <f t="shared" si="2"/>
        <v>201679</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190870</v>
      </c>
      <c r="D43" s="73">
        <f>'DOE25'!G44</f>
        <v>0</v>
      </c>
      <c r="E43" s="73">
        <f>'DOE25'!H44</f>
        <v>0</v>
      </c>
      <c r="F43" s="73">
        <f>'DOE25'!I44</f>
        <v>0</v>
      </c>
      <c r="G43" s="23" t="s">
        <v>288</v>
      </c>
      <c r="H43" s="13">
        <f t="shared" si="2"/>
        <v>190870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173488</v>
      </c>
      <c r="D45" s="23" t="s">
        <v>288</v>
      </c>
      <c r="E45" s="23" t="s">
        <v>288</v>
      </c>
      <c r="F45" s="23" t="s">
        <v>288</v>
      </c>
      <c r="G45" s="23" t="s">
        <v>288</v>
      </c>
      <c r="H45" s="13">
        <f t="shared" si="2"/>
        <v>173488</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913469</v>
      </c>
      <c r="D47" s="73">
        <f>'DOE25'!G48</f>
        <v>0</v>
      </c>
      <c r="E47" s="73">
        <f>'DOE25'!H48</f>
        <v>7108</v>
      </c>
      <c r="F47" s="73">
        <f>'DOE25'!I48</f>
        <v>0</v>
      </c>
      <c r="G47" s="73">
        <f>'DOE25'!J48</f>
        <v>1351352</v>
      </c>
      <c r="H47" s="13">
        <f t="shared" si="2"/>
        <v>2271929</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350000</v>
      </c>
      <c r="D49" s="23" t="s">
        <v>288</v>
      </c>
      <c r="E49" s="23" t="s">
        <v>288</v>
      </c>
      <c r="F49" s="23" t="s">
        <v>288</v>
      </c>
      <c r="G49" s="23" t="s">
        <v>288</v>
      </c>
      <c r="H49" s="13">
        <f t="shared" si="2"/>
        <v>350000</v>
      </c>
      <c r="I49" s="90"/>
    </row>
    <row r="50" spans="1:9" ht="12.75" thickTop="1" thickBot="1" x14ac:dyDescent="0.25">
      <c r="A50" s="35" t="s">
        <v>883</v>
      </c>
      <c r="B50" s="44"/>
      <c r="C50" s="38">
        <f>SUM(C34:C49)</f>
        <v>1829506</v>
      </c>
      <c r="D50" s="38">
        <f>SUM(D34:D49)</f>
        <v>0</v>
      </c>
      <c r="E50" s="38">
        <f>SUM(E34:E49)</f>
        <v>7108</v>
      </c>
      <c r="F50" s="38">
        <f>SUM(F34:F49)</f>
        <v>0</v>
      </c>
      <c r="G50" s="38">
        <f>SUM(G34:G49)</f>
        <v>1351352</v>
      </c>
      <c r="H50" s="38">
        <f t="shared" si="2"/>
        <v>3187966</v>
      </c>
      <c r="I50" s="90"/>
    </row>
    <row r="51" spans="1:9" ht="12" thickTop="1" x14ac:dyDescent="0.2">
      <c r="A51" s="35" t="s">
        <v>884</v>
      </c>
      <c r="B51" s="2"/>
      <c r="C51" s="38">
        <f>C50+C31</f>
        <v>2224203</v>
      </c>
      <c r="D51" s="38">
        <f>D50+D31</f>
        <v>41518</v>
      </c>
      <c r="E51" s="38">
        <f>E50+E31</f>
        <v>247236</v>
      </c>
      <c r="F51" s="38">
        <f>F50+F31</f>
        <v>0</v>
      </c>
      <c r="G51" s="38">
        <f>G50+G31</f>
        <v>1351352</v>
      </c>
      <c r="H51" s="38">
        <f t="shared" si="2"/>
        <v>3864309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6779592</v>
      </c>
      <c r="D56" s="73">
        <f>'DOE25'!G60</f>
        <v>0</v>
      </c>
      <c r="E56" s="73">
        <f>'DOE25'!H60</f>
        <v>0</v>
      </c>
      <c r="F56" s="73">
        <f>'DOE25'!I60</f>
        <v>0</v>
      </c>
      <c r="G56" s="73">
        <f>'DOE25'!J60</f>
        <v>0</v>
      </c>
      <c r="H56" s="13">
        <f t="shared" ref="H56:H63" si="3">SUM(C56:G56)</f>
        <v>6779592</v>
      </c>
      <c r="I56"/>
    </row>
    <row r="57" spans="1:9" x14ac:dyDescent="0.2">
      <c r="A57" s="1" t="s">
        <v>164</v>
      </c>
      <c r="B57" s="6" t="s">
        <v>165</v>
      </c>
      <c r="C57" s="73">
        <f>'DOE25'!F79</f>
        <v>1495052</v>
      </c>
      <c r="D57" s="23" t="s">
        <v>288</v>
      </c>
      <c r="E57" s="73">
        <f>'DOE25'!H79</f>
        <v>0</v>
      </c>
      <c r="F57" s="23" t="s">
        <v>288</v>
      </c>
      <c r="G57" s="23" t="s">
        <v>288</v>
      </c>
      <c r="H57" s="13">
        <f t="shared" si="3"/>
        <v>1495052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28875</v>
      </c>
      <c r="D59" s="73">
        <f>'DOE25'!G96</f>
        <v>0</v>
      </c>
      <c r="E59" s="73">
        <f>'DOE25'!H96</f>
        <v>0</v>
      </c>
      <c r="F59" s="73">
        <f>'DOE25'!I96</f>
        <v>0</v>
      </c>
      <c r="G59" s="73">
        <f>'DOE25'!J96</f>
        <v>16811</v>
      </c>
      <c r="H59" s="13">
        <f t="shared" si="3"/>
        <v>45686</v>
      </c>
      <c r="I59"/>
    </row>
    <row r="60" spans="1:9" x14ac:dyDescent="0.2">
      <c r="A60" s="1" t="s">
        <v>170</v>
      </c>
      <c r="B60" s="22" t="s">
        <v>171</v>
      </c>
      <c r="C60" s="23" t="s">
        <v>288</v>
      </c>
      <c r="D60" s="73">
        <f>'DOE25'!G97</f>
        <v>29780</v>
      </c>
      <c r="E60" s="23" t="s">
        <v>288</v>
      </c>
      <c r="F60" s="23" t="s">
        <v>288</v>
      </c>
      <c r="G60" s="23" t="s">
        <v>288</v>
      </c>
      <c r="H60" s="13">
        <f t="shared" si="3"/>
        <v>29780</v>
      </c>
      <c r="I60"/>
    </row>
    <row r="61" spans="1:9" ht="12" thickBot="1" x14ac:dyDescent="0.25">
      <c r="A61" s="1" t="s">
        <v>172</v>
      </c>
      <c r="B61" s="22" t="s">
        <v>173</v>
      </c>
      <c r="C61" s="73">
        <f>SUM('DOE25'!F98:F110)</f>
        <v>80688</v>
      </c>
      <c r="D61" s="73">
        <f>SUM('DOE25'!G98:G110)</f>
        <v>1823</v>
      </c>
      <c r="E61" s="73">
        <f>SUM('DOE25'!H98:H110)</f>
        <v>22963</v>
      </c>
      <c r="F61" s="73">
        <f>SUM('DOE25'!I98:I110)</f>
        <v>0</v>
      </c>
      <c r="G61" s="73">
        <f>SUM('DOE25'!J98:J110)</f>
        <v>0</v>
      </c>
      <c r="H61" s="13">
        <f t="shared" si="3"/>
        <v>105474</v>
      </c>
      <c r="I61"/>
    </row>
    <row r="62" spans="1:9" ht="12.75" thickTop="1" thickBot="1" x14ac:dyDescent="0.25">
      <c r="A62" s="28" t="s">
        <v>174</v>
      </c>
      <c r="B62" s="6"/>
      <c r="C62" s="93">
        <f>SUM(C57:C61)</f>
        <v>1604615</v>
      </c>
      <c r="D62" s="93">
        <f>SUM(D57:D61)</f>
        <v>31603</v>
      </c>
      <c r="E62" s="93">
        <f>SUM(E57:E61)</f>
        <v>22963</v>
      </c>
      <c r="F62" s="93">
        <f>SUM(F57:F61)</f>
        <v>0</v>
      </c>
      <c r="G62" s="93">
        <f>SUM(G57:G61)</f>
        <v>16811</v>
      </c>
      <c r="H62" s="13">
        <f t="shared" si="3"/>
        <v>1675992</v>
      </c>
      <c r="I62"/>
    </row>
    <row r="63" spans="1:9" ht="12" thickTop="1" x14ac:dyDescent="0.2">
      <c r="A63" s="28" t="s">
        <v>175</v>
      </c>
      <c r="B63" s="6"/>
      <c r="C63" s="21">
        <f>C56+C62</f>
        <v>8384207</v>
      </c>
      <c r="D63" s="21">
        <f>D56+D62</f>
        <v>31603</v>
      </c>
      <c r="E63" s="21">
        <f>E56+E62</f>
        <v>22963</v>
      </c>
      <c r="F63" s="21">
        <f>F56+F62</f>
        <v>0</v>
      </c>
      <c r="G63" s="21">
        <f>G56+G62</f>
        <v>16811</v>
      </c>
      <c r="H63" s="13">
        <f t="shared" si="3"/>
        <v>8455584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4606919</v>
      </c>
      <c r="D66" s="23" t="s">
        <v>288</v>
      </c>
      <c r="E66" s="23" t="s">
        <v>288</v>
      </c>
      <c r="F66" s="23" t="s">
        <v>288</v>
      </c>
      <c r="G66" s="23" t="s">
        <v>288</v>
      </c>
      <c r="H66" s="13">
        <f t="shared" ref="H66:H81" si="4">SUM(C66:G66)</f>
        <v>4606919</v>
      </c>
      <c r="I66"/>
    </row>
    <row r="67" spans="1:9" x14ac:dyDescent="0.2">
      <c r="A67" s="1" t="s">
        <v>770</v>
      </c>
      <c r="B67" s="6">
        <v>3112</v>
      </c>
      <c r="C67" s="73">
        <f>'DOE25'!F118</f>
        <v>455227</v>
      </c>
      <c r="D67" s="23"/>
      <c r="E67" s="23"/>
      <c r="F67" s="23"/>
      <c r="G67" s="23"/>
      <c r="H67" s="13">
        <f t="shared" si="4"/>
        <v>455227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3836</v>
      </c>
      <c r="F69" s="73">
        <f>'DOE25'!I120</f>
        <v>0</v>
      </c>
      <c r="G69" s="73">
        <f>'DOE25'!J120</f>
        <v>0</v>
      </c>
      <c r="H69" s="13">
        <f t="shared" si="4"/>
        <v>3836</v>
      </c>
      <c r="I69"/>
    </row>
    <row r="70" spans="1:9" ht="12" thickTop="1" x14ac:dyDescent="0.2">
      <c r="A70" s="28" t="s">
        <v>252</v>
      </c>
      <c r="B70" s="2"/>
      <c r="C70" s="97">
        <f>SUM(C66:C69)</f>
        <v>5062146</v>
      </c>
      <c r="D70" s="97">
        <f>D69</f>
        <v>0</v>
      </c>
      <c r="E70" s="97">
        <f>E69</f>
        <v>3836</v>
      </c>
      <c r="F70" s="97">
        <f>F69</f>
        <v>0</v>
      </c>
      <c r="G70" s="97">
        <f>G69</f>
        <v>0</v>
      </c>
      <c r="H70" s="13">
        <f t="shared" si="4"/>
        <v>5065982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75250</v>
      </c>
      <c r="D72" s="23" t="s">
        <v>288</v>
      </c>
      <c r="E72" s="23" t="s">
        <v>288</v>
      </c>
      <c r="F72" s="73">
        <f>'DOE25'!I123</f>
        <v>0</v>
      </c>
      <c r="G72" s="23" t="s">
        <v>288</v>
      </c>
      <c r="H72" s="13">
        <f t="shared" si="4"/>
        <v>75250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127086</v>
      </c>
      <c r="D76" s="23" t="s">
        <v>288</v>
      </c>
      <c r="E76" s="73">
        <f>SUM('DOE25'!H127:H130)</f>
        <v>0</v>
      </c>
      <c r="F76" s="73">
        <f>SUM('DOE25'!I127:I130)</f>
        <v>0</v>
      </c>
      <c r="G76" s="23" t="s">
        <v>288</v>
      </c>
      <c r="H76" s="13">
        <f t="shared" si="4"/>
        <v>127086</v>
      </c>
      <c r="I76"/>
    </row>
    <row r="77" spans="1:9" ht="12" thickBot="1" x14ac:dyDescent="0.25">
      <c r="A77" s="1" t="s">
        <v>258</v>
      </c>
      <c r="B77" s="6" t="s">
        <v>180</v>
      </c>
      <c r="C77" s="73">
        <f>SUM('DOE25'!F131:F135)</f>
        <v>80289</v>
      </c>
      <c r="D77" s="73">
        <f>SUM('DOE25'!G131:G135)</f>
        <v>2749</v>
      </c>
      <c r="E77" s="73">
        <f>SUM('DOE25'!H131:H135)</f>
        <v>0</v>
      </c>
      <c r="F77" s="73">
        <f>SUM('DOE25'!I131:I135)</f>
        <v>0</v>
      </c>
      <c r="G77" s="73">
        <f>SUM('DOE25'!J131:J135)</f>
        <v>0</v>
      </c>
      <c r="H77" s="13">
        <f t="shared" si="4"/>
        <v>83038</v>
      </c>
      <c r="I77"/>
    </row>
    <row r="78" spans="1:9" ht="12.75" thickTop="1" thickBot="1" x14ac:dyDescent="0.25">
      <c r="A78" s="28" t="s">
        <v>259</v>
      </c>
      <c r="B78" s="6"/>
      <c r="C78" s="93">
        <f>SUM(C72:C77)</f>
        <v>282625</v>
      </c>
      <c r="D78" s="93">
        <f>SUM(D72:D77)</f>
        <v>2749</v>
      </c>
      <c r="E78" s="93">
        <f>SUM(E72:E77)</f>
        <v>0</v>
      </c>
      <c r="F78" s="93">
        <f>SUM(F72:F77)</f>
        <v>0</v>
      </c>
      <c r="G78" s="93">
        <f>SUM(G72:G77)</f>
        <v>0</v>
      </c>
      <c r="H78" s="13">
        <f t="shared" si="4"/>
        <v>285374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5344771</v>
      </c>
      <c r="D81" s="93">
        <f>SUM(D79:D80)+D78+D70</f>
        <v>2749</v>
      </c>
      <c r="E81" s="93">
        <f>SUM(E79:E80)+E78+E70</f>
        <v>3836</v>
      </c>
      <c r="F81" s="93">
        <f>SUM(F79:F80)+F78+F70</f>
        <v>0</v>
      </c>
      <c r="G81" s="93">
        <f>SUM(G79:G80)+G78+G70</f>
        <v>0</v>
      </c>
      <c r="H81" s="93">
        <f t="shared" si="4"/>
        <v>5351356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103481</v>
      </c>
      <c r="D88" s="253">
        <f>SUM('DOE25'!G153:G162)</f>
        <v>212545</v>
      </c>
      <c r="E88" s="253">
        <f>SUM('DOE25'!H153:H162)</f>
        <v>1215377</v>
      </c>
      <c r="F88" s="253">
        <f>SUM('DOE25'!I153:I162)</f>
        <v>0</v>
      </c>
      <c r="G88" s="23" t="s">
        <v>288</v>
      </c>
      <c r="H88" s="13">
        <f t="shared" si="5"/>
        <v>1531403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1462</v>
      </c>
      <c r="D90" s="23" t="s">
        <v>288</v>
      </c>
      <c r="E90" s="23" t="s">
        <v>288</v>
      </c>
      <c r="F90" s="23" t="s">
        <v>288</v>
      </c>
      <c r="G90" s="23" t="s">
        <v>288</v>
      </c>
      <c r="H90" s="13">
        <f t="shared" si="5"/>
        <v>1462</v>
      </c>
    </row>
    <row r="91" spans="1:9" ht="12.75" thickTop="1" thickBot="1" x14ac:dyDescent="0.25">
      <c r="A91" s="32" t="s">
        <v>750</v>
      </c>
      <c r="C91" s="94">
        <f>SUM(C85:C90)</f>
        <v>104943</v>
      </c>
      <c r="D91" s="94">
        <f>SUM(D85:D90)</f>
        <v>212545</v>
      </c>
      <c r="E91" s="94">
        <f>SUM(E85:E90)</f>
        <v>1215377</v>
      </c>
      <c r="F91" s="94">
        <f>SUM(F85:F90)</f>
        <v>0</v>
      </c>
      <c r="G91" s="23" t="s">
        <v>288</v>
      </c>
      <c r="H91" s="13">
        <f t="shared" si="5"/>
        <v>1532865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94270</v>
      </c>
      <c r="E96" s="73">
        <f>'DOE25'!H180</f>
        <v>0</v>
      </c>
      <c r="F96" s="73">
        <f>'DOE25'!I180</f>
        <v>0</v>
      </c>
      <c r="G96" s="73">
        <f>'DOE25'!J180</f>
        <v>120000</v>
      </c>
      <c r="H96" s="13">
        <f t="shared" si="5"/>
        <v>214270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134943</v>
      </c>
      <c r="D100" s="73">
        <f>SUM('DOE25'!G187:G188)</f>
        <v>0</v>
      </c>
      <c r="E100" s="73">
        <f>SUM('DOE25'!H187:H188)</f>
        <v>0</v>
      </c>
      <c r="F100" s="73">
        <f>SUM('DOE25'!I187:I188)</f>
        <v>0</v>
      </c>
      <c r="G100" s="23" t="s">
        <v>288</v>
      </c>
      <c r="H100" s="13">
        <f t="shared" si="5"/>
        <v>134943</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134943</v>
      </c>
      <c r="D103" s="68">
        <f>SUM(D93:D102)</f>
        <v>94270</v>
      </c>
      <c r="E103" s="68">
        <f>SUM(E93:E102)</f>
        <v>0</v>
      </c>
      <c r="F103" s="68">
        <f>SUM(F93:F102)</f>
        <v>0</v>
      </c>
      <c r="G103" s="68">
        <f>SUM(G93:G102)</f>
        <v>120000</v>
      </c>
      <c r="H103" s="68">
        <f t="shared" si="5"/>
        <v>349213</v>
      </c>
    </row>
    <row r="104" spans="1:8" ht="12.75" thickTop="1" thickBot="1" x14ac:dyDescent="0.25">
      <c r="A104" s="32" t="s">
        <v>761</v>
      </c>
      <c r="C104" s="68">
        <f>C63+C81+C91+C103</f>
        <v>13968864</v>
      </c>
      <c r="D104" s="68">
        <f>D63+D81+D91+D103</f>
        <v>341167</v>
      </c>
      <c r="E104" s="68">
        <f>E63+E81+E91+E103</f>
        <v>1242176</v>
      </c>
      <c r="F104" s="68">
        <f>F63+F81+F91+F103</f>
        <v>0</v>
      </c>
      <c r="G104" s="68">
        <f>G63+G81+G103</f>
        <v>136811</v>
      </c>
      <c r="H104" s="68">
        <f t="shared" si="5"/>
        <v>15689018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4881394</v>
      </c>
      <c r="D109" s="23" t="s">
        <v>288</v>
      </c>
      <c r="E109" s="73">
        <f>('DOE25'!L277)+('DOE25'!L296)+('DOE25'!L315)</f>
        <v>267108</v>
      </c>
      <c r="F109" s="23" t="s">
        <v>288</v>
      </c>
      <c r="G109" s="23" t="s">
        <v>288</v>
      </c>
      <c r="H109" s="13">
        <f t="shared" ref="H109:H115" si="6">SUM(C109:G109)</f>
        <v>5148502</v>
      </c>
    </row>
    <row r="110" spans="1:8" x14ac:dyDescent="0.2">
      <c r="A110" t="s">
        <v>198</v>
      </c>
      <c r="B110" s="31" t="s">
        <v>199</v>
      </c>
      <c r="C110" s="73">
        <f>('DOE25'!L199)+('DOE25'!L217)+('DOE25'!L235)</f>
        <v>2490836</v>
      </c>
      <c r="D110" s="23" t="s">
        <v>288</v>
      </c>
      <c r="E110" s="73">
        <f>('DOE25'!L278)+('DOE25'!L297)+('DOE25'!L316)</f>
        <v>255276</v>
      </c>
      <c r="F110" s="23" t="s">
        <v>288</v>
      </c>
      <c r="G110" s="23" t="s">
        <v>288</v>
      </c>
      <c r="H110" s="13">
        <f t="shared" si="6"/>
        <v>2746112</v>
      </c>
    </row>
    <row r="111" spans="1:8" x14ac:dyDescent="0.2">
      <c r="A111" t="s">
        <v>200</v>
      </c>
      <c r="B111" s="31" t="s">
        <v>165</v>
      </c>
      <c r="C111" s="73">
        <f>('DOE25'!L200)+('DOE25'!L218)+('DOE25'!L236)</f>
        <v>364473</v>
      </c>
      <c r="D111" s="23" t="s">
        <v>288</v>
      </c>
      <c r="E111" s="73">
        <f>('DOE25'!L279)+('DOE25'!L298)+('DOE25'!L317)</f>
        <v>0</v>
      </c>
      <c r="F111" s="23" t="s">
        <v>288</v>
      </c>
      <c r="G111" s="23" t="s">
        <v>288</v>
      </c>
      <c r="H111" s="13">
        <f t="shared" si="6"/>
        <v>364473</v>
      </c>
    </row>
    <row r="112" spans="1:8" x14ac:dyDescent="0.2">
      <c r="A112" t="s">
        <v>201</v>
      </c>
      <c r="B112" s="31" t="s">
        <v>167</v>
      </c>
      <c r="C112" s="73">
        <f>('DOE25'!L201)+('DOE25'!L219)+('DOE25'!L237)</f>
        <v>398117</v>
      </c>
      <c r="D112" s="23" t="s">
        <v>288</v>
      </c>
      <c r="E112" s="73">
        <f>+('DOE25'!L280)+('DOE25'!L299)+('DOE25'!L318)</f>
        <v>51345</v>
      </c>
      <c r="F112" s="23" t="s">
        <v>288</v>
      </c>
      <c r="G112" s="23" t="s">
        <v>288</v>
      </c>
      <c r="H112" s="13">
        <f t="shared" si="6"/>
        <v>449462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12938</v>
      </c>
      <c r="D114" s="23" t="s">
        <v>288</v>
      </c>
      <c r="E114" s="73">
        <f>+ SUM('DOE25'!L334:L336)</f>
        <v>0</v>
      </c>
      <c r="F114" s="23" t="s">
        <v>288</v>
      </c>
      <c r="G114" s="23" t="s">
        <v>288</v>
      </c>
      <c r="H114" s="13">
        <f t="shared" si="6"/>
        <v>12938</v>
      </c>
    </row>
    <row r="115" spans="1:8" ht="12.75" thickTop="1" thickBot="1" x14ac:dyDescent="0.25">
      <c r="A115" s="32" t="s">
        <v>205</v>
      </c>
      <c r="C115" s="68">
        <f>SUM(C109:C114)</f>
        <v>8147758</v>
      </c>
      <c r="D115" s="68">
        <f>SUM(D109:D114)</f>
        <v>0</v>
      </c>
      <c r="E115" s="68">
        <f>SUM(E109:E114)</f>
        <v>573729</v>
      </c>
      <c r="F115" s="68">
        <f>SUM(F109:F114)</f>
        <v>0</v>
      </c>
      <c r="G115" s="68">
        <f>SUM(G109:G114)</f>
        <v>0</v>
      </c>
      <c r="H115" s="68">
        <f t="shared" si="6"/>
        <v>8721487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1128722</v>
      </c>
      <c r="D118" s="23" t="s">
        <v>288</v>
      </c>
      <c r="E118" s="73">
        <f>+('DOE25'!L282)+('DOE25'!L301)+('DOE25'!L320)</f>
        <v>347591</v>
      </c>
      <c r="F118" s="23" t="s">
        <v>288</v>
      </c>
      <c r="G118" s="23" t="s">
        <v>288</v>
      </c>
      <c r="H118" s="13">
        <f t="shared" ref="H118:H145" si="7">SUM(C118:G118)</f>
        <v>1476313</v>
      </c>
    </row>
    <row r="119" spans="1:8" x14ac:dyDescent="0.2">
      <c r="A119" t="s">
        <v>208</v>
      </c>
      <c r="B119" s="31" t="s">
        <v>209</v>
      </c>
      <c r="C119" s="73">
        <f>('DOE25'!L204)+('DOE25'!L222)+('DOE25'!L240)</f>
        <v>586090</v>
      </c>
      <c r="D119" s="23" t="s">
        <v>288</v>
      </c>
      <c r="E119" s="73">
        <f>+('DOE25'!L283)+('DOE25'!L302)+('DOE25'!L321)</f>
        <v>130083</v>
      </c>
      <c r="F119" s="23" t="s">
        <v>288</v>
      </c>
      <c r="G119" s="23" t="s">
        <v>288</v>
      </c>
      <c r="H119" s="13">
        <f t="shared" si="7"/>
        <v>716173</v>
      </c>
    </row>
    <row r="120" spans="1:8" x14ac:dyDescent="0.2">
      <c r="A120" t="s">
        <v>210</v>
      </c>
      <c r="B120" s="31" t="s">
        <v>211</v>
      </c>
      <c r="C120" s="73">
        <f>('DOE25'!L205)+('DOE25'!L223)+('DOE25'!L241)</f>
        <v>847711</v>
      </c>
      <c r="D120" s="23" t="s">
        <v>288</v>
      </c>
      <c r="E120" s="73">
        <f>+('DOE25'!L284)+('DOE25'!L303)+('DOE25'!L322)</f>
        <v>5642</v>
      </c>
      <c r="F120" s="23" t="s">
        <v>288</v>
      </c>
      <c r="G120" s="23" t="s">
        <v>288</v>
      </c>
      <c r="H120" s="13">
        <f t="shared" si="7"/>
        <v>853353</v>
      </c>
    </row>
    <row r="121" spans="1:8" x14ac:dyDescent="0.2">
      <c r="A121" t="s">
        <v>212</v>
      </c>
      <c r="B121" s="31" t="s">
        <v>213</v>
      </c>
      <c r="C121" s="73">
        <f>('DOE25'!L206)+('DOE25'!L224)+('DOE25'!L242)</f>
        <v>1032892</v>
      </c>
      <c r="D121" s="23" t="s">
        <v>288</v>
      </c>
      <c r="E121" s="73">
        <f>+('DOE25'!L285)+('DOE25'!L304)+('DOE25'!L323)</f>
        <v>57295</v>
      </c>
      <c r="F121" s="23" t="s">
        <v>288</v>
      </c>
      <c r="G121" s="23" t="s">
        <v>288</v>
      </c>
      <c r="H121" s="13">
        <f t="shared" si="7"/>
        <v>1090187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1404136</v>
      </c>
      <c r="D123" s="23" t="s">
        <v>288</v>
      </c>
      <c r="E123" s="73">
        <f>+('DOE25'!L287)+('DOE25'!L306)+('DOE25'!L325)</f>
        <v>123074</v>
      </c>
      <c r="F123" s="23" t="s">
        <v>288</v>
      </c>
      <c r="G123" s="23" t="s">
        <v>288</v>
      </c>
      <c r="H123" s="13">
        <f t="shared" si="7"/>
        <v>1527210</v>
      </c>
    </row>
    <row r="124" spans="1:8" x14ac:dyDescent="0.2">
      <c r="A124" t="s">
        <v>218</v>
      </c>
      <c r="B124" s="31" t="s">
        <v>219</v>
      </c>
      <c r="C124" s="73">
        <f>('DOE25'!L209)+('DOE25'!L227)+('DOE25'!L245+'DOE25'!L255)</f>
        <v>606302</v>
      </c>
      <c r="D124" s="23" t="s">
        <v>288</v>
      </c>
      <c r="E124" s="73">
        <f>+('DOE25'!L288)+('DOE25'!L307)+('DOE25'!L326)</f>
        <v>4180</v>
      </c>
      <c r="F124" s="23" t="s">
        <v>288</v>
      </c>
      <c r="G124" s="23" t="s">
        <v>288</v>
      </c>
      <c r="H124" s="13">
        <f t="shared" si="7"/>
        <v>610482</v>
      </c>
    </row>
    <row r="125" spans="1:8" x14ac:dyDescent="0.2">
      <c r="A125" t="s">
        <v>220</v>
      </c>
      <c r="B125" s="31" t="s">
        <v>221</v>
      </c>
      <c r="C125" s="73">
        <f>('DOE25'!L210)+('DOE25'!L228)+('DOE25'!L246)</f>
        <v>28538</v>
      </c>
      <c r="D125" s="23" t="s">
        <v>288</v>
      </c>
      <c r="E125" s="73">
        <f>+('DOE25'!L289)+('DOE25'!L308)+('DOE25'!L327)</f>
        <v>0</v>
      </c>
      <c r="F125" s="23" t="s">
        <v>288</v>
      </c>
      <c r="G125" s="23" t="s">
        <v>288</v>
      </c>
      <c r="H125" s="13">
        <f t="shared" si="7"/>
        <v>28538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341167</v>
      </c>
      <c r="E127" s="23" t="s">
        <v>288</v>
      </c>
      <c r="F127" s="23" t="s">
        <v>288</v>
      </c>
      <c r="G127" s="23" t="s">
        <v>288</v>
      </c>
      <c r="H127" s="13">
        <f t="shared" si="7"/>
        <v>341167</v>
      </c>
    </row>
    <row r="128" spans="1:8" ht="12.75" thickTop="1" thickBot="1" x14ac:dyDescent="0.25">
      <c r="A128" s="32" t="s">
        <v>226</v>
      </c>
      <c r="C128" s="68">
        <f>SUM(C118:C127)</f>
        <v>5634391</v>
      </c>
      <c r="D128" s="68">
        <f>SUM(D118:D127)</f>
        <v>341167</v>
      </c>
      <c r="E128" s="68">
        <f>SUM(E118:E127)</f>
        <v>667865</v>
      </c>
      <c r="F128" s="68">
        <f>SUM(F118:F127)</f>
        <v>0</v>
      </c>
      <c r="G128" s="68">
        <f>SUM(G118:G127)</f>
        <v>0</v>
      </c>
      <c r="H128" s="68">
        <f t="shared" si="7"/>
        <v>6643423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237000</v>
      </c>
      <c r="D131" s="23" t="s">
        <v>288</v>
      </c>
      <c r="E131" s="92">
        <f>'DOE25'!L342</f>
        <v>0</v>
      </c>
      <c r="F131" s="23" t="s">
        <v>288</v>
      </c>
      <c r="G131" s="23" t="s">
        <v>288</v>
      </c>
      <c r="H131" s="13">
        <f t="shared" si="7"/>
        <v>237000</v>
      </c>
    </row>
    <row r="132" spans="1:8" x14ac:dyDescent="0.2">
      <c r="A132" t="s">
        <v>230</v>
      </c>
      <c r="B132" s="31">
        <v>5120</v>
      </c>
      <c r="C132" s="73">
        <f>'DOE25'!L262</f>
        <v>127686</v>
      </c>
      <c r="D132" s="23" t="s">
        <v>288</v>
      </c>
      <c r="E132" s="92">
        <f>'DOE25'!L343</f>
        <v>0</v>
      </c>
      <c r="F132" s="23" t="s">
        <v>288</v>
      </c>
      <c r="G132" s="23" t="s">
        <v>288</v>
      </c>
      <c r="H132" s="13">
        <f t="shared" si="7"/>
        <v>127686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94270</v>
      </c>
      <c r="D135" s="23" t="s">
        <v>288</v>
      </c>
      <c r="E135" s="92">
        <f>'DOE25'!L346</f>
        <v>0</v>
      </c>
      <c r="F135" s="23" t="s">
        <v>288</v>
      </c>
      <c r="G135" s="23" t="s">
        <v>288</v>
      </c>
      <c r="H135" s="13">
        <f t="shared" si="7"/>
        <v>94270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5613</v>
      </c>
      <c r="D138" s="23" t="s">
        <v>288</v>
      </c>
      <c r="E138" s="23" t="s">
        <v>288</v>
      </c>
      <c r="F138" s="23" t="s">
        <v>288</v>
      </c>
      <c r="G138" s="23" t="s">
        <v>288</v>
      </c>
      <c r="H138" s="13">
        <f t="shared" si="7"/>
        <v>5613</v>
      </c>
    </row>
    <row r="139" spans="1:8" x14ac:dyDescent="0.2">
      <c r="A139" t="s">
        <v>239</v>
      </c>
      <c r="B139" s="31">
        <v>5252</v>
      </c>
      <c r="C139" s="73">
        <f>'DOE25'!L402</f>
        <v>131198</v>
      </c>
      <c r="D139" s="23" t="s">
        <v>288</v>
      </c>
      <c r="E139" s="23" t="s">
        <v>288</v>
      </c>
      <c r="F139" s="23" t="s">
        <v>288</v>
      </c>
      <c r="G139" s="23" t="s">
        <v>288</v>
      </c>
      <c r="H139" s="13">
        <f t="shared" si="7"/>
        <v>131198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-16811</v>
      </c>
      <c r="D141" s="23" t="s">
        <v>288</v>
      </c>
      <c r="E141" s="23" t="s">
        <v>288</v>
      </c>
      <c r="F141" s="23" t="s">
        <v>288</v>
      </c>
      <c r="G141" s="23" t="s">
        <v>288</v>
      </c>
      <c r="H141" s="13">
        <f t="shared" si="7"/>
        <v>-16811</v>
      </c>
    </row>
    <row r="142" spans="1:8" x14ac:dyDescent="0.2">
      <c r="A142" t="s">
        <v>241</v>
      </c>
      <c r="B142" s="31">
        <v>5310</v>
      </c>
      <c r="C142" s="92">
        <f>'DOE25'!L269</f>
        <v>20160</v>
      </c>
      <c r="D142" s="23" t="s">
        <v>288</v>
      </c>
      <c r="E142" s="92">
        <f>'DOE25'!L350</f>
        <v>0</v>
      </c>
      <c r="F142" s="23" t="s">
        <v>288</v>
      </c>
      <c r="G142" s="23" t="s">
        <v>288</v>
      </c>
      <c r="H142" s="13">
        <f t="shared" si="7"/>
        <v>20160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599116</v>
      </c>
      <c r="D144" s="98">
        <f>SUM(D130:D143)</f>
        <v>0</v>
      </c>
      <c r="E144" s="98">
        <f>SUM(E130:E143)</f>
        <v>0</v>
      </c>
      <c r="F144" s="98">
        <f>SUM(F130:F143)</f>
        <v>0</v>
      </c>
      <c r="G144" s="98">
        <f>SUM(G130:G143)</f>
        <v>0</v>
      </c>
      <c r="H144" s="98">
        <f t="shared" si="7"/>
        <v>599116</v>
      </c>
    </row>
    <row r="145" spans="1:9" ht="12.75" thickTop="1" thickBot="1" x14ac:dyDescent="0.25">
      <c r="A145" s="32" t="s">
        <v>244</v>
      </c>
      <c r="C145" s="68">
        <f>(C115+C128+C144)</f>
        <v>14381265</v>
      </c>
      <c r="D145" s="68">
        <f>(D115+D128+D144)</f>
        <v>341167</v>
      </c>
      <c r="E145" s="68">
        <f>(E115+E128+E144)</f>
        <v>1241594</v>
      </c>
      <c r="F145" s="68">
        <f>(F115+F128+F144)</f>
        <v>0</v>
      </c>
      <c r="G145" s="68">
        <f>(G115+G128+G144)</f>
        <v>0</v>
      </c>
      <c r="H145" s="68">
        <f t="shared" si="7"/>
        <v>15964026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t="e">
        <f>'DOE25'!#REF!</f>
        <v>#REF!</v>
      </c>
      <c r="C151" s="110">
        <f>'DOE25'!F491</f>
        <v>14</v>
      </c>
      <c r="D151" s="110">
        <f>'DOE25'!G491</f>
        <v>20</v>
      </c>
      <c r="E151" s="110">
        <f>'DOE25'!I491</f>
        <v>0</v>
      </c>
      <c r="F151" s="110">
        <f>'DOE25'!J491</f>
        <v>0</v>
      </c>
      <c r="G151" s="23" t="s">
        <v>288</v>
      </c>
    </row>
    <row r="152" spans="1:9" x14ac:dyDescent="0.2">
      <c r="A152" s="21" t="s">
        <v>28</v>
      </c>
      <c r="B152" s="109" t="e">
        <f>'DOE25'!#REF!</f>
        <v>#REF!</v>
      </c>
      <c r="C152" s="109" t="str">
        <f>'DOE25'!F492</f>
        <v>11/2008</v>
      </c>
      <c r="D152" s="109" t="str">
        <f>'DOE25'!G492</f>
        <v>6/2018</v>
      </c>
      <c r="E152" s="109">
        <f>'DOE25'!I492</f>
        <v>0</v>
      </c>
      <c r="F152" s="109">
        <f>'DOE25'!J492</f>
        <v>0</v>
      </c>
      <c r="G152" s="23" t="s">
        <v>288</v>
      </c>
    </row>
    <row r="153" spans="1:9" x14ac:dyDescent="0.2">
      <c r="A153" s="21" t="s">
        <v>29</v>
      </c>
      <c r="B153" s="109" t="e">
        <f>'DOE25'!#REF!</f>
        <v>#REF!</v>
      </c>
      <c r="C153" s="109" t="str">
        <f>'DOE25'!F493</f>
        <v>11/2022</v>
      </c>
      <c r="D153" s="109" t="str">
        <f>'DOE25'!G493</f>
        <v>8/2038</v>
      </c>
      <c r="E153" s="109">
        <f>'DOE25'!I493</f>
        <v>0</v>
      </c>
      <c r="F153" s="109">
        <f>'DOE25'!J493</f>
        <v>0</v>
      </c>
      <c r="G153" s="23" t="s">
        <v>288</v>
      </c>
    </row>
    <row r="154" spans="1:9" x14ac:dyDescent="0.2">
      <c r="A154" s="21" t="s">
        <v>30</v>
      </c>
      <c r="B154" s="19" t="e">
        <f>'DOE25'!#REF!</f>
        <v>#REF!</v>
      </c>
      <c r="C154" s="19">
        <f>'DOE25'!F494</f>
        <v>1498000</v>
      </c>
      <c r="D154" s="19">
        <f>'DOE25'!G494</f>
        <v>3541950</v>
      </c>
      <c r="E154" s="19">
        <f>'DOE25'!I494</f>
        <v>0</v>
      </c>
      <c r="F154" s="19">
        <f>'DOE25'!J494</f>
        <v>0</v>
      </c>
      <c r="G154" s="23" t="s">
        <v>288</v>
      </c>
    </row>
    <row r="155" spans="1:9" x14ac:dyDescent="0.2">
      <c r="A155" s="21" t="s">
        <v>31</v>
      </c>
      <c r="B155" s="19" t="e">
        <f>'DOE25'!#REF!</f>
        <v>#REF!</v>
      </c>
      <c r="C155" s="19">
        <f>'DOE25'!F495</f>
        <v>0</v>
      </c>
      <c r="D155" s="19">
        <f>'DOE25'!G495</f>
        <v>3.34</v>
      </c>
      <c r="E155" s="19">
        <f>'DOE25'!I495</f>
        <v>0</v>
      </c>
      <c r="F155" s="19">
        <f>'DOE25'!J495</f>
        <v>0</v>
      </c>
      <c r="G155" s="23" t="s">
        <v>288</v>
      </c>
    </row>
    <row r="156" spans="1:9" x14ac:dyDescent="0.2">
      <c r="A156" s="21" t="s">
        <v>32</v>
      </c>
      <c r="B156" s="19" t="e">
        <f>'DOE25'!#REF!</f>
        <v>#REF!</v>
      </c>
      <c r="C156" s="19">
        <f>'DOE25'!F496</f>
        <v>107000</v>
      </c>
      <c r="D156" s="19">
        <f>'DOE25'!G496</f>
        <v>3195000</v>
      </c>
      <c r="E156" s="19">
        <f>'DOE25'!I496</f>
        <v>0</v>
      </c>
      <c r="F156" s="19">
        <f>'DOE25'!J496</f>
        <v>0</v>
      </c>
      <c r="G156" s="96" t="e">
        <f>SUM(B156:F156)</f>
        <v>#REF!</v>
      </c>
    </row>
    <row r="157" spans="1:9" x14ac:dyDescent="0.2">
      <c r="A157" s="21" t="s">
        <v>33</v>
      </c>
      <c r="B157" s="19" t="e">
        <f>'DOE25'!#REF!</f>
        <v>#REF!</v>
      </c>
      <c r="C157" s="19">
        <f>'DOE25'!F497</f>
        <v>0</v>
      </c>
      <c r="D157" s="19">
        <f>'DOE25'!G497</f>
        <v>0</v>
      </c>
      <c r="E157" s="19">
        <f>'DOE25'!I497</f>
        <v>0</v>
      </c>
      <c r="F157" s="19">
        <f>'DOE25'!J497</f>
        <v>0</v>
      </c>
      <c r="G157" s="96" t="e">
        <f t="shared" ref="G157:G164" si="8">SUM(B157:F157)</f>
        <v>#REF!</v>
      </c>
    </row>
    <row r="158" spans="1:9" x14ac:dyDescent="0.2">
      <c r="A158" s="21" t="s">
        <v>34</v>
      </c>
      <c r="B158" s="19" t="e">
        <f>'DOE25'!#REF!</f>
        <v>#REF!</v>
      </c>
      <c r="C158" s="19">
        <f>'DOE25'!F498</f>
        <v>107000</v>
      </c>
      <c r="D158" s="19">
        <f>'DOE25'!G498</f>
        <v>130000</v>
      </c>
      <c r="E158" s="19">
        <f>'DOE25'!I498</f>
        <v>0</v>
      </c>
      <c r="F158" s="19">
        <f>'DOE25'!J498</f>
        <v>0</v>
      </c>
      <c r="G158" s="96" t="e">
        <f t="shared" si="8"/>
        <v>#REF!</v>
      </c>
    </row>
    <row r="159" spans="1:9" x14ac:dyDescent="0.2">
      <c r="A159" s="21" t="s">
        <v>35</v>
      </c>
      <c r="B159" s="19">
        <f>'DOE25'!F499</f>
        <v>0</v>
      </c>
      <c r="C159" s="19">
        <f>'DOE25'!G499</f>
        <v>3065000</v>
      </c>
      <c r="D159" s="19">
        <f>'DOE25'!H499</f>
        <v>0</v>
      </c>
      <c r="E159" s="19">
        <f>'DOE25'!I499</f>
        <v>0</v>
      </c>
      <c r="F159" s="19">
        <f>'DOE25'!J499</f>
        <v>0</v>
      </c>
      <c r="G159" s="96">
        <f t="shared" si="8"/>
        <v>3065000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3065000</v>
      </c>
      <c r="D161" s="19">
        <f>'DOE25'!H501</f>
        <v>0</v>
      </c>
      <c r="E161" s="19">
        <f>'DOE25'!I501</f>
        <v>0</v>
      </c>
      <c r="F161" s="19">
        <f>'DOE25'!J501</f>
        <v>0</v>
      </c>
      <c r="G161" s="96">
        <f t="shared" si="8"/>
        <v>3065000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77"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Haverhill Cooperative</v>
      </c>
    </row>
    <row r="3" spans="1:4" x14ac:dyDescent="0.2">
      <c r="B3" s="137" t="s">
        <v>1799</v>
      </c>
    </row>
    <row r="4" spans="1:4" x14ac:dyDescent="0.2">
      <c r="B4" t="s">
        <v>61</v>
      </c>
      <c r="C4" s="129">
        <f>IF('DOE25'!F666+'DOE25'!F671=0,0,ROUND('DOE25'!F673,0))</f>
        <v>24691</v>
      </c>
    </row>
    <row r="5" spans="1:4" x14ac:dyDescent="0.2">
      <c r="B5" t="s">
        <v>700</v>
      </c>
      <c r="C5" s="129">
        <f>IF('DOE25'!G666+'DOE25'!G671=0,0,ROUND('DOE25'!G673,0))</f>
        <v>20485</v>
      </c>
    </row>
    <row r="6" spans="1:4" x14ac:dyDescent="0.2">
      <c r="B6" t="s">
        <v>62</v>
      </c>
      <c r="C6" s="129">
        <f>IF('DOE25'!H666+'DOE25'!H671=0,0,ROUND('DOE25'!H673,0))</f>
        <v>22559</v>
      </c>
    </row>
    <row r="7" spans="1:4" x14ac:dyDescent="0.2">
      <c r="B7" t="s">
        <v>701</v>
      </c>
      <c r="C7" s="129">
        <f>IF('DOE25'!I666+'DOE25'!I671=0,0,ROUND('DOE25'!I673,0))</f>
        <v>22450</v>
      </c>
    </row>
    <row r="9" spans="1:4" x14ac:dyDescent="0.2">
      <c r="A9" s="136" t="s">
        <v>94</v>
      </c>
      <c r="B9" s="137" t="s">
        <v>1800</v>
      </c>
      <c r="C9" s="131" t="s">
        <v>720</v>
      </c>
      <c r="D9" s="131" t="s">
        <v>721</v>
      </c>
    </row>
    <row r="10" spans="1:4" x14ac:dyDescent="0.2">
      <c r="A10">
        <v>1100</v>
      </c>
      <c r="B10" t="s">
        <v>702</v>
      </c>
      <c r="C10" s="129">
        <f>ROUND('DOE25'!L198+'DOE25'!L216+'DOE25'!L234+'DOE25'!L277+'DOE25'!L296+'DOE25'!L315,0)</f>
        <v>5148502</v>
      </c>
      <c r="D10" s="132">
        <f>ROUND((C10/$C$28)*100,1)</f>
        <v>33.299999999999997</v>
      </c>
    </row>
    <row r="11" spans="1:4" x14ac:dyDescent="0.2">
      <c r="A11">
        <v>1200</v>
      </c>
      <c r="B11" t="s">
        <v>703</v>
      </c>
      <c r="C11" s="129">
        <f>ROUND('DOE25'!L199+'DOE25'!L217+'DOE25'!L235+'DOE25'!L278+'DOE25'!L297+'DOE25'!L316,0)</f>
        <v>2746112</v>
      </c>
      <c r="D11" s="132">
        <f>ROUND((C11/$C$28)*100,1)</f>
        <v>17.7</v>
      </c>
    </row>
    <row r="12" spans="1:4" x14ac:dyDescent="0.2">
      <c r="A12">
        <v>1300</v>
      </c>
      <c r="B12" t="s">
        <v>704</v>
      </c>
      <c r="C12" s="129">
        <f>ROUND('DOE25'!L200+'DOE25'!L218+'DOE25'!L236+'DOE25'!L279+'DOE25'!L298+'DOE25'!L317,0)</f>
        <v>364473</v>
      </c>
      <c r="D12" s="132">
        <f>ROUND((C12/$C$28)*100,1)</f>
        <v>2.4</v>
      </c>
    </row>
    <row r="13" spans="1:4" x14ac:dyDescent="0.2">
      <c r="A13">
        <v>1400</v>
      </c>
      <c r="B13" t="s">
        <v>705</v>
      </c>
      <c r="C13" s="129">
        <f>ROUND('DOE25'!L201+'DOE25'!L219+'DOE25'!L237+'DOE25'!L280+'DOE25'!L299+'DOE25'!L318,0)</f>
        <v>449462</v>
      </c>
      <c r="D13" s="132">
        <f>ROUND((C13/$C$28)*100,1)</f>
        <v>2.9</v>
      </c>
    </row>
    <row r="14" spans="1:4" x14ac:dyDescent="0.2">
      <c r="D14" s="132"/>
    </row>
    <row r="15" spans="1:4" x14ac:dyDescent="0.2">
      <c r="A15">
        <v>2100</v>
      </c>
      <c r="B15" t="s">
        <v>706</v>
      </c>
      <c r="C15" s="129">
        <f>ROUND('DOE25'!L203+'DOE25'!L221+'DOE25'!L239+'DOE25'!L282+'DOE25'!L301+'DOE25'!L320,0)</f>
        <v>1476313</v>
      </c>
      <c r="D15" s="132">
        <f t="shared" ref="D15:D27" si="0">ROUND((C15/$C$28)*100,1)</f>
        <v>9.5</v>
      </c>
    </row>
    <row r="16" spans="1:4" x14ac:dyDescent="0.2">
      <c r="A16">
        <v>2200</v>
      </c>
      <c r="B16" t="s">
        <v>707</v>
      </c>
      <c r="C16" s="129">
        <f>ROUND('DOE25'!L204+'DOE25'!L222+'DOE25'!L240+'DOE25'!L283+'DOE25'!L302+'DOE25'!L321,0)</f>
        <v>716173</v>
      </c>
      <c r="D16" s="132">
        <f t="shared" si="0"/>
        <v>4.5999999999999996</v>
      </c>
    </row>
    <row r="17" spans="1:4" x14ac:dyDescent="0.2">
      <c r="A17" s="133" t="s">
        <v>723</v>
      </c>
      <c r="B17" t="s">
        <v>738</v>
      </c>
      <c r="C17" s="129">
        <f>ROUND('DOE25'!L205+'DOE25'!L210+'DOE25'!L223+'DOE25'!L228+'DOE25'!L241+'DOE25'!L246+'DOE25'!L284+'DOE25'!L289+'DOE25'!L303+'DOE25'!L308+'DOE25'!L322+'DOE25'!L327,0)</f>
        <v>881891</v>
      </c>
      <c r="D17" s="132">
        <f t="shared" si="0"/>
        <v>5.7</v>
      </c>
    </row>
    <row r="18" spans="1:4" x14ac:dyDescent="0.2">
      <c r="A18">
        <v>2400</v>
      </c>
      <c r="B18" t="s">
        <v>711</v>
      </c>
      <c r="C18" s="129">
        <f>ROUND('DOE25'!L206+'DOE25'!L224+'DOE25'!L242+'DOE25'!L285+'DOE25'!L304+'DOE25'!L323,0)</f>
        <v>1090187</v>
      </c>
      <c r="D18" s="132">
        <f t="shared" si="0"/>
        <v>7</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1527210</v>
      </c>
      <c r="D20" s="132">
        <f t="shared" si="0"/>
        <v>9.9</v>
      </c>
    </row>
    <row r="21" spans="1:4" x14ac:dyDescent="0.2">
      <c r="A21">
        <v>2700</v>
      </c>
      <c r="B21" t="s">
        <v>710</v>
      </c>
      <c r="C21" s="129">
        <f>ROUND('DOE25'!L209+'DOE25'!L227+'DOE25'!L245+'DOE25'!L288+'DOE25'!L307+'DOE25'!L326,0)</f>
        <v>610482</v>
      </c>
      <c r="D21" s="132">
        <f t="shared" si="0"/>
        <v>3.9</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12938</v>
      </c>
      <c r="D24" s="132">
        <f t="shared" si="0"/>
        <v>0.1</v>
      </c>
    </row>
    <row r="25" spans="1:4" x14ac:dyDescent="0.2">
      <c r="A25">
        <v>5120</v>
      </c>
      <c r="B25" t="s">
        <v>716</v>
      </c>
      <c r="C25" s="129">
        <f>ROUND('DOE25'!L262+'DOE25'!L343,0)</f>
        <v>127686</v>
      </c>
      <c r="D25" s="132">
        <f t="shared" si="0"/>
        <v>0.8</v>
      </c>
    </row>
    <row r="26" spans="1:4" x14ac:dyDescent="0.2">
      <c r="A26" s="133" t="s">
        <v>717</v>
      </c>
      <c r="B26" t="s">
        <v>718</v>
      </c>
      <c r="C26" s="129">
        <f>'DOE25'!L269+'DOE25'!L270+'DOE25'!L350+'DOE25'!L351</f>
        <v>20160</v>
      </c>
      <c r="D26" s="132">
        <f t="shared" si="0"/>
        <v>0.1</v>
      </c>
    </row>
    <row r="27" spans="1:4" x14ac:dyDescent="0.2">
      <c r="A27">
        <v>3100</v>
      </c>
      <c r="B27" t="s">
        <v>11</v>
      </c>
      <c r="C27" s="129">
        <f>ROUND('DOE25'!L363-'DOE25'!L362,0)-SUM('DOE25'!G97:G110)</f>
        <v>309564</v>
      </c>
      <c r="D27" s="132">
        <f t="shared" si="0"/>
        <v>2</v>
      </c>
    </row>
    <row r="28" spans="1:4" x14ac:dyDescent="0.2">
      <c r="B28" s="136" t="s">
        <v>719</v>
      </c>
      <c r="C28" s="130">
        <f>SUM(C10:C27)</f>
        <v>15481153</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15481153</v>
      </c>
    </row>
    <row r="31" spans="1:4" x14ac:dyDescent="0.2">
      <c r="B31" s="32"/>
      <c r="C31" s="130"/>
    </row>
    <row r="32" spans="1:4" x14ac:dyDescent="0.2">
      <c r="A32">
        <v>5100</v>
      </c>
      <c r="B32" s="32" t="s">
        <v>726</v>
      </c>
      <c r="C32" s="130">
        <f>ROUND('DOE25'!L261+'DOE25'!L342,0)</f>
        <v>237000</v>
      </c>
    </row>
    <row r="34" spans="1:4" x14ac:dyDescent="0.2">
      <c r="A34" s="136" t="s">
        <v>94</v>
      </c>
      <c r="B34" s="137" t="s">
        <v>1801</v>
      </c>
      <c r="C34" s="131" t="s">
        <v>720</v>
      </c>
      <c r="D34" s="131" t="s">
        <v>721</v>
      </c>
    </row>
    <row r="35" spans="1:4" x14ac:dyDescent="0.2">
      <c r="A35">
        <v>1100</v>
      </c>
      <c r="B35" s="71" t="s">
        <v>727</v>
      </c>
      <c r="C35" s="129">
        <f>ROUND('DOE25'!F60+'DOE25'!G60+'DOE25'!H60+'DOE25'!I60+'DOE25'!J60,0)</f>
        <v>6779592</v>
      </c>
      <c r="D35" s="132">
        <f t="shared" ref="D35:D40" si="1">ROUND((C35/$C$41)*100,1)</f>
        <v>44.3</v>
      </c>
    </row>
    <row r="36" spans="1:4" x14ac:dyDescent="0.2">
      <c r="B36" s="71" t="s">
        <v>739</v>
      </c>
      <c r="C36" s="129">
        <f>SUM('DOE25'!F112:J112)-SUM('DOE25'!G97:G110)+('DOE25'!F175+'DOE25'!F176+'DOE25'!I175+'DOE25'!I176)-C35</f>
        <v>1644389</v>
      </c>
      <c r="D36" s="132">
        <f t="shared" si="1"/>
        <v>10.7</v>
      </c>
    </row>
    <row r="37" spans="1:4" x14ac:dyDescent="0.2">
      <c r="A37" s="133" t="s">
        <v>834</v>
      </c>
      <c r="B37" s="71" t="s">
        <v>728</v>
      </c>
      <c r="C37" s="129">
        <f>ROUND('DOE25'!F117+'DOE25'!F118,0)</f>
        <v>5062146</v>
      </c>
      <c r="D37" s="132">
        <f t="shared" si="1"/>
        <v>33.1</v>
      </c>
    </row>
    <row r="38" spans="1:4" x14ac:dyDescent="0.2">
      <c r="A38" s="133" t="s">
        <v>734</v>
      </c>
      <c r="B38" s="71" t="s">
        <v>729</v>
      </c>
      <c r="C38" s="129">
        <f>ROUND(SUM('DOE25'!F140:J140)-SUM('DOE25'!F117:F119),0)</f>
        <v>289210</v>
      </c>
      <c r="D38" s="132">
        <f t="shared" si="1"/>
        <v>1.9</v>
      </c>
    </row>
    <row r="39" spans="1:4" x14ac:dyDescent="0.2">
      <c r="A39">
        <v>4000</v>
      </c>
      <c r="B39" s="71" t="s">
        <v>730</v>
      </c>
      <c r="C39" s="129">
        <f>ROUND('DOE25'!F170+'DOE25'!G170+'DOE25'!H170+'DOE25'!I170,0)</f>
        <v>1532865</v>
      </c>
      <c r="D39" s="132">
        <f t="shared" si="1"/>
        <v>10</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15308202</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Haverhill Cooperative</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c r="B4" s="150"/>
      <c r="C4" s="328"/>
      <c r="D4" s="328"/>
      <c r="E4" s="328"/>
      <c r="F4" s="328"/>
      <c r="G4" s="328"/>
      <c r="H4" s="328"/>
      <c r="I4" s="328"/>
      <c r="J4" s="328"/>
      <c r="K4" s="328"/>
      <c r="L4" s="328"/>
      <c r="M4" s="329"/>
    </row>
    <row r="5" spans="1:13" x14ac:dyDescent="0.2">
      <c r="A5" s="159"/>
      <c r="B5" s="150"/>
      <c r="C5" s="328"/>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322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22</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97</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f>IF('School Level Expenditures'!$B$2='School Tables'!L25,'School Tables'!S25,"")</f>
        <v>22</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38.25"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51"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f>IF('School Level Expenditures'!$B$2='School Tables'!W100,'School Tables'!AD100,"")</f>
        <v>97</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f>IF('School Level Expenditures'!$B$2=A325,'School Tables'!H325,"")</f>
        <v>322</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2023-08-15T18:45:18Z</cp:lastPrinted>
  <dcterms:created xsi:type="dcterms:W3CDTF">1997-12-04T19:04:30Z</dcterms:created>
  <dcterms:modified xsi:type="dcterms:W3CDTF">2023-12-29T15:47:51Z</dcterms:modified>
</cp:coreProperties>
</file>