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77C008F-CADF-4688-8B9D-6FD55B9B1EB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F44" i="1"/>
  <c r="F120" i="1" l="1"/>
  <c r="H161" i="1" l="1"/>
  <c r="E13" i="17"/>
  <c r="H155" i="1"/>
  <c r="E9" i="17"/>
  <c r="H544" i="1" l="1"/>
  <c r="H543" i="1"/>
  <c r="F15" i="13" l="1"/>
  <c r="F14" i="13"/>
  <c r="F6" i="13"/>
  <c r="F5" i="13" l="1"/>
  <c r="C39" i="12" l="1"/>
  <c r="C38" i="12"/>
  <c r="C37" i="12"/>
  <c r="C21" i="12"/>
  <c r="C20" i="12"/>
  <c r="C19" i="12"/>
  <c r="C12" i="12"/>
  <c r="C10" i="12"/>
  <c r="C11" i="12"/>
  <c r="F226" i="1" l="1"/>
  <c r="F28" i="1"/>
  <c r="K242" i="1"/>
  <c r="H237" i="1"/>
  <c r="I466" i="1" l="1"/>
  <c r="H48" i="1" l="1"/>
  <c r="G443" i="1"/>
  <c r="J605" i="1"/>
  <c r="H499" i="1"/>
  <c r="G503" i="1"/>
  <c r="F503" i="1"/>
  <c r="G499" i="1"/>
  <c r="F499" i="1"/>
  <c r="H318" i="1"/>
  <c r="H381" i="1" l="1"/>
  <c r="H24" i="1"/>
  <c r="H22" i="1"/>
  <c r="H110" i="1"/>
  <c r="H13" i="1"/>
  <c r="H130" i="1"/>
  <c r="H30" i="1"/>
  <c r="H23" i="1"/>
  <c r="F361" i="1"/>
  <c r="G158" i="1"/>
  <c r="G132" i="1"/>
  <c r="G135" i="1"/>
  <c r="G97" i="1"/>
  <c r="G9" i="1"/>
  <c r="F110" i="1" l="1"/>
  <c r="F17" i="1"/>
  <c r="F57" i="1"/>
  <c r="F29" i="1"/>
  <c r="F13" i="1"/>
  <c r="F9" i="1"/>
  <c r="I318" i="1"/>
  <c r="F318" i="1"/>
  <c r="K318" i="1"/>
  <c r="J318" i="1"/>
  <c r="I315" i="1"/>
  <c r="J321" i="1"/>
  <c r="H321" i="1"/>
  <c r="F321" i="1"/>
  <c r="H320" i="1"/>
  <c r="F320" i="1"/>
  <c r="F316" i="1"/>
  <c r="H315" i="1"/>
  <c r="F315" i="1"/>
  <c r="I299" i="1"/>
  <c r="H299" i="1"/>
  <c r="J296" i="1"/>
  <c r="H302" i="1"/>
  <c r="F302" i="1"/>
  <c r="H301" i="1"/>
  <c r="F301" i="1"/>
  <c r="F299" i="1"/>
  <c r="F297" i="1"/>
  <c r="H296" i="1"/>
  <c r="F296" i="1"/>
  <c r="H368" i="1"/>
  <c r="H369" i="1"/>
  <c r="G369" i="1"/>
  <c r="G368" i="1"/>
  <c r="I361" i="1" l="1"/>
  <c r="H361" i="1"/>
  <c r="I360" i="1"/>
  <c r="H360" i="1"/>
  <c r="F360" i="1"/>
  <c r="H524" i="1" l="1"/>
  <c r="H523" i="1"/>
  <c r="G534" i="1" l="1"/>
  <c r="G533" i="1"/>
  <c r="G529" i="1"/>
  <c r="G528" i="1"/>
  <c r="G524" i="1"/>
  <c r="G523" i="1"/>
  <c r="J593" i="1" l="1"/>
  <c r="I593" i="1"/>
  <c r="J595" i="1"/>
  <c r="J594" i="1"/>
  <c r="J592" i="1"/>
  <c r="I592" i="1"/>
  <c r="H245" i="1"/>
  <c r="H227" i="1"/>
  <c r="H219" i="1"/>
  <c r="J240" i="1"/>
  <c r="I240" i="1"/>
  <c r="J237" i="1"/>
  <c r="H236" i="1"/>
  <c r="J235" i="1"/>
  <c r="H235" i="1"/>
  <c r="J234" i="1"/>
  <c r="H226" i="1"/>
  <c r="J222" i="1"/>
  <c r="J217" i="1"/>
  <c r="J216" i="1"/>
  <c r="I216" i="1"/>
  <c r="K262" i="1" l="1"/>
  <c r="K261" i="1"/>
  <c r="I245" i="1"/>
  <c r="K244" i="1"/>
  <c r="J244" i="1"/>
  <c r="I244" i="1"/>
  <c r="H244" i="1"/>
  <c r="F244" i="1"/>
  <c r="I242" i="1"/>
  <c r="H242" i="1"/>
  <c r="F242" i="1"/>
  <c r="J241" i="1"/>
  <c r="I241" i="1"/>
  <c r="H241" i="1"/>
  <c r="F241" i="1"/>
  <c r="H240" i="1" l="1"/>
  <c r="F240" i="1"/>
  <c r="F239" i="1"/>
  <c r="H239" i="1"/>
  <c r="F237" i="1"/>
  <c r="F235" i="1"/>
  <c r="K234" i="1"/>
  <c r="H234" i="1"/>
  <c r="F234" i="1"/>
  <c r="F245" i="1" l="1"/>
  <c r="K239" i="1"/>
  <c r="J239" i="1"/>
  <c r="I239" i="1"/>
  <c r="K237" i="1"/>
  <c r="F236" i="1"/>
  <c r="I235" i="1"/>
  <c r="I227" i="1" l="1"/>
  <c r="K226" i="1"/>
  <c r="J226" i="1"/>
  <c r="I226" i="1"/>
  <c r="K225" i="1"/>
  <c r="H224" i="1"/>
  <c r="K224" i="1"/>
  <c r="I224" i="1"/>
  <c r="F224" i="1"/>
  <c r="F223" i="1"/>
  <c r="K223" i="1"/>
  <c r="I223" i="1"/>
  <c r="H223" i="1"/>
  <c r="H222" i="1"/>
  <c r="I222" i="1"/>
  <c r="F222" i="1"/>
  <c r="F221" i="1"/>
  <c r="H221" i="1"/>
  <c r="F219" i="1"/>
  <c r="H217" i="1"/>
  <c r="F217" i="1"/>
  <c r="H216" i="1"/>
  <c r="F216"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H48" i="2" s="1"/>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H9" i="2" s="1"/>
  <c r="D9" i="2"/>
  <c r="E9" i="2"/>
  <c r="F9" i="2"/>
  <c r="I441" i="1"/>
  <c r="J10" i="1" s="1"/>
  <c r="G9" i="2" s="1"/>
  <c r="C10" i="2"/>
  <c r="H10" i="2" s="1"/>
  <c r="C11" i="2"/>
  <c r="D11" i="2"/>
  <c r="E11" i="2"/>
  <c r="H11" i="2" s="1"/>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H24" i="2" s="1"/>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H93" i="2" s="1"/>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E120" i="2"/>
  <c r="E124" i="2"/>
  <c r="C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H653" i="1"/>
  <c r="G654" i="1"/>
  <c r="H654" i="1"/>
  <c r="H655" i="1"/>
  <c r="H656" i="1"/>
  <c r="I170" i="1"/>
  <c r="H97" i="2" l="1"/>
  <c r="H87" i="2"/>
  <c r="H26" i="2"/>
  <c r="H38" i="2"/>
  <c r="H43" i="2"/>
  <c r="H69" i="2"/>
  <c r="H30" i="2"/>
  <c r="H28" i="2"/>
  <c r="H25" i="2"/>
  <c r="H17" i="2"/>
  <c r="H15" i="2"/>
  <c r="G663" i="1"/>
  <c r="C112" i="2"/>
  <c r="H100" i="2"/>
  <c r="H98" i="2"/>
  <c r="H125" i="2"/>
  <c r="I409" i="1"/>
  <c r="H80" i="2"/>
  <c r="H34" i="2"/>
  <c r="H132" i="2"/>
  <c r="H36" i="2"/>
  <c r="H44" i="2"/>
  <c r="H102" i="2"/>
  <c r="H137" i="2"/>
  <c r="H89" i="2"/>
  <c r="H72" i="2"/>
  <c r="H29" i="2"/>
  <c r="H113" i="2"/>
  <c r="J112" i="1"/>
  <c r="J194" i="1" s="1"/>
  <c r="G647" i="1" s="1"/>
  <c r="E121" i="2"/>
  <c r="H47" i="2"/>
  <c r="G477" i="1"/>
  <c r="H477" i="1"/>
  <c r="H625" i="1" s="1"/>
  <c r="J625" i="1" s="1"/>
  <c r="H61" i="2"/>
  <c r="H13" i="2"/>
  <c r="H76" i="2"/>
  <c r="H12" i="2"/>
  <c r="H77" i="2"/>
  <c r="H27" i="2"/>
  <c r="H23" i="2"/>
  <c r="H22" i="2"/>
  <c r="H8" i="2"/>
  <c r="E112" i="2"/>
  <c r="G662" i="1"/>
  <c r="D29" i="13"/>
  <c r="C29" i="13" s="1"/>
  <c r="J652" i="1"/>
  <c r="G651" i="1"/>
  <c r="G62" i="2"/>
  <c r="H59" i="2"/>
  <c r="H96" i="2"/>
  <c r="G646" i="1"/>
  <c r="G409" i="1"/>
  <c r="H646" i="1" s="1"/>
  <c r="N2" i="14"/>
  <c r="N3" i="14" s="1"/>
  <c r="M2" i="14"/>
  <c r="M3" i="14" s="1"/>
  <c r="L2" i="14"/>
  <c r="L3" i="14" s="1"/>
  <c r="C13" i="10"/>
  <c r="C110" i="2"/>
  <c r="D15" i="13"/>
  <c r="C15" i="13" s="1"/>
  <c r="E13" i="13"/>
  <c r="C13" i="13" s="1"/>
  <c r="C121" i="2"/>
  <c r="H121" i="2" s="1"/>
  <c r="C119" i="2"/>
  <c r="H119" i="2" s="1"/>
  <c r="C120" i="2"/>
  <c r="H120" i="2" s="1"/>
  <c r="D6" i="13"/>
  <c r="C6" i="13" s="1"/>
  <c r="A40" i="12"/>
  <c r="C12" i="10"/>
  <c r="K2" i="14"/>
  <c r="K3" i="14" s="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85" i="2" l="1"/>
  <c r="H42" i="2"/>
  <c r="H134" i="2"/>
  <c r="H112" i="2"/>
  <c r="H57" i="2"/>
  <c r="H16" i="2"/>
  <c r="H21" i="2"/>
  <c r="H78" i="2"/>
  <c r="E51" i="2"/>
  <c r="H91" i="2"/>
  <c r="H62" i="2"/>
  <c r="H31" i="2"/>
  <c r="H18" i="2"/>
  <c r="H50" i="2"/>
  <c r="D51" i="2"/>
  <c r="C81" i="2"/>
  <c r="H81" i="2" s="1"/>
  <c r="E128" i="2"/>
  <c r="G24" i="14"/>
  <c r="H24" i="14" s="1"/>
  <c r="I24" i="14" s="1"/>
  <c r="I662" i="1"/>
  <c r="D128" i="2"/>
  <c r="D145" i="2" s="1"/>
  <c r="H127" i="2"/>
  <c r="I663" i="1"/>
  <c r="H103" i="2"/>
  <c r="F194" i="1"/>
  <c r="G628" i="1" s="1"/>
  <c r="J628" i="1" s="1"/>
  <c r="H110" i="2"/>
  <c r="F661" i="1"/>
  <c r="E115" i="2"/>
  <c r="H109" i="2"/>
  <c r="F144" i="2"/>
  <c r="H130" i="2"/>
  <c r="H661" i="1"/>
  <c r="H665" i="1" s="1"/>
  <c r="H194" i="1"/>
  <c r="G630" i="1" s="1"/>
  <c r="J630" i="1" s="1"/>
  <c r="H649" i="1"/>
  <c r="J649" i="1" s="1"/>
  <c r="C141" i="2"/>
  <c r="F51" i="2"/>
  <c r="G36" i="14"/>
  <c r="H36" i="14" s="1"/>
  <c r="E104" i="2"/>
  <c r="C36" i="10"/>
  <c r="L435" i="1"/>
  <c r="G639" i="1" s="1"/>
  <c r="J639" i="1" s="1"/>
  <c r="F665" i="1"/>
  <c r="F670"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M24" i="14"/>
  <c r="H128" i="2"/>
  <c r="C104" i="2"/>
  <c r="H104" i="2" s="1"/>
  <c r="H63" i="2"/>
  <c r="C144" i="2"/>
  <c r="C145"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<sst xmlns="http://schemas.openxmlformats.org/spreadsheetml/2006/main" count="6565" uniqueCount="1820">
  <si>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</si>
  <si>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</si>
  <si>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</si>
  <si>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</si>
  <si>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</si>
  <si>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</si>
  <si>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</si>
  <si>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</si>
  <si>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</si>
  <si>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</si>
  <si>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</si>
  <si>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</si>
  <si>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</si>
  <si>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</si>
  <si>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</si>
  <si>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</si>
  <si>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</si>
  <si>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</si>
  <si>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</si>
  <si>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</si>
  <si>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</si>
  <si>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</si>
  <si>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</si>
  <si>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</si>
  <si>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</si>
  <si>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</si>
  <si>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</si>
  <si>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</si>
  <si>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</si>
  <si>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</si>
  <si>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</si>
  <si>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</si>
  <si>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</si>
  <si>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</si>
  <si>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</si>
  <si>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</si>
  <si>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</si>
  <si>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</si>
  <si>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</si>
  <si>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</si>
  <si>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</si>
  <si>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</si>
  <si>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</si>
  <si>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</si>
  <si>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</si>
  <si>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</si>
  <si>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</si>
  <si>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</si>
  <si>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</si>
  <si>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</si>
  <si>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</si>
  <si>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</si>
  <si>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</si>
  <si>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</si>
  <si>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</si>
  <si>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</si>
  <si>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</si>
  <si>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</si>
  <si>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</si>
  <si>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</si>
  <si>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</si>
  <si>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</si>
  <si>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</si>
  <si>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</si>
  <si>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</si>
  <si>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</si>
  <si>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</si>
  <si>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</si>
  <si>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</si>
  <si>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</si>
  <si>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</si>
  <si>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</si>
  <si>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</si>
  <si>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</si>
  <si>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</si>
  <si>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</si>
  <si>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</si>
  <si>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</si>
  <si>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</si>
  <si>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</si>
  <si>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</si>
  <si>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</si>
  <si>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</si>
  <si>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</si>
  <si>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</si>
  <si>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</si>
  <si>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</si>
  <si>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</si>
  <si>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</si>
  <si>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</si>
  <si>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</si>
  <si>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</si>
  <si>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</si>
  <si>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</si>
  <si>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</si>
  <si>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</si>
  <si>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</si>
  <si>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</si>
  <si>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</si>
  <si>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</si>
  <si>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</si>
  <si>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</si>
  <si>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</si>
  <si>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</si>
  <si>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</si>
  <si>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</si>
  <si>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</si>
  <si>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</si>
  <si>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</si>
  <si>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</si>
  <si>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</si>
  <si>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</si>
  <si>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</si>
  <si>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</si>
  <si>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</si>
  <si>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</si>
  <si>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</si>
  <si>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</si>
  <si>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</si>
  <si>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</si>
  <si>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</si>
  <si>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</si>
  <si>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</si>
  <si>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</si>
  <si>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</si>
  <si>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</si>
  <si>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</si>
  <si>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</si>
  <si>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</si>
  <si>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</si>
  <si>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</si>
  <si>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</si>
  <si>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</si>
  <si>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</si>
  <si>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</si>
  <si>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</si>
  <si>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</si>
  <si>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</si>
  <si>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</si>
  <si>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</si>
  <si>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</si>
  <si>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</si>
  <si>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</si>
  <si>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</si>
  <si>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</si>
  <si>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</si>
  <si>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</si>
  <si>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</si>
  <si>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</si>
  <si>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</si>
  <si>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</si>
  <si>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</si>
  <si>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</si>
  <si>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</si>
  <si>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</si>
  <si>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</si>
  <si>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</si>
  <si>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</si>
  <si>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</si>
  <si>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</si>
  <si>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</si>
  <si>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</si>
  <si>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</si>
  <si>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</si>
  <si>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</si>
  <si>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</si>
  <si>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</si>
  <si>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</si>
  <si>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</si>
  <si>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</si>
  <si>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</si>
  <si>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</si>
  <si>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</si>
  <si>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</si>
  <si>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</si>
  <si>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</si>
  <si>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</si>
  <si>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</si>
  <si>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</si>
  <si>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</si>
  <si>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</si>
  <si>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</si>
  <si>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</si>
  <si>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</si>
  <si>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</si>
  <si>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</si>
  <si>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</si>
  <si>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</si>
  <si>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</si>
  <si>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</si>
  <si>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</si>
  <si>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</si>
  <si>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</si>
  <si>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</si>
  <si>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</si>
  <si>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</si>
  <si>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</si>
  <si>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</si>
  <si>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</si>
  <si>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</si>
  <si>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</si>
  <si>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</si>
  <si>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</si>
  <si>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</si>
  <si>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</si>
  <si>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</si>
  <si>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</si>
  <si>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</si>
  <si>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</si>
  <si>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</si>
  <si>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</si>
  <si>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</si>
  <si>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</si>
  <si>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</si>
  <si>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</si>
  <si>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</si>
  <si>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</si>
  <si>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</si>
  <si>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</si>
  <si>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</si>
  <si>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</si>
  <si>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</si>
  <si>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</si>
  <si>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</si>
  <si>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</si>
  <si>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</si>
  <si>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</si>
  <si>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</si>
  <si>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</si>
  <si>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</si>
  <si>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</si>
  <si>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</si>
  <si>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</si>
  <si>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</si>
  <si>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</si>
  <si>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</si>
  <si>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</si>
  <si>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</si>
  <si>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</si>
  <si>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</si>
  <si>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</si>
  <si>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</si>
  <si>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</si>
  <si>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</si>
  <si>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</si>
  <si>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</si>
  <si>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</si>
  <si>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</si>
  <si>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</si>
  <si>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</si>
  <si>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</si>
  <si>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</si>
  <si>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</si>
  <si>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</si>
  <si>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</si>
  <si>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</si>
  <si>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</si>
  <si>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</si>
  <si>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</si>
  <si>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</si>
  <si>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</si>
  <si>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</si>
  <si>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</si>
  <si>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</si>
  <si>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</si>
  <si>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</si>
  <si>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</si>
  <si>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</si>
  <si>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</si>
  <si>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</si>
  <si>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</si>
  <si>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</si>
  <si>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</si>
  <si>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</si>
  <si>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</si>
  <si>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</si>
  <si>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</si>
  <si>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</si>
  <si>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</si>
  <si>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</si>
  <si>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</si>
  <si>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</si>
  <si>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</si>
  <si>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</si>
  <si>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</si>
  <si>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</si>
  <si>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</si>
  <si>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</si>
  <si>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</si>
  <si>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</si>
  <si>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</si>
  <si>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</si>
  <si>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</si>
  <si>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</si>
  <si>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</si>
  <si>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</si>
  <si>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</si>
  <si>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</si>
  <si>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</si>
  <si>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</si>
  <si>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</si>
  <si>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</si>
  <si>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</si>
  <si>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</si>
  <si>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</si>
  <si>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</si>
  <si>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</si>
  <si>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</si>
  <si>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</si>
  <si>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</si>
  <si>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</si>
  <si>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</si>
  <si>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</si>
  <si>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</si>
  <si>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</si>
  <si>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</si>
  <si>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</si>
  <si>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</si>
  <si>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</si>
  <si>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</si>
  <si>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</si>
  <si>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</si>
  <si>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</si>
  <si>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</si>
  <si>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</si>
  <si>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</si>
  <si>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</si>
  <si>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</si>
  <si>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</si>
  <si>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</si>
  <si>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</si>
  <si>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</si>
  <si>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</si>
  <si>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</si>
  <si>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</si>
  <si>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</si>
  <si>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</si>
  <si>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</si>
  <si>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</si>
  <si>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</si>
  <si>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</si>
  <si>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</si>
  <si>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</si>
  <si>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</si>
  <si>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</si>
  <si>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</si>
  <si>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</si>
  <si>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</si>
  <si>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</si>
  <si>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</si>
  <si>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</si>
  <si>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</si>
  <si>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</si>
  <si>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</si>
  <si>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</si>
  <si>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</si>
  <si>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</si>
  <si>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</si>
  <si>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</si>
  <si>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</si>
  <si>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</si>
  <si>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</si>
  <si>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</si>
  <si>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</si>
  <si>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</si>
  <si>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</si>
  <si>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</si>
  <si>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</si>
  <si>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</si>
  <si>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</si>
  <si>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</si>
  <si>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</si>
  <si>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</si>
  <si>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</si>
  <si>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</si>
  <si>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</si>
  <si>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</si>
  <si>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</si>
  <si>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</si>
  <si>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</si>
  <si>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</si>
  <si>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</si>
  <si>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</si>
  <si>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</si>
  <si>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</si>
  <si>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</si>
  <si>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</si>
  <si>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</si>
  <si>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</si>
  <si>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</si>
  <si>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</si>
  <si>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</si>
  <si>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</si>
  <si>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</si>
  <si>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</si>
  <si>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</si>
  <si>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</si>
  <si>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</si>
  <si>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</si>
  <si>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</si>
  <si>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</si>
  <si>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</si>
  <si>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</si>
  <si>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</si>
  <si>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</si>
  <si>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</si>
  <si>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</si>
  <si>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</si>
  <si>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</si>
  <si>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</si>
  <si>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</si>
  <si>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</si>
  <si>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</si>
  <si>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</si>
  <si>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</si>
  <si>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</si>
  <si>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</si>
  <si>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</si>
  <si>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</si>
  <si>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</si>
  <si>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</si>
  <si>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</si>
  <si>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</si>
  <si>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</si>
  <si>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</si>
  <si>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</si>
  <si>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</si>
  <si>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</si>
  <si>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</si>
  <si>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</si>
  <si>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</si>
  <si>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</si>
  <si>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</si>
  <si>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</si>
  <si>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</si>
  <si>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</si>
  <si>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</si>
  <si>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</si>
  <si>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</si>
  <si>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</si>
  <si>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</si>
  <si>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</si>
  <si>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</si>
  <si>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</si>
  <si>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</si>
  <si>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</si>
  <si>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</si>
  <si>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</si>
  <si>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</si>
  <si>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</si>
  <si>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</si>
  <si>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</si>
  <si>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</si>
  <si>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</si>
  <si>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</si>
  <si>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</si>
  <si>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</si>
  <si>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</si>
  <si>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</si>
  <si>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</si>
  <si>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</si>
  <si>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</si>
  <si>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</si>
  <si>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</si>
  <si>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</si>
  <si>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</si>
  <si>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</si>
  <si>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</si>
  <si>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</si>
  <si>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</si>
  <si>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</si>
  <si>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</si>
  <si>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</si>
  <si>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</si>
  <si>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</si>
  <si>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</si>
  <si>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</si>
  <si>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</si>
  <si>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</si>
  <si>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</si>
  <si>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</si>
  <si>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</si>
  <si>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</si>
  <si>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</si>
  <si>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</si>
  <si>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</si>
  <si>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</si>
  <si>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</si>
  <si>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</si>
  <si>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</si>
  <si>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</si>
  <si>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</si>
  <si>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</si>
  <si>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</si>
  <si>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</si>
  <si>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</si>
  <si>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</si>
  <si>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</si>
  <si>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</si>
  <si>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</si>
  <si>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</si>
  <si>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</si>
  <si>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</si>
  <si>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</si>
  <si>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</si>
  <si>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</si>
  <si>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</si>
  <si>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</si>
  <si>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</si>
  <si>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</si>
  <si>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</si>
  <si>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</si>
  <si>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</si>
  <si>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</si>
  <si>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</si>
  <si>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</si>
  <si>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</si>
  <si>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</si>
  <si>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</si>
  <si>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</si>
  <si>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</si>
  <si>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</si>
  <si>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</si>
  <si>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</si>
  <si>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</si>
  <si>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</si>
  <si>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</si>
  <si>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</si>
  <si>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</si>
  <si>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</si>
  <si>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</si>
  <si>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</si>
  <si>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</si>
  <si>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</si>
  <si>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</si>
  <si>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</si>
  <si>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</si>
  <si>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</si>
  <si>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</si>
  <si>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</si>
  <si>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</si>
  <si>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</si>
  <si>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</si>
  <si>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</si>
  <si>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</si>
  <si>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</si>
  <si>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</si>
  <si>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</si>
  <si>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</si>
  <si>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</si>
  <si>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</si>
  <si>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</si>
  <si>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</si>
  <si>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</si>
  <si>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</si>
  <si>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</si>
  <si>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</si>
  <si>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</si>
  <si>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</si>
  <si>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</si>
  <si>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</si>
  <si>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</si>
  <si>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</si>
  <si>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</si>
  <si>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</si>
  <si>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</si>
  <si>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</si>
  <si>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</si>
  <si>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</si>
  <si>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</si>
  <si>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</si>
  <si>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</si>
  <si>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</si>
  <si>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</si>
  <si>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</si>
  <si>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</si>
  <si>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</si>
  <si>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</si>
  <si>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</si>
  <si>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</si>
  <si>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</si>
  <si>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</si>
  <si>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</si>
  <si>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</si>
  <si>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</si>
  <si>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</si>
  <si>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</si>
  <si>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</si>
  <si>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</si>
  <si>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</si>
  <si>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</si>
  <si>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</si>
  <si>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</si>
  <si>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</si>
  <si>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</si>
  <si>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</si>
  <si>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</si>
  <si>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</si>
  <si>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</si>
  <si>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</si>
  <si>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</si>
  <si>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</si>
  <si>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</si>
  <si>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</si>
  <si>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</si>
  <si>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</si>
  <si>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</si>
  <si>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</si>
  <si>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</si>
  <si>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</si>
  <si>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</si>
  <si>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</si>
  <si>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</si>
  <si>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</si>
  <si>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</si>
  <si>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</si>
  <si>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</si>
  <si>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</si>
  <si>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</si>
  <si>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</si>
  <si>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</si>
  <si>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</si>
  <si>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</si>
  <si>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</si>
  <si>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</si>
  <si>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</si>
  <si>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</si>
  <si>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</si>
  <si>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</si>
  <si>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</si>
  <si>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</si>
  <si>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</si>
  <si>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</si>
  <si>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</si>
  <si>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</si>
  <si>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</si>
  <si>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</si>
  <si>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</si>
  <si>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</si>
  <si>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</si>
  <si>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</si>
  <si>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</si>
  <si>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</si>
  <si>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</si>
  <si>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</si>
  <si>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</si>
  <si>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</si>
  <si>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</si>
  <si>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</si>
  <si>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</si>
  <si>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</si>
  <si>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</si>
  <si>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</si>
  <si>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</si>
  <si>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</si>
  <si>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</si>
  <si>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</si>
  <si>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</si>
  <si>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</si>
  <si>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</si>
  <si>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</si>
  <si>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</si>
  <si>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</si>
  <si>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</si>
  <si>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</si>
  <si>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</si>
  <si>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</si>
  <si>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</si>
  <si>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</si>
  <si>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</si>
  <si>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</si>
  <si>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</si>
  <si>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</si>
  <si>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</si>
  <si>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</si>
  <si>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</si>
  <si>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</si>
  <si>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</si>
  <si>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</si>
  <si>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</si>
  <si>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</si>
  <si>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</si>
  <si>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</si>
  <si>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</si>
  <si>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</si>
  <si>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</si>
  <si>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</si>
  <si>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</si>
  <si>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</si>
  <si>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</si>
  <si>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</si>
  <si>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</si>
  <si>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</si>
  <si>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</si>
  <si>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</si>
  <si>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</si>
  <si>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</si>
  <si>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</si>
  <si>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</si>
  <si>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</si>
  <si>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</si>
  <si>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</si>
  <si>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</si>
  <si>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</si>
  <si>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</si>
  <si>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</si>
  <si>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</si>
  <si>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</si>
  <si>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</si>
  <si>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</si>
  <si>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</si>
  <si>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</si>
  <si>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</si>
  <si>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</si>
  <si>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</si>
  <si>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</si>
  <si>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</si>
  <si>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</si>
  <si>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</si>
  <si>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</si>
  <si>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</si>
  <si>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</si>
  <si>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</si>
  <si>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</si>
  <si>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</si>
  <si>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</si>
  <si>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</si>
  <si>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</si>
  <si>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</si>
  <si>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</si>
  <si>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</si>
  <si>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</si>
  <si>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</si>
  <si>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</si>
  <si>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</si>
  <si>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</si>
  <si>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</si>
  <si>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</si>
  <si>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</si>
  <si>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</si>
  <si>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</si>
  <si>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</si>
  <si>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</si>
  <si>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</si>
  <si>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</si>
  <si>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</si>
  <si>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</si>
  <si>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</si>
  <si>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</si>
  <si>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</si>
  <si>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</si>
  <si>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</si>
  <si>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</si>
  <si>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</si>
  <si>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</si>
  <si>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</si>
  <si>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</si>
  <si>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</si>
  <si>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</si>
  <si>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</si>
  <si>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</si>
  <si>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</si>
  <si>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</si>
  <si>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</si>
  <si>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</si>
  <si>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</si>
  <si>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</si>
  <si>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</si>
  <si>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</si>
  <si>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</si>
  <si>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</si>
  <si>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</si>
  <si>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</si>
  <si>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</si>
  <si>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</si>
  <si>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</si>
  <si>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</si>
  <si>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</si>
  <si>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</si>
  <si>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</si>
  <si>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</si>
  <si>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</si>
  <si>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</si>
  <si>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</si>
  <si>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</si>
  <si>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</si>
  <si>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</si>
  <si>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</si>
  <si>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</si>
  <si>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</si>
  <si>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</si>
  <si>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</si>
  <si>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</si>
  <si>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</si>
  <si>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</si>
  <si>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</si>
  <si>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</si>
  <si>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</si>
  <si>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</si>
  <si>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</si>
  <si>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</si>
  <si>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</si>
  <si>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</si>
  <si>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</si>
  <si>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</si>
  <si>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</si>
  <si>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</si>
  <si>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</si>
  <si>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</si>
  <si>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</si>
  <si>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</si>
  <si>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</si>
  <si>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</si>
  <si>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</si>
  <si>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</si>
  <si>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</si>
  <si>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</si>
  <si>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</si>
  <si>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</si>
  <si>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</si>
  <si>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</si>
  <si>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</si>
  <si>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</si>
  <si>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</si>
  <si>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</si>
  <si>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</si>
  <si>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</si>
  <si>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</si>
  <si>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</si>
  <si>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</si>
  <si>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</si>
  <si>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</si>
  <si>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</si>
  <si>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</si>
  <si>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</si>
  <si>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</si>
  <si>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</si>
  <si>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</si>
  <si>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</si>
  <si>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</si>
  <si>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</si>
  <si>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</si>
  <si>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</si>
  <si>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</si>
  <si>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</si>
  <si>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</si>
  <si>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</si>
  <si>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</si>
  <si>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</si>
  <si>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</si>
  <si>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</si>
  <si>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</si>
  <si>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</si>
  <si>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</si>
  <si>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</si>
  <si>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</si>
  <si>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</si>
  <si>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</si>
  <si>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</si>
  <si>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</si>
  <si>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</si>
  <si>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</si>
  <si>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</si>
  <si>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</si>
  <si>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</si>
  <si>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</si>
  <si>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</si>
  <si>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</si>
  <si>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</si>
  <si>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</si>
  <si>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</si>
  <si>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</si>
  <si>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</si>
  <si>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</si>
  <si>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</si>
  <si>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</si>
  <si>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</si>
  <si>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</si>
  <si>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</si>
  <si>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</si>
  <si>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</si>
  <si>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</si>
  <si>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</si>
  <si>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</si>
  <si>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</si>
  <si>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</si>
  <si>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</si>
  <si>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</si>
  <si>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</si>
  <si>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</si>
  <si>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</si>
  <si>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</si>
  <si>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</si>
  <si>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</si>
  <si>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</si>
  <si>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</si>
  <si>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</si>
  <si>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</si>
  <si>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</si>
  <si>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</si>
  <si>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</si>
  <si>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</si>
  <si>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</si>
  <si>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</si>
  <si>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</si>
  <si>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</si>
  <si>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</si>
  <si>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</si>
  <si>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</si>
  <si>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</si>
  <si>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</si>
  <si>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</si>
  <si>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</si>
  <si>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</si>
  <si>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</si>
  <si>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</si>
  <si>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</si>
  <si>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</si>
  <si>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</si>
  <si>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</si>
  <si>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</si>
  <si>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</si>
  <si>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</si>
  <si>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</si>
  <si>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</si>
  <si>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</si>
  <si>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</si>
  <si>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</si>
  <si>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</si>
  <si>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</si>
  <si>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</si>
  <si>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</si>
  <si>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</si>
  <si>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</si>
  <si>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</si>
  <si>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</si>
  <si>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</si>
  <si>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</si>
  <si>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</si>
  <si>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</si>
  <si>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</si>
  <si>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</si>
  <si>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</si>
  <si>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</si>
  <si>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</si>
  <si>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</si>
  <si>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</si>
  <si>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</si>
  <si>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</si>
  <si>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</si>
  <si>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</si>
  <si>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</si>
  <si>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</si>
  <si>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</si>
  <si>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</si>
  <si>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</si>
  <si>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</si>
  <si>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</si>
  <si>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</si>
  <si>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</si>
  <si>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</si>
  <si>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</si>
  <si>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</si>
  <si>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</si>
  <si>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</si>
  <si>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</si>
  <si>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</si>
  <si>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</si>
  <si>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</si>
  <si>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</si>
  <si>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</si>
  <si>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</si>
  <si>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</si>
  <si>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</si>
  <si>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</si>
  <si>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</si>
  <si>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</si>
  <si>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</si>
  <si>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</si>
  <si>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</si>
  <si>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</si>
  <si>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</si>
  <si>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</si>
  <si>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</si>
  <si>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</si>
  <si>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</si>
  <si>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</si>
  <si>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</si>
  <si>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</si>
  <si>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</si>
  <si>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</si>
  <si>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</si>
  <si>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</si>
  <si>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</si>
  <si>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</si>
  <si>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</si>
  <si>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</si>
  <si>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</si>
  <si>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</si>
  <si>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</si>
  <si>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</si>
  <si>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</si>
  <si>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</si>
  <si>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</si>
  <si>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</si>
  <si>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</si>
  <si>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</si>
  <si>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</si>
  <si>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</si>
  <si>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</si>
  <si>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</si>
  <si>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</si>
  <si>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</si>
  <si>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</si>
  <si>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</si>
  <si>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</si>
  <si>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</si>
  <si>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</si>
  <si>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</si>
  <si>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</si>
  <si>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</si>
  <si>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</si>
  <si>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</si>
  <si>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</si>
  <si>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</si>
  <si>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</si>
  <si>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</si>
  <si>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</si>
  <si>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</si>
  <si>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</si>
  <si>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</si>
  <si>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</si>
  <si>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</si>
  <si>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</si>
  <si>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</si>
  <si>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</si>
  <si>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</si>
  <si>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</si>
  <si>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</si>
  <si>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</si>
  <si>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</si>
  <si>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</si>
  <si>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</si>
  <si>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</si>
  <si>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</si>
  <si>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</si>
  <si>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</si>
  <si>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</si>
  <si>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</si>
  <si>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</si>
  <si>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</si>
  <si>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</si>
  <si>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</si>
  <si>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</si>
  <si>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</si>
  <si>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</si>
  <si>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</si>
  <si>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</si>
  <si>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</si>
  <si>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</si>
  <si>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</si>
  <si>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</si>
  <si>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</si>
  <si>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</si>
  <si>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</si>
  <si>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</si>
  <si>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</si>
  <si>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</si>
  <si>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</si>
  <si>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</si>
  <si>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</si>
  <si>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</si>
  <si>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</si>
  <si>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</si>
  <si>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</si>
  <si>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</si>
  <si>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</si>
  <si>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</si>
  <si>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</si>
  <si>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</si>
  <si>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</si>
  <si>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</si>
  <si>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</si>
  <si>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</si>
  <si>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</si>
  <si>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</si>
  <si>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</si>
  <si>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</si>
  <si>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</si>
  <si>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</si>
  <si>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</si>
  <si>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</si>
  <si>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</si>
  <si>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</si>
  <si>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</si>
  <si>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</si>
  <si>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</si>
  <si>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</si>
  <si>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</si>
  <si>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</si>
  <si>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</si>
  <si>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</si>
  <si>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</si>
  <si>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</si>
  <si>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</si>
  <si>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</si>
  <si>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</si>
  <si>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</si>
  <si>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</si>
  <si>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</si>
  <si>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</si>
  <si>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</si>
  <si>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</si>
  <si>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</si>
  <si>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</si>
  <si>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</si>
  <si>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</si>
  <si>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</si>
  <si>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</si>
  <si>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</si>
  <si>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</si>
  <si>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</si>
  <si>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</si>
  <si>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</si>
  <si>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</si>
  <si>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</si>
  <si>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</si>
  <si>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</si>
  <si>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</si>
  <si>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</si>
  <si>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</si>
  <si>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</si>
  <si>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</si>
  <si>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</si>
  <si>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</si>
  <si>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</si>
  <si>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</si>
  <si>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</si>
  <si>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</si>
  <si>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</si>
  <si>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</si>
  <si>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</si>
  <si>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</si>
  <si>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</si>
  <si>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</si>
  <si>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</si>
  <si>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</si>
  <si>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</si>
  <si>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</si>
  <si>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</si>
  <si>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</si>
  <si>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</si>
  <si>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</si>
  <si>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</si>
  <si>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</si>
  <si>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</si>
  <si>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</si>
  <si>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</si>
  <si>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</si>
  <si>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</si>
  <si>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</si>
  <si>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</si>
  <si>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</si>
  <si>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</si>
  <si>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</si>
  <si>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</si>
  <si>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</si>
  <si>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</si>
  <si>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</si>
  <si>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</si>
  <si>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</si>
  <si>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</si>
  <si>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</si>
  <si>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</si>
  <si>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</si>
  <si>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</si>
  <si>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</si>
  <si>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</si>
  <si>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</si>
  <si>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</si>
  <si>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</si>
  <si>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</si>
  <si>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</si>
  <si>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</si>
  <si>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</si>
  <si>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</si>
  <si>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</si>
  <si>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</si>
  <si>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</si>
  <si>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</si>
  <si>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</si>
  <si>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</si>
  <si>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</si>
  <si>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</si>
  <si>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</si>
  <si>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</si>
  <si>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</si>
  <si>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</si>
  <si>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</si>
  <si>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</si>
  <si>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</si>
  <si>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</si>
  <si>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</si>
  <si>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</si>
  <si>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</si>
  <si>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</si>
  <si>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</si>
  <si>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</si>
  <si>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</si>
  <si>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</si>
  <si>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</si>
  <si>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</si>
  <si>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</si>
  <si>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</si>
  <si>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</si>
  <si>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</si>
  <si>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</si>
  <si>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</si>
  <si>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</si>
  <si>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</si>
  <si>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</si>
  <si>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</si>
  <si>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</si>
  <si>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</si>
  <si>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</si>
  <si>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</si>
  <si>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</si>
  <si>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</si>
  <si>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</si>
  <si>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</si>
  <si>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</si>
  <si>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</si>
  <si>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</si>
  <si>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</si>
  <si>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</si>
  <si>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</si>
  <si>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</si>
  <si>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</si>
  <si>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</si>
  <si>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</si>
  <si>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</si>
  <si>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</si>
  <si>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</si>
  <si>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</si>
  <si>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</si>
  <si>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</si>
  <si>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</si>
  <si>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</si>
  <si>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</si>
  <si>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</si>
  <si>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</si>
  <si>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</si>
  <si>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</si>
  <si>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</si>
  <si>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</si>
  <si>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</si>
  <si>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</si>
  <si>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</si>
  <si>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</si>
  <si>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</si>
  <si>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</si>
  <si>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</si>
  <si>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</si>
  <si>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</si>
  <si>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</si>
  <si>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</si>
  <si>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</si>
  <si>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</si>
  <si>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</si>
  <si>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</si>
  <si>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</si>
  <si>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</si>
  <si>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</si>
  <si>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</si>
  <si>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</si>
  <si>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</si>
  <si>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</si>
  <si>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</si>
  <si>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</si>
  <si>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</si>
  <si>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</si>
  <si>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</si>
  <si>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</si>
  <si>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</si>
  <si>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</si>
  <si>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</si>
  <si>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</si>
  <si>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</si>
  <si>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</si>
  <si>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</si>
  <si>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</si>
  <si>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</si>
  <si>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</si>
  <si>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</si>
  <si>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</si>
  <si>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</si>
  <si>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</si>
  <si>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</si>
  <si>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</si>
  <si>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</si>
  <si>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</si>
  <si>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</si>
  <si>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</si>
  <si>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</si>
  <si>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</si>
  <si>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</si>
  <si>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</si>
  <si>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</si>
  <si>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</si>
  <si>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</si>
  <si>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</si>
  <si>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</si>
  <si>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</si>
  <si>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</si>
  <si>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</si>
  <si>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</si>
  <si>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</si>
  <si>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</si>
  <si>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</si>
  <si>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</si>
  <si>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</si>
  <si>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</si>
  <si>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</si>
  <si>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</si>
  <si>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</si>
  <si>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</si>
  <si>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</si>
  <si>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</si>
  <si>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</si>
  <si>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</si>
  <si>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</si>
  <si>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</si>
  <si>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</si>
  <si>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</si>
  <si>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</si>
  <si>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</si>
  <si>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</si>
  <si>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</si>
  <si>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</si>
  <si>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</si>
  <si>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</si>
  <si>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</si>
  <si>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</si>
  <si>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</si>
  <si>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</si>
  <si>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</si>
  <si>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</si>
  <si>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</si>
  <si>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</si>
  <si>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</si>
  <si>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</si>
  <si>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</si>
  <si>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</si>
  <si>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</si>
  <si>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</si>
  <si>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</si>
  <si>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</si>
  <si>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</si>
  <si>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</si>
  <si>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</si>
  <si>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</si>
  <si>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</si>
  <si>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</si>
  <si>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</si>
  <si>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</si>
  <si>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</si>
  <si>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</si>
  <si>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</si>
  <si>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</si>
  <si>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</si>
  <si>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</si>
  <si>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</si>
  <si>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</si>
  <si>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</si>
  <si>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</si>
  <si>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</si>
  <si>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</si>
  <si>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</si>
  <si>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</si>
  <si>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</si>
  <si>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</si>
  <si>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</si>
  <si>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</si>
  <si>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</si>
  <si>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</si>
  <si>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</si>
  <si>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</si>
  <si>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</si>
  <si>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</si>
  <si>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</si>
  <si>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</si>
  <si>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</si>
  <si>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</si>
  <si>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</si>
  <si>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</si>
  <si>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</si>
  <si>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</si>
  <si>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</si>
  <si>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</si>
  <si>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</si>
  <si>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</si>
  <si>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</si>
  <si>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</si>
  <si>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</si>
  <si>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</si>
  <si>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</si>
  <si>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</si>
  <si>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</si>
  <si>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</si>
  <si>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</si>
  <si>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</si>
  <si>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</si>
  <si>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</si>
  <si>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</si>
  <si>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</si>
  <si>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</si>
  <si>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</si>
  <si>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</si>
  <si>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</si>
  <si>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</si>
  <si>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</si>
  <si>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</si>
  <si>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</si>
  <si>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</si>
  <si>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</si>
  <si>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</si>
  <si>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</si>
  <si>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</si>
  <si>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</si>
  <si>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</si>
  <si>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</si>
  <si>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</si>
  <si>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</si>
  <si>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</si>
  <si>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</si>
  <si>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</si>
  <si>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</si>
  <si>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</si>
  <si>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</si>
  <si>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</si>
  <si>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</si>
  <si>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</si>
  <si>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</si>
  <si>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</si>
  <si>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</si>
  <si>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</si>
  <si>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</si>
  <si>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</si>
  <si>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</si>
  <si>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</si>
  <si>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</si>
  <si>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</si>
  <si>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</si>
  <si>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</si>
  <si>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</si>
  <si>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</si>
  <si>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</si>
  <si>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</si>
  <si>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</si>
  <si>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</si>
  <si>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</si>
  <si>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</si>
  <si>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</si>
  <si>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</si>
  <si>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</si>
  <si>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</si>
  <si>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</si>
  <si>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</si>
  <si>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</si>
  <si>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</si>
  <si>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</si>
  <si>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</si>
  <si>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</si>
  <si>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</si>
  <si>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</si>
  <si>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</si>
  <si>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</si>
  <si>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</si>
  <si>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</si>
  <si>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</si>
  <si>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</si>
  <si>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</si>
  <si>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</si>
  <si>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</si>
  <si>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</si>
  <si>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</si>
  <si>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</si>
  <si>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</si>
  <si>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</si>
  <si>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</si>
  <si>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</si>
  <si>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</si>
  <si>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</si>
  <si>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</si>
  <si>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</si>
  <si>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</si>
  <si>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</si>
  <si>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</si>
  <si>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</si>
  <si>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</si>
  <si>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</si>
  <si>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</si>
  <si>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</si>
  <si>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</si>
  <si>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</si>
  <si>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</si>
  <si>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</si>
  <si>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</si>
  <si>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</si>
  <si>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</si>
  <si>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</si>
  <si>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</si>
  <si>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</si>
  <si>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</si>
  <si>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</si>
  <si>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</si>
  <si>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</si>
  <si>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</si>
  <si>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</si>
  <si>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</si>
  <si>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</si>
  <si>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</si>
  <si>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</si>
  <si>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</si>
  <si>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</si>
  <si>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</si>
  <si>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</si>
  <si>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</si>
  <si>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</si>
  <si>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</si>
  <si>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</si>
  <si>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</si>
  <si>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</si>
  <si>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</si>
  <si>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</si>
  <si>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</si>
  <si>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</si>
  <si>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</si>
  <si>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</si>
  <si>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</si>
  <si>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</si>
  <si>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</si>
  <si>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</si>
  <si>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</si>
  <si>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</si>
  <si>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</si>
  <si>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</si>
  <si>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</si>
  <si>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</si>
  <si>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</si>
  <si>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</si>
  <si>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</si>
  <si>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</si>
  <si>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</si>
  <si>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</si>
  <si>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</si>
  <si>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</si>
  <si>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</si>
  <si>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</si>
  <si>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</si>
  <si>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</si>
  <si>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</si>
  <si>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</si>
  <si>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</si>
  <si>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</si>
  <si>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</si>
  <si>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</si>
  <si>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</si>
  <si>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</si>
  <si>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</si>
  <si>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</si>
  <si>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</si>
  <si>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</si>
  <si>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</si>
  <si>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</si>
  <si>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</si>
  <si>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</si>
  <si>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</si>
  <si>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</si>
  <si>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</si>
  <si>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</si>
  <si>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</si>
  <si>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</si>
  <si>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</si>
  <si>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</si>
  <si>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</si>
  <si>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</si>
  <si>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</si>
  <si>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</si>
  <si>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</si>
  <si>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</si>
  <si>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</si>
  <si>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</si>
  <si>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</si>
  <si>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</si>
  <si>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</si>
  <si>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</si>
  <si>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</si>
  <si>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</si>
  <si>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</si>
  <si>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</si>
  <si>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</si>
  <si>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</si>
  <si>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</si>
  <si>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</si>
  <si>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</si>
  <si>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</si>
  <si>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</si>
  <si>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</si>
  <si>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</si>
  <si>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</si>
  <si>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</si>
  <si>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</si>
  <si>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</si>
  <si>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</si>
  <si>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</si>
  <si>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</si>
  <si>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</si>
  <si>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</si>
  <si>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</si>
  <si>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</si>
  <si>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</si>
  <si>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</si>
  <si>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</si>
  <si>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</si>
  <si>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</si>
  <si>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</si>
  <si>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</si>
  <si>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</si>
  <si>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</si>
  <si>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</si>
  <si>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</si>
  <si>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</si>
  <si>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</si>
  <si>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</si>
  <si>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</si>
  <si>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</si>
  <si>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</si>
  <si>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</si>
  <si>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</si>
  <si>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</si>
  <si>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</si>
  <si>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</si>
  <si>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</si>
  <si>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</si>
  <si>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</si>
  <si>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</si>
  <si>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</si>
  <si>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</si>
  <si>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</si>
  <si>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</si>
  <si>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</si>
  <si>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</si>
  <si>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</si>
  <si>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</si>
  <si>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</si>
  <si>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</si>
  <si>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</si>
  <si>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</si>
  <si>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</si>
  <si>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</si>
  <si>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</si>
  <si>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</si>
  <si>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</si>
  <si>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</si>
  <si>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</si>
  <si>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</si>
  <si>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</si>
  <si>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</si>
  <si>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</si>
  <si>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</si>
  <si>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</si>
  <si>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</si>
  <si>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</si>
  <si>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</si>
  <si>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</si>
  <si>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</si>
  <si>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</si>
  <si>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</si>
  <si>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</si>
  <si>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</si>
  <si>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</si>
  <si>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</si>
  <si>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</si>
  <si>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</si>
  <si>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</si>
  <si>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</si>
  <si>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</si>
  <si>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</si>
  <si>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</si>
  <si>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</si>
  <si>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</si>
  <si>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</si>
  <si>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</si>
  <si>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</si>
  <si>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</si>
  <si>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</si>
  <si>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</si>
  <si>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</si>
  <si>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</si>
  <si>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</si>
  <si>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</si>
  <si>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</si>
  <si>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</si>
  <si>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</si>
  <si>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</si>
  <si>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</si>
  <si>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</si>
  <si>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</si>
  <si>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</si>
  <si>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</si>
  <si>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</si>
  <si>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</si>
  <si>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</si>
  <si>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</si>
  <si>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</si>
  <si>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</si>
  <si>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</si>
  <si>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</si>
  <si>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</si>
  <si>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</si>
  <si>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</si>
  <si>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</si>
  <si>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</si>
  <si>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</si>
  <si>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</si>
  <si>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</si>
  <si>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</si>
  <si>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</si>
  <si>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</si>
  <si>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</si>
  <si>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</si>
  <si>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</si>
  <si>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</si>
  <si>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</si>
  <si>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</si>
  <si>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</si>
  <si>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</si>
  <si>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</si>
  <si>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</si>
  <si>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</si>
  <si>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</si>
  <si>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</si>
  <si>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</si>
  <si>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</si>
  <si>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</si>
  <si>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</si>
  <si>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</si>
  <si>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</si>
  <si>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</si>
  <si>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</si>
  <si>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</si>
  <si>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</si>
  <si>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</si>
  <si>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</si>
  <si>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</si>
  <si>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</si>
  <si>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</si>
  <si>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</si>
  <si>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</si>
  <si>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</si>
  <si>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</si>
  <si>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</si>
  <si>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</si>
  <si>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</si>
  <si>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</si>
  <si>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</si>
  <si>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</si>
  <si>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</si>
  <si>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</si>
  <si>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</si>
  <si>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</si>
  <si>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</si>
  <si>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</si>
  <si>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</si>
  <si>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</si>
  <si>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</si>
  <si>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</si>
  <si>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</si>
  <si>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</si>
  <si>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</si>
  <si>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</si>
  <si>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</si>
  <si>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</si>
  <si>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</si>
  <si>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</si>
  <si>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</si>
  <si>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</si>
  <si>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</si>
  <si>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</si>
  <si>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</si>
  <si>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</si>
  <si>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</si>
  <si>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</si>
  <si>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</si>
  <si>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</si>
  <si>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</si>
  <si>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</si>
  <si>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</si>
  <si>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</si>
  <si>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</si>
  <si>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</si>
  <si>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</si>
  <si>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</si>
  <si>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</si>
  <si>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</si>
  <si>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</si>
  <si>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</si>
  <si>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</si>
  <si>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</si>
  <si>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</si>
  <si>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</si>
  <si>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8/2004</t>
  </si>
  <si>
    <t>7/2020</t>
  </si>
  <si>
    <t>8/2024</t>
  </si>
  <si>
    <t>8/2028</t>
  </si>
  <si>
    <t>7/2022</t>
  </si>
  <si>
    <t>8/2036</t>
  </si>
  <si>
    <t>Adjustment: HVAC Lease fund 31 not included in FY22 DOE</t>
  </si>
  <si>
    <t>Rounding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</si>
</sst>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30" zoomScaleNormal="13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1110</v>
      </c>
      <c r="B2">
        <f>INDEX('School Tables'!$AH$3:$AH$209,MATCH('DOE25'!A2,'School Tables'!$AJ$3:$AJ$209,0))</f>
        <v>260</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2446303.74+300+500+2500</f>
        <v>2449603.7400000002</v>
      </c>
      <c r="G9" s="18">
        <f>274+11970.37+19381.42</f>
        <v>31625.79</v>
      </c>
      <c r="H9" s="18"/>
      <c r="I9" s="18">
        <v>156674.17000000001</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v>77309.86</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106242.94+21794.38</f>
        <v>128037.32</v>
      </c>
      <c r="G13" s="18">
        <v>15798.58</v>
      </c>
      <c r="H13" s="18">
        <f>93544.95+623.63</f>
        <v>94168.58</v>
      </c>
      <c r="I13" s="18"/>
      <c r="J13" s="13">
        <f>SUM(I443)</f>
        <v>612805.16</v>
      </c>
      <c r="K13" s="23" t="s">
        <v>288</v>
      </c>
      <c r="L13" s="23" t="s">
        <v>288</v>
      </c>
      <c r="M13" s="8"/>
      <c r="N13" s="165"/>
    </row>
    <row r="14" spans="1:14" s="3" customFormat="1" ht="12.2" customHeight="1" x14ac:dyDescent="0.15">
      <c r="A14" s="1" t="s">
        <v>565</v>
      </c>
      <c r="B14" s="2" t="s">
        <v>289</v>
      </c>
      <c r="C14" s="6">
        <v>6</v>
      </c>
      <c r="D14" s="2" t="s">
        <v>428</v>
      </c>
      <c r="E14" s="6">
        <v>150</v>
      </c>
      <c r="F14" s="18"/>
      <c r="G14" s="18"/>
      <c r="H14" s="18">
        <v>157.49</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15510.53</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f>66397.55+9790+110317.83</f>
        <v>186505.38</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2764146.44</v>
      </c>
      <c r="G19" s="38">
        <f>SUM(G9:G18)</f>
        <v>62934.9</v>
      </c>
      <c r="H19" s="38">
        <f>SUM(H9:H18)</f>
        <v>171635.93</v>
      </c>
      <c r="I19" s="38">
        <f>SUM(I9:I18)</f>
        <v>156674.17000000001</v>
      </c>
      <c r="J19" s="38">
        <f>SUM(J9:J18)</f>
        <v>612805.16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722216.25</v>
      </c>
      <c r="G22" s="18">
        <v>-660315.22</v>
      </c>
      <c r="H22" s="18">
        <f>90544.95-233185.74</f>
        <v>-142640.78999999998</v>
      </c>
      <c r="I22" s="18"/>
      <c r="J22" s="13">
        <f>SUM(I449)</f>
        <v>158049.62</v>
      </c>
      <c r="K22" s="23" t="s">
        <v>288</v>
      </c>
      <c r="L22" s="23" t="s">
        <v>288</v>
      </c>
      <c r="M22" s="8"/>
      <c r="N22" s="165"/>
    </row>
    <row r="23" spans="1:14" s="3" customFormat="1" ht="12.2" customHeight="1" x14ac:dyDescent="0.15">
      <c r="A23" s="1" t="s">
        <v>607</v>
      </c>
      <c r="B23" s="2" t="s">
        <v>289</v>
      </c>
      <c r="C23" s="6">
        <v>13</v>
      </c>
      <c r="D23" s="2" t="s">
        <v>429</v>
      </c>
      <c r="E23" s="6">
        <v>410</v>
      </c>
      <c r="F23" s="18">
        <v>47149.29</v>
      </c>
      <c r="G23" s="18">
        <v>1581.77</v>
      </c>
      <c r="H23" s="18">
        <f>3000</f>
        <v>3000</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113646.2</v>
      </c>
      <c r="G24" s="18">
        <v>937</v>
      </c>
      <c r="H24" s="18">
        <f>1208.7+5202.98</f>
        <v>6411.6799999999994</v>
      </c>
      <c r="I24" s="18">
        <v>6175</v>
      </c>
      <c r="J24" s="13">
        <f>SUM(I451)</f>
        <v>6950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v>143999.57</v>
      </c>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65487.54</f>
        <v>65487.54</v>
      </c>
      <c r="G28" s="18">
        <v>2736.79</v>
      </c>
      <c r="H28" s="18">
        <v>370.5</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5318.01+6546.53</f>
        <v>11864.54</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45570.09</v>
      </c>
      <c r="H30" s="18">
        <f>58207</f>
        <v>58207</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960363.82000000007</v>
      </c>
      <c r="G32" s="38">
        <f>SUM(G22:G31)</f>
        <v>-609489.56999999995</v>
      </c>
      <c r="H32" s="38">
        <f>SUM(H22:H31)</f>
        <v>-74651.609999999986</v>
      </c>
      <c r="I32" s="38">
        <f>SUM(I22:I31)</f>
        <v>150174.57</v>
      </c>
      <c r="J32" s="38">
        <f>SUM(J22:J31)</f>
        <v>164999.62</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15510.53</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186505.38</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v>656913.93999999994</v>
      </c>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f>125000+325000</f>
        <v>450000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362978.47</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398433</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f>304494.54-58207</f>
        <v>246287.53999999998</v>
      </c>
      <c r="I48" s="18"/>
      <c r="J48" s="13">
        <f>SUM(I460)</f>
        <v>447805.54</v>
      </c>
      <c r="K48" s="23" t="s">
        <v>288</v>
      </c>
      <c r="L48" s="23" t="s">
        <v>288</v>
      </c>
      <c r="M48" s="8"/>
      <c r="N48" s="165"/>
    </row>
    <row r="49" spans="1:14" s="3" customFormat="1" ht="12.2" customHeight="1" x14ac:dyDescent="0.15">
      <c r="A49" s="1" t="s">
        <v>858</v>
      </c>
      <c r="B49" s="2" t="s">
        <v>289</v>
      </c>
      <c r="C49" s="6">
        <v>34</v>
      </c>
      <c r="D49" s="2"/>
      <c r="E49" s="6">
        <v>753</v>
      </c>
      <c r="F49" s="18"/>
      <c r="G49" s="18"/>
      <c r="H49" s="18"/>
      <c r="I49" s="18">
        <v>6499.6</v>
      </c>
      <c r="J49" s="13">
        <f>I455</f>
        <v>0</v>
      </c>
      <c r="K49" s="23"/>
      <c r="L49" s="23"/>
      <c r="M49" s="8"/>
      <c r="N49" s="165"/>
    </row>
    <row r="50" spans="1:14" s="3" customFormat="1" ht="12.2" customHeight="1" thickBot="1" x14ac:dyDescent="0.2">
      <c r="A50" s="28" t="s">
        <v>839</v>
      </c>
      <c r="B50" s="2" t="s">
        <v>289</v>
      </c>
      <c r="C50" s="56">
        <v>35</v>
      </c>
      <c r="D50" s="2" t="s">
        <v>653</v>
      </c>
      <c r="E50" s="6">
        <v>770</v>
      </c>
      <c r="F50" s="18">
        <f>530865.77-125000</f>
        <v>405865.77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1803782.62</v>
      </c>
      <c r="G51" s="38">
        <f>SUM(G35:G50)</f>
        <v>672424.47</v>
      </c>
      <c r="H51" s="38">
        <f>SUM(H35:H50)</f>
        <v>246287.53999999998</v>
      </c>
      <c r="I51" s="38">
        <f>SUM(I35:I50)</f>
        <v>6499.6</v>
      </c>
      <c r="J51" s="38">
        <f>SUM(J35:J50)</f>
        <v>447805.54</v>
      </c>
      <c r="K51" s="42" t="s">
        <v>288</v>
      </c>
      <c r="L51" s="42" t="s">
        <v>288</v>
      </c>
      <c r="N51" s="131"/>
    </row>
    <row r="52" spans="1:14" s="3" customFormat="1" ht="12.2" customHeight="1" thickTop="1" x14ac:dyDescent="0.15">
      <c r="A52" s="35" t="s">
        <v>455</v>
      </c>
      <c r="B52" s="36" t="s">
        <v>289</v>
      </c>
      <c r="C52" s="6">
        <v>37</v>
      </c>
      <c r="D52" s="36" t="s">
        <v>653</v>
      </c>
      <c r="E52" s="36"/>
      <c r="F52" s="38">
        <f>F51+F32</f>
        <v>2764146.4400000004</v>
      </c>
      <c r="G52" s="38">
        <f>G51+G32</f>
        <v>62934.900000000023</v>
      </c>
      <c r="H52" s="38">
        <f>H51+H32</f>
        <v>171635.93</v>
      </c>
      <c r="I52" s="38">
        <f>I51+I32</f>
        <v>156674.17000000001</v>
      </c>
      <c r="J52" s="38">
        <f>J51+J32</f>
        <v>612805.15999999992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8150171+10332661</f>
        <v>18482832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18482832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41256.82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41256.82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62490.01</v>
      </c>
      <c r="G96" s="18"/>
      <c r="H96" s="18"/>
      <c r="I96" s="18"/>
      <c r="J96" s="18">
        <v>16032.03</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159909.24+272611.59+17506.76+39407.8+3049.71+5062.77</f>
        <v>497547.87000000005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v>88340.160000000003</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768.55</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25967.67+275.75+11048.79</f>
        <v>37292.21</v>
      </c>
      <c r="G110" s="18"/>
      <c r="H110" s="18">
        <f>1337+588-1619.33+1322+3379.5+2299.33+1885+56.44+5.47+60.31+86+10477.92+2187+120.49+1917.5+42+35+20735.86+2190+11025+35581.4+2703.27+5000+552.56+100+590+14653.55+3485+394.98+1216.71+157.89+465.75+755+1.85+288.6+29.13+348.12+653.8</f>
        <v>125108.10000000003</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99782.22</v>
      </c>
      <c r="G111" s="38">
        <f>SUM(G96:G110)</f>
        <v>497547.87000000005</v>
      </c>
      <c r="H111" s="38">
        <f>SUM(H96:H110)</f>
        <v>214216.81000000006</v>
      </c>
      <c r="I111" s="38">
        <f>SUM(I96:I110)</f>
        <v>0</v>
      </c>
      <c r="J111" s="38">
        <f>SUM(J96:J110)</f>
        <v>16032.03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18623871.039999999</v>
      </c>
      <c r="G112" s="38">
        <f>G60+G111</f>
        <v>497547.87000000005</v>
      </c>
      <c r="H112" s="38">
        <f>H60+H79+H94+H111</f>
        <v>214216.81000000006</v>
      </c>
      <c r="I112" s="38">
        <f>I60+I111</f>
        <v>0</v>
      </c>
      <c r="J112" s="38">
        <f>J60+J111</f>
        <v>16032.03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3757310.62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1438810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135221.27+3786.66</f>
        <v>139007.93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5335128.55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219361.95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301594.76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8817.7000000000007</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f>11695+9195</f>
        <v>20890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5719.23</f>
        <v>5719.23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f>8833.17+17530.78</f>
        <v>26363.949999999997</v>
      </c>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529774.41</v>
      </c>
      <c r="G136" s="38">
        <f>SUM(G123:G135)</f>
        <v>32083.179999999997</v>
      </c>
      <c r="H136" s="38">
        <f>SUM(H123:H135)</f>
        <v>20890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5864902.96</v>
      </c>
      <c r="G140" s="38">
        <f>G121+SUM(G136:G137)</f>
        <v>32083.179999999997</v>
      </c>
      <c r="H140" s="38">
        <f>H121+SUM(H136:H139)</f>
        <v>20890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v>30851.65</v>
      </c>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30851.65</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9470.64+5684.52+4500+10907.6+9000</f>
        <v>39562.76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37319.91+50395.9</f>
        <v>87715.81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220141.34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36246.019999999997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2500+50691.5+26902.4</f>
        <v>80093.899999999994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36246.019999999997</v>
      </c>
      <c r="G163" s="38">
        <f>SUM(G150:G162)</f>
        <v>87715.81</v>
      </c>
      <c r="H163" s="38">
        <f>SUM(H150:H162)</f>
        <v>339798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36246.019999999997</v>
      </c>
      <c r="G170" s="38">
        <f>G147+G163+SUM(G164:G169)</f>
        <v>118567.45999999999</v>
      </c>
      <c r="H170" s="38">
        <f>H147+H163+SUM(H164:H169)</f>
        <v>339798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2886491</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2886491</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225000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225000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6199.86</v>
      </c>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6199.86</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6199.86</v>
      </c>
      <c r="G193" s="38">
        <f>G184+SUM(G189:G192)</f>
        <v>0</v>
      </c>
      <c r="H193" s="38">
        <f>+H184+SUM(H189:H192)</f>
        <v>0</v>
      </c>
      <c r="I193" s="38">
        <f>I178+I184+SUM(I189:I192)</f>
        <v>2886491</v>
      </c>
      <c r="J193" s="38">
        <f>J184</f>
        <v>225000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24531219.879999999</v>
      </c>
      <c r="G194" s="38">
        <f>G112+G140+G170+G193</f>
        <v>648198.51</v>
      </c>
      <c r="H194" s="38">
        <f>H112+H140+H170+H193</f>
        <v>574904.81000000006</v>
      </c>
      <c r="I194" s="38">
        <f>I112+I140+I170+I193</f>
        <v>2886491</v>
      </c>
      <c r="J194" s="38">
        <f>J112+J140+J193</f>
        <v>241032.03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2091918.58+3137.7-1532.9</f>
        <v>2093523.3800000001</v>
      </c>
      <c r="G216" s="18">
        <v>1037985.46</v>
      </c>
      <c r="H216" s="18">
        <f>3185.6+1550+2563.7</f>
        <v>7299.3</v>
      </c>
      <c r="I216" s="18">
        <f>57689.85+664.02+5602.22</f>
        <v>63956.09</v>
      </c>
      <c r="J216" s="18">
        <f>7448.73+4391.7+4238.12+2664.93+10191.3</f>
        <v>28934.78</v>
      </c>
      <c r="K216" s="18">
        <v>617.5</v>
      </c>
      <c r="L216" s="13">
        <f>SUM(F216:K216)</f>
        <v>3232316.5099999993</v>
      </c>
      <c r="M216" s="8"/>
      <c r="N216" s="165"/>
    </row>
    <row r="217" spans="1:14" s="3" customFormat="1" ht="12.2" customHeight="1" x14ac:dyDescent="0.15">
      <c r="A217" s="1" t="s">
        <v>439</v>
      </c>
      <c r="B217" s="2" t="s">
        <v>346</v>
      </c>
      <c r="C217" s="2" t="s">
        <v>291</v>
      </c>
      <c r="D217" s="2" t="s">
        <v>431</v>
      </c>
      <c r="E217" s="6">
        <v>1200</v>
      </c>
      <c r="F217" s="18">
        <f>475513.61+26988.29+3487.5+38.89+204.21+9207.78+5726.44</f>
        <v>521166.72000000003</v>
      </c>
      <c r="G217" s="18">
        <v>258398.58</v>
      </c>
      <c r="H217" s="18">
        <f>138330.57+2094.28+71.85</f>
        <v>140496.70000000001</v>
      </c>
      <c r="I217" s="18">
        <v>14349.92</v>
      </c>
      <c r="J217" s="18">
        <f>5003.79+10086.16+9899.94</f>
        <v>24989.89</v>
      </c>
      <c r="K217" s="18">
        <v>555</v>
      </c>
      <c r="L217" s="13">
        <f>SUM(F217:K217)</f>
        <v>959956.81</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f>71145+27650.76</f>
        <v>98795.76</v>
      </c>
      <c r="G219" s="18">
        <v>48983.72</v>
      </c>
      <c r="H219" s="18">
        <f>20021.75-10787.75</f>
        <v>9234</v>
      </c>
      <c r="I219" s="18">
        <v>6925.93</v>
      </c>
      <c r="J219" s="18">
        <v>1207.6500000000001</v>
      </c>
      <c r="K219" s="18">
        <v>1262.5</v>
      </c>
      <c r="L219" s="13">
        <f>SUM(F219:K219)</f>
        <v>166409.55999999997</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254418.2+10607.43+5848.89</f>
        <v>270874.52</v>
      </c>
      <c r="G221" s="18">
        <v>134301.73000000001</v>
      </c>
      <c r="H221" s="18">
        <f>139541.44+25536.2+1883.38</f>
        <v>166961.02000000002</v>
      </c>
      <c r="I221" s="18">
        <v>6720.76</v>
      </c>
      <c r="J221" s="18">
        <v>306.99</v>
      </c>
      <c r="K221" s="18">
        <v>0</v>
      </c>
      <c r="L221" s="13">
        <f t="shared" ref="L221:L227" si="2">SUM(F221:K221)</f>
        <v>579165.02</v>
      </c>
      <c r="M221" s="8"/>
      <c r="N221" s="165"/>
    </row>
    <row r="222" spans="1:14" s="3" customFormat="1" ht="12.2" customHeight="1" x14ac:dyDescent="0.15">
      <c r="A222" s="1" t="s">
        <v>443</v>
      </c>
      <c r="B222" s="2" t="s">
        <v>346</v>
      </c>
      <c r="C222" s="2" t="s">
        <v>295</v>
      </c>
      <c r="D222" s="2" t="s">
        <v>431</v>
      </c>
      <c r="E222" s="6">
        <v>2200</v>
      </c>
      <c r="F222" s="18">
        <f>120517.4+286.75-163.96+1019.73+13454</f>
        <v>135113.91999999998</v>
      </c>
      <c r="G222" s="18">
        <v>66990.55</v>
      </c>
      <c r="H222" s="18">
        <f>636.99+186+282.26</f>
        <v>1105.25</v>
      </c>
      <c r="I222" s="18">
        <f>14898+1412.98</f>
        <v>16310.98</v>
      </c>
      <c r="J222" s="18">
        <f>30817.6+1240+7951.66-68.2+41805.7</f>
        <v>81746.759999999995</v>
      </c>
      <c r="K222" s="18">
        <v>0</v>
      </c>
      <c r="L222" s="13">
        <f t="shared" si="2"/>
        <v>301267.45999999996</v>
      </c>
      <c r="M222" s="8"/>
      <c r="N222" s="165"/>
    </row>
    <row r="223" spans="1:14" s="3" customFormat="1" ht="12.2" customHeight="1" x14ac:dyDescent="0.15">
      <c r="A223" s="1" t="s">
        <v>444</v>
      </c>
      <c r="B223" s="2" t="s">
        <v>346</v>
      </c>
      <c r="C223" s="2" t="s">
        <v>296</v>
      </c>
      <c r="D223" s="2" t="s">
        <v>431</v>
      </c>
      <c r="E223" s="6">
        <v>2300</v>
      </c>
      <c r="F223" s="18">
        <f>1023+310</f>
        <v>1333</v>
      </c>
      <c r="G223" s="18">
        <v>660.91</v>
      </c>
      <c r="H223" s="18">
        <f>317.29+3824.1+1081.99+889.47+170.5+4526+11311.52+331993.59</f>
        <v>354114.46</v>
      </c>
      <c r="I223" s="18">
        <f>489.85</f>
        <v>489.85</v>
      </c>
      <c r="J223" s="18">
        <v>29.21</v>
      </c>
      <c r="K223" s="18">
        <f>1538.26</f>
        <v>1538.26</v>
      </c>
      <c r="L223" s="13">
        <f t="shared" si="2"/>
        <v>358165.69</v>
      </c>
      <c r="M223" s="8"/>
      <c r="N223" s="165"/>
    </row>
    <row r="224" spans="1:14" s="3" customFormat="1" ht="12.2" customHeight="1" x14ac:dyDescent="0.15">
      <c r="A224" s="1" t="s">
        <v>445</v>
      </c>
      <c r="B224" s="2" t="s">
        <v>346</v>
      </c>
      <c r="C224" s="2" t="s">
        <v>297</v>
      </c>
      <c r="D224" s="2" t="s">
        <v>431</v>
      </c>
      <c r="E224" s="6">
        <v>2400</v>
      </c>
      <c r="F224" s="18">
        <f>284528.83+310+1179.18</f>
        <v>286018.01</v>
      </c>
      <c r="G224" s="18">
        <v>141809.99</v>
      </c>
      <c r="H224" s="18">
        <f>29208.25+775+14.96+319.3+9566.72+38.75</f>
        <v>39922.979999999996</v>
      </c>
      <c r="I224" s="18">
        <f>1171.02+52510.25+1608.9+3313.53</f>
        <v>58603.7</v>
      </c>
      <c r="J224" s="18">
        <v>0</v>
      </c>
      <c r="K224" s="18">
        <f>810+35.14</f>
        <v>845.14</v>
      </c>
      <c r="L224" s="13">
        <f t="shared" si="2"/>
        <v>527199.81999999995</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f>1399.58</f>
        <v>1399.58</v>
      </c>
      <c r="L225" s="13">
        <f t="shared" si="2"/>
        <v>1399.58</v>
      </c>
      <c r="M225" s="8"/>
      <c r="N225" s="165"/>
    </row>
    <row r="226" spans="1:14" s="3" customFormat="1" ht="12.2" customHeight="1" x14ac:dyDescent="0.15">
      <c r="A226" s="1" t="s">
        <v>447</v>
      </c>
      <c r="B226" s="2" t="s">
        <v>346</v>
      </c>
      <c r="C226" s="2" t="s">
        <v>299</v>
      </c>
      <c r="D226" s="2" t="s">
        <v>431</v>
      </c>
      <c r="E226" s="6">
        <v>2600</v>
      </c>
      <c r="F226" s="18">
        <f>195313.38+8600.64-1254</f>
        <v>202660.02000000002</v>
      </c>
      <c r="G226" s="18">
        <v>100480.44</v>
      </c>
      <c r="H226" s="18">
        <f>124431.57+275.31+22380.45+93+93+5850+1315.85</f>
        <v>154439.18000000002</v>
      </c>
      <c r="I226" s="18">
        <f>175931.87+310+505.92</f>
        <v>176747.79</v>
      </c>
      <c r="J226" s="18">
        <f>5947.22+8218.72</f>
        <v>14165.939999999999</v>
      </c>
      <c r="K226" s="18">
        <f>96597.84+22780.11</f>
        <v>119377.95</v>
      </c>
      <c r="L226" s="13">
        <f t="shared" si="2"/>
        <v>767871.32</v>
      </c>
      <c r="M226" s="8"/>
      <c r="N226" s="165"/>
    </row>
    <row r="227" spans="1:14" s="3" customFormat="1" ht="12.2" customHeight="1" x14ac:dyDescent="0.15">
      <c r="A227" s="1" t="s">
        <v>448</v>
      </c>
      <c r="B227" s="2" t="s">
        <v>346</v>
      </c>
      <c r="C227" s="2" t="s">
        <v>300</v>
      </c>
      <c r="D227" s="2" t="s">
        <v>431</v>
      </c>
      <c r="E227" s="6">
        <v>2700</v>
      </c>
      <c r="F227" s="18">
        <v>0</v>
      </c>
      <c r="G227" s="18">
        <v>0</v>
      </c>
      <c r="H227" s="18">
        <f>414470.95+298.84+41.85+13.95+10787.75</f>
        <v>425613.34</v>
      </c>
      <c r="I227" s="18">
        <f>40341.83+398.42</f>
        <v>40740.25</v>
      </c>
      <c r="J227" s="18">
        <v>0</v>
      </c>
      <c r="K227" s="18">
        <v>0</v>
      </c>
      <c r="L227" s="13">
        <f t="shared" si="2"/>
        <v>466353.59</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3609485.3299999996</v>
      </c>
      <c r="G230" s="38">
        <f>SUM(G216:G229)</f>
        <v>1789611.38</v>
      </c>
      <c r="H230" s="38">
        <f>SUM(H216:H229)</f>
        <v>1299186.23</v>
      </c>
      <c r="I230" s="38">
        <f>SUM(I216:I229)</f>
        <v>384845.27</v>
      </c>
      <c r="J230" s="38">
        <f>SUM(J216:J229)</f>
        <v>151381.22</v>
      </c>
      <c r="K230" s="38">
        <f t="shared" si="3"/>
        <v>125595.93</v>
      </c>
      <c r="L230" s="38">
        <f t="shared" si="3"/>
        <v>7360105.3599999994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3940178.1+6983.91-3411.94</f>
        <v>3943750.0700000003</v>
      </c>
      <c r="G234" s="18">
        <v>2048535.32</v>
      </c>
      <c r="H234" s="18">
        <f>7808.12+1165+5706.3</f>
        <v>14679.419999999998</v>
      </c>
      <c r="I234" s="18">
        <v>124151.85</v>
      </c>
      <c r="J234" s="18">
        <f>31780.28+2846.68+9775.09+74879.88</f>
        <v>119281.93000000001</v>
      </c>
      <c r="K234" s="18">
        <f>4317+4565</f>
        <v>8882</v>
      </c>
      <c r="L234" s="13">
        <f>SUM(F234:K234)</f>
        <v>6259280.5899999999</v>
      </c>
      <c r="M234" s="8"/>
      <c r="N234" s="165"/>
    </row>
    <row r="235" spans="1:14" s="3" customFormat="1" ht="12.2" customHeight="1" x14ac:dyDescent="0.15">
      <c r="A235" s="1" t="s">
        <v>439</v>
      </c>
      <c r="B235" s="2" t="s">
        <v>350</v>
      </c>
      <c r="C235" s="2" t="s">
        <v>291</v>
      </c>
      <c r="D235" s="2" t="s">
        <v>431</v>
      </c>
      <c r="E235" s="6">
        <v>1200</v>
      </c>
      <c r="F235" s="18">
        <f>1174795.46+60070.71+7762.5+86.57+454.53+20494.73+12745.96</f>
        <v>1276410.46</v>
      </c>
      <c r="G235" s="18">
        <v>663016.64</v>
      </c>
      <c r="H235" s="18">
        <f>1037174.56+4661.47+159.92+3231.06</f>
        <v>1045227.0100000001</v>
      </c>
      <c r="I235" s="18">
        <f>37018.12</f>
        <v>37018.120000000003</v>
      </c>
      <c r="J235" s="18">
        <f>8307.87+22449.84+58100</f>
        <v>88857.709999999992</v>
      </c>
      <c r="K235" s="18">
        <v>555</v>
      </c>
      <c r="L235" s="13">
        <f>SUM(F235:K235)</f>
        <v>3111084.9400000004</v>
      </c>
      <c r="M235" s="8"/>
      <c r="N235" s="165"/>
    </row>
    <row r="236" spans="1:14" s="3" customFormat="1" ht="12.2" customHeight="1" x14ac:dyDescent="0.15">
      <c r="A236" s="1" t="s">
        <v>440</v>
      </c>
      <c r="B236" s="2" t="s">
        <v>350</v>
      </c>
      <c r="C236" s="2" t="s">
        <v>292</v>
      </c>
      <c r="D236" s="2" t="s">
        <v>431</v>
      </c>
      <c r="E236" s="6">
        <v>1300</v>
      </c>
      <c r="F236" s="18">
        <f>0</f>
        <v>0</v>
      </c>
      <c r="G236" s="18">
        <v>0</v>
      </c>
      <c r="H236" s="18">
        <f>69838.42+8181.14</f>
        <v>78019.56</v>
      </c>
      <c r="I236" s="18">
        <v>0</v>
      </c>
      <c r="J236" s="18">
        <v>0</v>
      </c>
      <c r="K236" s="18">
        <v>0</v>
      </c>
      <c r="L236" s="13">
        <f>SUM(F236:K236)</f>
        <v>78019.56</v>
      </c>
      <c r="M236" s="8"/>
      <c r="N236" s="165"/>
    </row>
    <row r="237" spans="1:14" s="3" customFormat="1" ht="12.2" customHeight="1" x14ac:dyDescent="0.15">
      <c r="A237" s="1" t="s">
        <v>441</v>
      </c>
      <c r="B237" s="2" t="s">
        <v>350</v>
      </c>
      <c r="C237" s="2" t="s">
        <v>293</v>
      </c>
      <c r="D237" s="2" t="s">
        <v>431</v>
      </c>
      <c r="E237" s="6">
        <v>1400</v>
      </c>
      <c r="F237" s="18">
        <f>394319+61545.24</f>
        <v>455864.24</v>
      </c>
      <c r="G237" s="18">
        <v>236793.4</v>
      </c>
      <c r="H237" s="18">
        <f>158665.71+4472.25-82294.2-1396.58+8140</f>
        <v>87587.18</v>
      </c>
      <c r="I237" s="18">
        <v>39229.85</v>
      </c>
      <c r="J237" s="18">
        <f>33430.13+1869.16</f>
        <v>35299.29</v>
      </c>
      <c r="K237" s="18">
        <f>20636.5</f>
        <v>20636.5</v>
      </c>
      <c r="L237" s="13">
        <f>SUM(F237:K237)</f>
        <v>875410.46000000008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914356.04+23610.08+13018.51</f>
        <v>950984.63</v>
      </c>
      <c r="G239" s="18">
        <v>493977.96</v>
      </c>
      <c r="H239" s="18">
        <f>209353.64+56838.65+4192.03</f>
        <v>270384.32000000007</v>
      </c>
      <c r="I239" s="18">
        <f>9662.35</f>
        <v>9662.35</v>
      </c>
      <c r="J239" s="18">
        <f>1037.35</f>
        <v>1037.3499999999999</v>
      </c>
      <c r="K239" s="18">
        <f>400</f>
        <v>400</v>
      </c>
      <c r="L239" s="13">
        <f t="shared" ref="L239:L245" si="4">SUM(F239:K239)</f>
        <v>1726446.6100000003</v>
      </c>
      <c r="M239" s="8"/>
      <c r="N239" s="165"/>
    </row>
    <row r="240" spans="1:14" s="3" customFormat="1" ht="12.2" customHeight="1" x14ac:dyDescent="0.15">
      <c r="A240" s="1" t="s">
        <v>443</v>
      </c>
      <c r="B240" s="2" t="s">
        <v>350</v>
      </c>
      <c r="C240" s="2" t="s">
        <v>295</v>
      </c>
      <c r="D240" s="2" t="s">
        <v>431</v>
      </c>
      <c r="E240" s="6">
        <v>2200</v>
      </c>
      <c r="F240" s="18">
        <f>230888.45+638.25-364.93+2269.73+29946.01</f>
        <v>263377.51</v>
      </c>
      <c r="G240" s="18">
        <v>136808.4</v>
      </c>
      <c r="H240" s="18">
        <f>1481.92+414+628.25</f>
        <v>2524.17</v>
      </c>
      <c r="I240" s="18">
        <f>32005.8+3145.03+56.64</f>
        <v>35207.47</v>
      </c>
      <c r="J240" s="18">
        <f>28245.33+2760+17698.85-151.8+25292.26+1648.5+73935.08</f>
        <v>149428.22</v>
      </c>
      <c r="K240" s="18">
        <v>0</v>
      </c>
      <c r="L240" s="13">
        <f t="shared" si="4"/>
        <v>587345.77</v>
      </c>
      <c r="M240" s="8"/>
      <c r="N240" s="165"/>
    </row>
    <row r="241" spans="1:14" s="3" customFormat="1" ht="12.2" customHeight="1" x14ac:dyDescent="0.15">
      <c r="A241" s="1" t="s">
        <v>444</v>
      </c>
      <c r="B241" s="2" t="s">
        <v>350</v>
      </c>
      <c r="C241" s="2" t="s">
        <v>296</v>
      </c>
      <c r="D241" s="2" t="s">
        <v>431</v>
      </c>
      <c r="E241" s="6">
        <v>2300</v>
      </c>
      <c r="F241" s="18">
        <f>2277+690</f>
        <v>2967</v>
      </c>
      <c r="G241" s="18">
        <v>1541.17</v>
      </c>
      <c r="H241" s="18">
        <f>706.22+8511.71+2408.3+1979.78+379.5+10074+25177.24+738953.49</f>
        <v>788190.24</v>
      </c>
      <c r="I241" s="18">
        <f>1090.31</f>
        <v>1090.31</v>
      </c>
      <c r="J241" s="18">
        <f>65.03</f>
        <v>65.03</v>
      </c>
      <c r="K241" s="18">
        <v>3423.86</v>
      </c>
      <c r="L241" s="13">
        <f t="shared" si="4"/>
        <v>797277.6100000001</v>
      </c>
      <c r="M241" s="8"/>
      <c r="N241" s="165"/>
    </row>
    <row r="242" spans="1:14" s="3" customFormat="1" ht="12.2" customHeight="1" x14ac:dyDescent="0.15">
      <c r="A242" s="1" t="s">
        <v>445</v>
      </c>
      <c r="B242" s="2" t="s">
        <v>350</v>
      </c>
      <c r="C242" s="2" t="s">
        <v>297</v>
      </c>
      <c r="D242" s="2" t="s">
        <v>431</v>
      </c>
      <c r="E242" s="6">
        <v>2400</v>
      </c>
      <c r="F242" s="18">
        <f>450862.99+690+2624.62</f>
        <v>454177.61</v>
      </c>
      <c r="G242" s="18">
        <v>235917.3</v>
      </c>
      <c r="H242" s="18">
        <f>40966.94+1725+33.29+710.7+21293.66+86.25</f>
        <v>64815.839999999997</v>
      </c>
      <c r="I242" s="18">
        <f>1299.82+116877.65+3581.1+7375.28</f>
        <v>129133.85</v>
      </c>
      <c r="J242" s="18">
        <v>0</v>
      </c>
      <c r="K242" s="18">
        <f>19987.93+78.2</f>
        <v>20066.13</v>
      </c>
      <c r="L242" s="13">
        <f t="shared" si="4"/>
        <v>904110.72999999986</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3115.19</v>
      </c>
      <c r="L243" s="13">
        <f t="shared" si="4"/>
        <v>3115.19</v>
      </c>
      <c r="M243" s="8"/>
      <c r="N243" s="165"/>
    </row>
    <row r="244" spans="1:14" s="3" customFormat="1" ht="12.2" customHeight="1" x14ac:dyDescent="0.15">
      <c r="A244" s="1" t="s">
        <v>447</v>
      </c>
      <c r="B244" s="2" t="s">
        <v>350</v>
      </c>
      <c r="C244" s="2" t="s">
        <v>299</v>
      </c>
      <c r="D244" s="2" t="s">
        <v>431</v>
      </c>
      <c r="E244" s="6">
        <v>2600</v>
      </c>
      <c r="F244" s="18">
        <f>294159.12+19143.36</f>
        <v>313302.48</v>
      </c>
      <c r="G244" s="18">
        <v>162741.35</v>
      </c>
      <c r="H244" s="18">
        <f>193970.96+612.8+49814.55+207+207</f>
        <v>244812.31</v>
      </c>
      <c r="I244" s="18">
        <f>359962.81+690+1126.08</f>
        <v>361778.89</v>
      </c>
      <c r="J244" s="18">
        <f>2869.7+18293.28</f>
        <v>21162.98</v>
      </c>
      <c r="K244" s="18">
        <f>173851.01+137367.35</f>
        <v>311218.36</v>
      </c>
      <c r="L244" s="13">
        <f t="shared" si="4"/>
        <v>1415016.3699999996</v>
      </c>
      <c r="M244" s="8"/>
      <c r="N244" s="165"/>
    </row>
    <row r="245" spans="1:14" s="3" customFormat="1" ht="12.2" customHeight="1" x14ac:dyDescent="0.15">
      <c r="A245" s="1" t="s">
        <v>448</v>
      </c>
      <c r="B245" s="2" t="s">
        <v>350</v>
      </c>
      <c r="C245" s="2" t="s">
        <v>300</v>
      </c>
      <c r="D245" s="2" t="s">
        <v>431</v>
      </c>
      <c r="E245" s="6">
        <v>2700</v>
      </c>
      <c r="F245" s="18">
        <f>9283.23</f>
        <v>9283.23</v>
      </c>
      <c r="G245" s="18">
        <v>4822.07</v>
      </c>
      <c r="H245" s="18">
        <f>804711.17+665.15+93.15+31.05+82294.2+1396.58</f>
        <v>889191.3</v>
      </c>
      <c r="I245" s="18">
        <f>40308.43+886.82+3983.52</f>
        <v>45178.77</v>
      </c>
      <c r="J245" s="18">
        <v>0</v>
      </c>
      <c r="K245" s="18">
        <v>0</v>
      </c>
      <c r="L245" s="13">
        <f t="shared" si="4"/>
        <v>948475.37000000011</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7670117.2300000004</v>
      </c>
      <c r="G248" s="38">
        <f t="shared" si="5"/>
        <v>3984153.6099999994</v>
      </c>
      <c r="H248" s="38">
        <f t="shared" si="5"/>
        <v>3485431.3500000006</v>
      </c>
      <c r="I248" s="38">
        <f t="shared" si="5"/>
        <v>782451.46000000008</v>
      </c>
      <c r="J248" s="38">
        <f t="shared" si="5"/>
        <v>415132.51</v>
      </c>
      <c r="K248" s="38">
        <f t="shared" si="5"/>
        <v>368297.04</v>
      </c>
      <c r="L248" s="38">
        <f t="shared" si="5"/>
        <v>16705583.200000003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v>56770.99</v>
      </c>
      <c r="K256" s="18"/>
      <c r="L256" s="13">
        <f t="shared" si="6"/>
        <v>56770.99</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56770.99</v>
      </c>
      <c r="K257" s="38">
        <f t="shared" si="7"/>
        <v>0</v>
      </c>
      <c r="L257" s="38">
        <f>SUM(F257:K257)</f>
        <v>56770.99</v>
      </c>
      <c r="M257" s="8"/>
      <c r="N257" s="165"/>
    </row>
    <row r="258" spans="1:14" s="3" customFormat="1" ht="12.2" customHeight="1" thickTop="1" x14ac:dyDescent="0.15">
      <c r="A258" s="35" t="s">
        <v>462</v>
      </c>
      <c r="B258" s="37">
        <v>10</v>
      </c>
      <c r="C258" s="37">
        <v>8</v>
      </c>
      <c r="D258" s="36" t="s">
        <v>431</v>
      </c>
      <c r="E258" s="37"/>
      <c r="F258" s="38">
        <f t="shared" ref="F258:L258" si="8">F212+F230+F248+F257</f>
        <v>11279602.560000001</v>
      </c>
      <c r="G258" s="38">
        <f t="shared" si="8"/>
        <v>5773764.9899999993</v>
      </c>
      <c r="H258" s="38">
        <f t="shared" si="8"/>
        <v>4784617.58</v>
      </c>
      <c r="I258" s="38">
        <f t="shared" si="8"/>
        <v>1167296.73</v>
      </c>
      <c r="J258" s="38">
        <f t="shared" si="8"/>
        <v>623284.72</v>
      </c>
      <c r="K258" s="38">
        <f t="shared" si="8"/>
        <v>493892.97</v>
      </c>
      <c r="L258" s="38">
        <f t="shared" si="8"/>
        <v>24122459.550000001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697772.65+13889.44+228435.18</f>
        <v>940097.27</v>
      </c>
      <c r="L261" s="13">
        <f>SUM(F261:K261)</f>
        <v>940097.27</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83774.96+738.54+7035.82</f>
        <v>91549.32</v>
      </c>
      <c r="L262" s="13">
        <f>SUM(F262:K262)</f>
        <v>91549.32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225000</v>
      </c>
      <c r="L267" s="13">
        <f t="shared" si="9"/>
        <v>225000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1256646.5900000001</v>
      </c>
      <c r="L271" s="38">
        <f t="shared" si="9"/>
        <v>1256646.5900000001</v>
      </c>
      <c r="M271" s="8"/>
      <c r="N271" s="165"/>
    </row>
    <row r="272" spans="1:14" s="33" customFormat="1" ht="12.2" customHeight="1" thickTop="1" x14ac:dyDescent="0.2">
      <c r="A272" s="40" t="s">
        <v>464</v>
      </c>
      <c r="B272" s="37">
        <v>10</v>
      </c>
      <c r="C272" s="37">
        <v>18</v>
      </c>
      <c r="D272" s="36" t="s">
        <v>431</v>
      </c>
      <c r="E272" s="37"/>
      <c r="F272" s="39">
        <f t="shared" ref="F272:L272" si="11">F258+F271</f>
        <v>11279602.560000001</v>
      </c>
      <c r="G272" s="39">
        <f t="shared" si="11"/>
        <v>5773764.9899999993</v>
      </c>
      <c r="H272" s="39">
        <f t="shared" si="11"/>
        <v>4784617.58</v>
      </c>
      <c r="I272" s="39">
        <f t="shared" si="11"/>
        <v>1167296.73</v>
      </c>
      <c r="J272" s="39">
        <f t="shared" si="11"/>
        <v>623284.72</v>
      </c>
      <c r="K272" s="39">
        <f t="shared" si="11"/>
        <v>1750539.56</v>
      </c>
      <c r="L272" s="39">
        <f t="shared" si="11"/>
        <v>25379106.140000001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5.58+8708.64</f>
        <v>8714.2199999999993</v>
      </c>
      <c r="G296" s="18"/>
      <c r="H296" s="18">
        <f>2405.39+128.86</f>
        <v>2534.25</v>
      </c>
      <c r="I296" s="18"/>
      <c r="J296" s="18">
        <f>302.21</f>
        <v>302.20999999999998</v>
      </c>
      <c r="K296" s="18"/>
      <c r="L296" s="13">
        <f>SUM(F296:K296)</f>
        <v>11550.679999999998</v>
      </c>
      <c r="M296" s="8"/>
      <c r="N296" s="165"/>
    </row>
    <row r="297" spans="1:14" s="3" customFormat="1" ht="12.2" customHeight="1" x14ac:dyDescent="0.15">
      <c r="A297" s="1" t="s">
        <v>439</v>
      </c>
      <c r="B297" s="2" t="s">
        <v>358</v>
      </c>
      <c r="C297" s="2" t="s">
        <v>291</v>
      </c>
      <c r="D297" s="2" t="s">
        <v>431</v>
      </c>
      <c r="E297" s="6">
        <v>1200</v>
      </c>
      <c r="F297" s="18">
        <f>62642.58+13562.5</f>
        <v>76205.08</v>
      </c>
      <c r="G297" s="18"/>
      <c r="H297" s="18"/>
      <c r="I297" s="18"/>
      <c r="J297" s="18"/>
      <c r="K297" s="18"/>
      <c r="L297" s="13">
        <f>SUM(F297:K297)</f>
        <v>76205.08</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f>23353.54</f>
        <v>23353.54</v>
      </c>
      <c r="G299" s="18"/>
      <c r="H299" s="18">
        <f>13063.68+16595.15</f>
        <v>29658.83</v>
      </c>
      <c r="I299" s="18">
        <f>6559.32+269.31+11695+1814+649.14+2335.86+335.82+80.51+146.24+2132.38+1324.82+1154.86</f>
        <v>28497.260000000002</v>
      </c>
      <c r="J299" s="18"/>
      <c r="K299" s="18"/>
      <c r="L299" s="13">
        <f>SUM(F299:K299)</f>
        <v>81509.63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1289.6</f>
        <v>1289.5999999999999</v>
      </c>
      <c r="G301" s="18"/>
      <c r="H301" s="18">
        <f>1075.39</f>
        <v>1075.3900000000001</v>
      </c>
      <c r="I301" s="18"/>
      <c r="J301" s="18"/>
      <c r="K301" s="18"/>
      <c r="L301" s="13">
        <f t="shared" ref="L301:L307" si="14">SUM(F301:K301)</f>
        <v>2364.9899999999998</v>
      </c>
      <c r="M301" s="8"/>
      <c r="N301" s="165"/>
    </row>
    <row r="302" spans="1:14" s="3" customFormat="1" ht="12.2" customHeight="1" x14ac:dyDescent="0.15">
      <c r="A302" s="1" t="s">
        <v>443</v>
      </c>
      <c r="B302" s="2" t="s">
        <v>358</v>
      </c>
      <c r="C302" s="2" t="s">
        <v>295</v>
      </c>
      <c r="D302" s="2" t="s">
        <v>431</v>
      </c>
      <c r="E302" s="6">
        <v>2200</v>
      </c>
      <c r="F302" s="18">
        <f>310+2790</f>
        <v>3100</v>
      </c>
      <c r="G302" s="18"/>
      <c r="H302" s="18">
        <f>2935.9+221.81+1781.76+465</f>
        <v>5404.47</v>
      </c>
      <c r="I302" s="18"/>
      <c r="J302" s="18"/>
      <c r="K302" s="18"/>
      <c r="L302" s="13">
        <f t="shared" si="14"/>
        <v>8504.4700000000012</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112662.44</v>
      </c>
      <c r="G310" s="39">
        <f t="shared" si="15"/>
        <v>0</v>
      </c>
      <c r="H310" s="39">
        <f t="shared" si="15"/>
        <v>38672.94</v>
      </c>
      <c r="I310" s="39">
        <f t="shared" si="15"/>
        <v>28497.260000000002</v>
      </c>
      <c r="J310" s="39">
        <f t="shared" si="15"/>
        <v>302.20999999999998</v>
      </c>
      <c r="K310" s="39">
        <f t="shared" si="15"/>
        <v>0</v>
      </c>
      <c r="L310" s="38">
        <f t="shared" si="15"/>
        <v>180134.85</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12.42+19383.76</f>
        <v>19396.179999999997</v>
      </c>
      <c r="G315" s="18"/>
      <c r="H315" s="18">
        <f>5353.94+286.81</f>
        <v>5640.75</v>
      </c>
      <c r="I315" s="18">
        <f>101.25</f>
        <v>101.25</v>
      </c>
      <c r="J315" s="18"/>
      <c r="K315" s="18"/>
      <c r="L315" s="13">
        <f>SUM(F315:K315)</f>
        <v>25138.179999999997</v>
      </c>
      <c r="M315" s="8"/>
      <c r="N315" s="165"/>
    </row>
    <row r="316" spans="1:14" s="3" customFormat="1" ht="12.2" customHeight="1" x14ac:dyDescent="0.15">
      <c r="A316" s="1" t="s">
        <v>439</v>
      </c>
      <c r="B316" s="2" t="s">
        <v>359</v>
      </c>
      <c r="C316" s="2" t="s">
        <v>291</v>
      </c>
      <c r="D316" s="2" t="s">
        <v>431</v>
      </c>
      <c r="E316" s="6">
        <v>1200</v>
      </c>
      <c r="F316" s="18">
        <f>139430.26+30187.5</f>
        <v>169617.76</v>
      </c>
      <c r="G316" s="18"/>
      <c r="H316" s="18"/>
      <c r="I316" s="18"/>
      <c r="J316" s="18"/>
      <c r="K316" s="18"/>
      <c r="L316" s="13">
        <f>SUM(F316:K316)</f>
        <v>169617.76</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f>51980.46+196</f>
        <v>52176.46</v>
      </c>
      <c r="G318" s="18"/>
      <c r="H318" s="18">
        <f>29077.23+662.15+235.78+359.75</f>
        <v>30334.91</v>
      </c>
      <c r="I318" s="18">
        <f>599.43+9195+3225.73+21.68+1652.33+10099.05+10993.36+39358.88+3040+0.01+980.51+1308.24+2112.45+255.84+636+1630.83+1.85+63.55+5.47+29.13+2304.13+1671.85+1500+2970.67+13409.06+2230.82+500+3396.34+2935.76+7838.8+13951.64+3080</f>
        <v>140998.41</v>
      </c>
      <c r="J318" s="18">
        <f>12892+11150</f>
        <v>24042</v>
      </c>
      <c r="K318" s="18">
        <f>12354.47</f>
        <v>12354.47</v>
      </c>
      <c r="L318" s="13">
        <f>SUM(F318:K318)</f>
        <v>259906.25</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2870.4</f>
        <v>2870.4</v>
      </c>
      <c r="G320" s="18"/>
      <c r="H320" s="18">
        <f>2393.61</f>
        <v>2393.61</v>
      </c>
      <c r="I320" s="18"/>
      <c r="J320" s="18"/>
      <c r="K320" s="18"/>
      <c r="L320" s="13">
        <f t="shared" ref="L320:L326" si="16">SUM(F320:K320)</f>
        <v>5264.01</v>
      </c>
      <c r="M320" s="8"/>
      <c r="N320" s="165"/>
    </row>
    <row r="321" spans="1:14" s="3" customFormat="1" ht="12.2" customHeight="1" x14ac:dyDescent="0.15">
      <c r="A321" s="1" t="s">
        <v>443</v>
      </c>
      <c r="B321" s="2" t="s">
        <v>359</v>
      </c>
      <c r="C321" s="2" t="s">
        <v>295</v>
      </c>
      <c r="D321" s="2" t="s">
        <v>431</v>
      </c>
      <c r="E321" s="6">
        <v>2200</v>
      </c>
      <c r="F321" s="18">
        <f>690+6210</f>
        <v>6900</v>
      </c>
      <c r="G321" s="18"/>
      <c r="H321" s="18">
        <f>6534.74+493.71+3965.84+1035</f>
        <v>12029.29</v>
      </c>
      <c r="I321" s="18"/>
      <c r="J321" s="18">
        <f>2500</f>
        <v>2500</v>
      </c>
      <c r="K321" s="18"/>
      <c r="L321" s="13">
        <f t="shared" si="16"/>
        <v>21429.29</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v>14115</v>
      </c>
      <c r="I326" s="18"/>
      <c r="J326" s="18"/>
      <c r="K326" s="18"/>
      <c r="L326" s="13">
        <f t="shared" si="16"/>
        <v>14115</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250960.8</v>
      </c>
      <c r="G329" s="39">
        <f t="shared" si="17"/>
        <v>0</v>
      </c>
      <c r="H329" s="39">
        <f t="shared" si="17"/>
        <v>64513.560000000005</v>
      </c>
      <c r="I329" s="39">
        <f t="shared" si="17"/>
        <v>141099.66</v>
      </c>
      <c r="J329" s="39">
        <f t="shared" si="17"/>
        <v>26542</v>
      </c>
      <c r="K329" s="39">
        <f t="shared" si="17"/>
        <v>12354.47</v>
      </c>
      <c r="L329" s="38">
        <f t="shared" si="17"/>
        <v>495470.49</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363623.24</v>
      </c>
      <c r="G339" s="38">
        <f t="shared" si="20"/>
        <v>0</v>
      </c>
      <c r="H339" s="38">
        <f t="shared" si="20"/>
        <v>103186.5</v>
      </c>
      <c r="I339" s="38">
        <f t="shared" si="20"/>
        <v>169596.92</v>
      </c>
      <c r="J339" s="38">
        <f t="shared" si="20"/>
        <v>26844.21</v>
      </c>
      <c r="K339" s="38">
        <f t="shared" si="20"/>
        <v>12354.47</v>
      </c>
      <c r="L339" s="38">
        <f t="shared" si="20"/>
        <v>675605.34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3000</v>
      </c>
      <c r="L345" s="13">
        <f t="shared" ref="L345:L351" si="21">SUM(F345:K345)</f>
        <v>3000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3000</v>
      </c>
      <c r="L352" s="38">
        <f>SUM(L342:L351)</f>
        <v>3000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363623.24</v>
      </c>
      <c r="G353" s="38">
        <f>G339</f>
        <v>0</v>
      </c>
      <c r="H353" s="38">
        <f>H339</f>
        <v>103186.5</v>
      </c>
      <c r="I353" s="38">
        <f>I339</f>
        <v>169596.92</v>
      </c>
      <c r="J353" s="38">
        <f>J339</f>
        <v>26844.21</v>
      </c>
      <c r="K353" s="38">
        <f>K339+K352</f>
        <v>15354.47</v>
      </c>
      <c r="L353" s="38">
        <f>L339+L352</f>
        <v>678605.34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f>11834.91+616.57+53352.62+253.58</f>
        <v>66057.680000000008</v>
      </c>
      <c r="G360" s="18">
        <v>105.87</v>
      </c>
      <c r="H360" s="18">
        <f>186+79.97+149+5917.42+400</f>
        <v>6732.39</v>
      </c>
      <c r="I360" s="18">
        <f>254.97+9564.01+984.41+9746.01+3576.33+55248.98+29339.82</f>
        <v>108714.53</v>
      </c>
      <c r="J360" s="18">
        <v>448.91</v>
      </c>
      <c r="K360" s="18">
        <v>121.37</v>
      </c>
      <c r="L360" s="13">
        <f>SUM(F360:K360)</f>
        <v>182180.75</v>
      </c>
      <c r="M360" s="8"/>
      <c r="N360" s="165"/>
    </row>
    <row r="361" spans="1:22" s="3" customFormat="1" ht="12.2" customHeight="1" x14ac:dyDescent="0.15">
      <c r="A361" s="3" t="s">
        <v>543</v>
      </c>
      <c r="B361" s="2" t="s">
        <v>366</v>
      </c>
      <c r="C361" s="6">
        <v>3</v>
      </c>
      <c r="D361" s="2" t="s">
        <v>431</v>
      </c>
      <c r="E361" s="6"/>
      <c r="F361" s="18">
        <f>26342.22+1372.38+81391.45+4719.85-0.03</f>
        <v>113825.87000000001</v>
      </c>
      <c r="G361" s="18">
        <v>235.64</v>
      </c>
      <c r="H361" s="18">
        <f>414+178.01+179+500</f>
        <v>1271.01</v>
      </c>
      <c r="I361" s="18">
        <f>567.52+21287.64+2191.1+17985.02+4581.02+108571.91+54552.26</f>
        <v>209736.47000000003</v>
      </c>
      <c r="J361" s="18">
        <v>3253</v>
      </c>
      <c r="K361" s="18">
        <v>270.14</v>
      </c>
      <c r="L361" s="13">
        <f>SUM(F361:K361)</f>
        <v>328592.13000000006</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179883.55000000002</v>
      </c>
      <c r="G363" s="38">
        <f t="shared" si="22"/>
        <v>341.51</v>
      </c>
      <c r="H363" s="38">
        <f t="shared" si="22"/>
        <v>8003.4000000000005</v>
      </c>
      <c r="I363" s="38">
        <f t="shared" si="22"/>
        <v>318451</v>
      </c>
      <c r="J363" s="38">
        <f t="shared" si="22"/>
        <v>3701.91</v>
      </c>
      <c r="K363" s="38">
        <f t="shared" si="22"/>
        <v>391.51</v>
      </c>
      <c r="L363" s="38">
        <f t="shared" si="22"/>
        <v>510772.88000000006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f>55248.98+29339.82+9564.01</f>
        <v>94152.81</v>
      </c>
      <c r="H368" s="18">
        <f>108571.91+54552.26+21287.64</f>
        <v>184411.81</v>
      </c>
      <c r="I368" s="13">
        <f>SUM(F368:H368)</f>
        <v>278564.62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f>9746.01+3576.33+254.97+984.41</f>
        <v>14561.72</v>
      </c>
      <c r="H369" s="53">
        <f>17985.02+4581.02+567.52+2191.1</f>
        <v>25324.66</v>
      </c>
      <c r="I369" s="13">
        <f>SUM(F369:H369)</f>
        <v>39886.379999999997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108714.53</v>
      </c>
      <c r="H370" s="38">
        <f>SUM(H368:H369)</f>
        <v>209736.47</v>
      </c>
      <c r="I370" s="38">
        <f>SUM(I368:I369)</f>
        <v>318451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f>-481.6+2661724.3</f>
        <v>2661242.6999999997</v>
      </c>
      <c r="I381" s="18"/>
      <c r="J381" s="18"/>
      <c r="K381" s="18"/>
      <c r="L381" s="13">
        <f t="shared" si="23"/>
        <v>2661242.6999999997</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2661242.6999999997</v>
      </c>
      <c r="I383" s="38">
        <f t="shared" si="24"/>
        <v>0</v>
      </c>
      <c r="J383" s="38">
        <f t="shared" si="24"/>
        <v>0</v>
      </c>
      <c r="K383" s="38">
        <f t="shared" si="24"/>
        <v>0</v>
      </c>
      <c r="L383" s="38">
        <f t="shared" si="24"/>
        <v>2661242.6999999997</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200000</v>
      </c>
      <c r="H397" s="18"/>
      <c r="I397" s="18"/>
      <c r="J397" s="23" t="s">
        <v>288</v>
      </c>
      <c r="K397" s="23" t="s">
        <v>288</v>
      </c>
      <c r="L397" s="13">
        <f t="shared" si="26"/>
        <v>200000</v>
      </c>
      <c r="M397" s="8"/>
      <c r="N397" s="165"/>
    </row>
    <row r="398" spans="1:14" s="3" customFormat="1" ht="12.2" customHeight="1" x14ac:dyDescent="0.15">
      <c r="A398" s="62" t="s">
        <v>515</v>
      </c>
      <c r="B398" s="2" t="s">
        <v>381</v>
      </c>
      <c r="C398" s="6">
        <v>10</v>
      </c>
      <c r="D398" s="2" t="s">
        <v>432</v>
      </c>
      <c r="E398" s="6"/>
      <c r="F398" s="18"/>
      <c r="G398" s="18">
        <v>25000</v>
      </c>
      <c r="H398" s="18"/>
      <c r="I398" s="18"/>
      <c r="J398" s="23" t="s">
        <v>288</v>
      </c>
      <c r="K398" s="23" t="s">
        <v>288</v>
      </c>
      <c r="L398" s="13">
        <f t="shared" si="26"/>
        <v>25000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16032.03</v>
      </c>
      <c r="I401" s="18"/>
      <c r="J401" s="23" t="s">
        <v>288</v>
      </c>
      <c r="K401" s="23" t="s">
        <v>288</v>
      </c>
      <c r="L401" s="13">
        <f t="shared" si="26"/>
        <v>16032.03</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225000</v>
      </c>
      <c r="H402" s="38">
        <f>SUM(H396:H401)</f>
        <v>16032.03</v>
      </c>
      <c r="I402" s="38">
        <f>SUM(I396:I401)</f>
        <v>0</v>
      </c>
      <c r="J402" s="42" t="s">
        <v>288</v>
      </c>
      <c r="K402" s="42" t="s">
        <v>288</v>
      </c>
      <c r="L402" s="38">
        <f>SUM(L396:L401)</f>
        <v>241032.03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225000</v>
      </c>
      <c r="H409" s="38">
        <f>H394+H402+H408</f>
        <v>16032.03</v>
      </c>
      <c r="I409" s="38">
        <f>I394+I402+I408</f>
        <v>0</v>
      </c>
      <c r="J409" s="23" t="s">
        <v>288</v>
      </c>
      <c r="K409" s="23" t="s">
        <v>288</v>
      </c>
      <c r="L409" s="38">
        <f>L394+L402+L408</f>
        <v>241032.03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v>164999.62</v>
      </c>
      <c r="K423" s="18"/>
      <c r="L423" s="13">
        <f t="shared" si="29"/>
        <v>164999.62</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164999.62</v>
      </c>
      <c r="K428" s="38">
        <f t="shared" si="30"/>
        <v>0</v>
      </c>
      <c r="L428" s="38">
        <f t="shared" si="30"/>
        <v>164999.62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164999.62</v>
      </c>
      <c r="K435" s="38">
        <f t="shared" si="32"/>
        <v>0</v>
      </c>
      <c r="L435" s="38">
        <f t="shared" si="32"/>
        <v>164999.62</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f>612805.16</f>
        <v>612805.16</v>
      </c>
      <c r="H443" s="18"/>
      <c r="I443" s="13">
        <f t="shared" si="33"/>
        <v>612805.16</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612805.16</v>
      </c>
      <c r="H447" s="13">
        <f>SUM(H440:H446)</f>
        <v>0</v>
      </c>
      <c r="I447" s="13">
        <f>SUM(I440:I446)</f>
        <v>612805.16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158049.62</v>
      </c>
      <c r="H449" s="18"/>
      <c r="I449" s="13">
        <f>SUM(F449:H449)</f>
        <v>158049.62</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v>6950</v>
      </c>
      <c r="H451" s="18"/>
      <c r="I451" s="13">
        <f>SUM(F451:H451)</f>
        <v>6950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164999.62</v>
      </c>
      <c r="H453" s="57">
        <f>SUM(H449:H452)</f>
        <v>0</v>
      </c>
      <c r="I453" s="57">
        <f>SUM(I449:I452)</f>
        <v>164999.62</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447805.54</v>
      </c>
      <c r="H460" s="18"/>
      <c r="I460" s="13">
        <f t="shared" si="34"/>
        <v>447805.54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447805.54</v>
      </c>
      <c r="H461" s="65">
        <f>SUM(H455:H460)</f>
        <v>0</v>
      </c>
      <c r="I461" s="65">
        <f>SUM(I455:I460)</f>
        <v>447805.54</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612805.15999999992</v>
      </c>
      <c r="H462" s="39">
        <f>H453+H461</f>
        <v>0</v>
      </c>
      <c r="I462" s="39">
        <f>I453+I461</f>
        <v>612805.15999999992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2651668.84</v>
      </c>
      <c r="G466" s="18">
        <v>534998.84</v>
      </c>
      <c r="H466" s="18">
        <v>349988.07</v>
      </c>
      <c r="I466" s="18">
        <f>-481.6</f>
        <v>-481.6</v>
      </c>
      <c r="J466" s="18">
        <v>371773.13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24531219.879999999</v>
      </c>
      <c r="G469" s="18">
        <v>648198.51</v>
      </c>
      <c r="H469" s="18">
        <v>574904.81000000006</v>
      </c>
      <c r="I469" s="18">
        <v>2886491</v>
      </c>
      <c r="J469" s="18">
        <v>241032.03</v>
      </c>
      <c r="K469" s="23" t="s">
        <v>288</v>
      </c>
      <c r="L469" s="23" t="s">
        <v>288</v>
      </c>
      <c r="N469" s="131"/>
    </row>
    <row r="470" spans="1:14" ht="12.2" customHeight="1" x14ac:dyDescent="0.2">
      <c r="A470" s="71" t="s">
        <v>611</v>
      </c>
      <c r="B470" s="22">
        <v>19</v>
      </c>
      <c r="C470" s="31">
        <v>3</v>
      </c>
      <c r="D470" s="2" t="s">
        <v>432</v>
      </c>
      <c r="E470" s="31"/>
      <c r="F470" s="18">
        <v>0.04</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24531219.919999998</v>
      </c>
      <c r="G471" s="19">
        <f>SUM(G469:G470)</f>
        <v>648198.51</v>
      </c>
      <c r="H471" s="19">
        <f>SUM(H469:H470)</f>
        <v>574904.81000000006</v>
      </c>
      <c r="I471" s="19">
        <f>SUM(I469:I470)</f>
        <v>2886491</v>
      </c>
      <c r="J471" s="19">
        <f>SUM(J469:J470)</f>
        <v>241032.03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25379106.140000001</v>
      </c>
      <c r="G473" s="18">
        <v>510772.88</v>
      </c>
      <c r="H473" s="18">
        <v>678605.34</v>
      </c>
      <c r="I473" s="18">
        <v>2661242.7000000002</v>
      </c>
      <c r="J473" s="18">
        <v>164999.62</v>
      </c>
      <c r="K473" s="23" t="s">
        <v>288</v>
      </c>
      <c r="L473" s="23" t="s">
        <v>288</v>
      </c>
      <c r="N473" s="131"/>
    </row>
    <row r="474" spans="1:14" ht="12.2" customHeight="1" x14ac:dyDescent="0.2">
      <c r="A474" s="71" t="s">
        <v>613</v>
      </c>
      <c r="B474" s="22">
        <v>19</v>
      </c>
      <c r="C474" s="31">
        <v>6</v>
      </c>
      <c r="D474" s="2" t="s">
        <v>432</v>
      </c>
      <c r="E474" s="31"/>
      <c r="F474" s="18"/>
      <c r="G474" s="18"/>
      <c r="H474" s="18"/>
      <c r="I474" s="18">
        <v>218267.1</v>
      </c>
      <c r="J474" s="18"/>
      <c r="K474" s="23" t="s">
        <v>288</v>
      </c>
      <c r="L474" s="23" t="s">
        <v>288</v>
      </c>
      <c r="N474" s="131"/>
    </row>
    <row r="475" spans="1:14" ht="12.2" customHeight="1" x14ac:dyDescent="0.2">
      <c r="A475" s="32" t="s">
        <v>426</v>
      </c>
      <c r="B475" s="22">
        <v>19</v>
      </c>
      <c r="C475" s="31">
        <v>7</v>
      </c>
      <c r="D475" s="2" t="s">
        <v>432</v>
      </c>
      <c r="E475" s="31"/>
      <c r="F475" s="19">
        <f>SUM(F473:F474)</f>
        <v>25379106.140000001</v>
      </c>
      <c r="G475" s="19">
        <f>SUM(G473:G474)</f>
        <v>510772.88</v>
      </c>
      <c r="H475" s="19">
        <f>SUM(H473:H474)</f>
        <v>678605.34</v>
      </c>
      <c r="I475" s="19">
        <f>SUM(I473:I474)</f>
        <v>2879509.8000000003</v>
      </c>
      <c r="J475" s="19">
        <f>SUM(J473:J474)</f>
        <v>164999.62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1803782.6199999973</v>
      </c>
      <c r="G477" s="19">
        <f>(G466+G471)- G475</f>
        <v>672424.47000000009</v>
      </c>
      <c r="H477" s="19">
        <f>(H466+H471)- H475</f>
        <v>246287.54000000015</v>
      </c>
      <c r="I477" s="19">
        <f>(I466+I471)- I475</f>
        <v>6499.5999999996275</v>
      </c>
      <c r="J477" s="19">
        <f>(J466+J471)- J475</f>
        <v>447805.54000000004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1819</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1818</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10</v>
      </c>
      <c r="H491" s="111">
        <v>15</v>
      </c>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1813</v>
      </c>
      <c r="H492" s="112" t="s">
        <v>1816</v>
      </c>
      <c r="I492" s="111"/>
      <c r="J492" s="111"/>
      <c r="K492" s="23" t="s">
        <v>288</v>
      </c>
      <c r="L492" s="23" t="s">
        <v>288</v>
      </c>
      <c r="N492" s="131"/>
    </row>
    <row r="493" spans="1:14" ht="12.2" customHeight="1" x14ac:dyDescent="0.2">
      <c r="A493" s="21" t="s">
        <v>616</v>
      </c>
      <c r="B493" s="22">
        <v>20</v>
      </c>
      <c r="C493" s="22">
        <v>3</v>
      </c>
      <c r="D493" s="2" t="s">
        <v>432</v>
      </c>
      <c r="E493" s="22"/>
      <c r="F493" s="112" t="s">
        <v>1814</v>
      </c>
      <c r="G493" s="112" t="s">
        <v>1815</v>
      </c>
      <c r="H493" s="112" t="s">
        <v>1817</v>
      </c>
      <c r="I493" s="111"/>
      <c r="J493" s="111"/>
      <c r="K493" s="23" t="s">
        <v>288</v>
      </c>
      <c r="L493" s="23" t="s">
        <v>288</v>
      </c>
      <c r="N493" s="131"/>
    </row>
    <row r="494" spans="1:14" ht="12.2" customHeight="1" x14ac:dyDescent="0.2">
      <c r="A494" s="21" t="s">
        <v>617</v>
      </c>
      <c r="B494" s="22">
        <v>20</v>
      </c>
      <c r="C494" s="22">
        <v>4</v>
      </c>
      <c r="D494" s="2" t="s">
        <v>432</v>
      </c>
      <c r="E494" s="22"/>
      <c r="F494" s="18">
        <v>7703400</v>
      </c>
      <c r="G494" s="18">
        <v>1553374.28</v>
      </c>
      <c r="H494" s="18">
        <v>2886491</v>
      </c>
      <c r="I494" s="18"/>
      <c r="J494" s="18"/>
      <c r="K494" s="23" t="s">
        <v>288</v>
      </c>
      <c r="L494" s="23" t="s">
        <v>288</v>
      </c>
      <c r="N494" s="131"/>
    </row>
    <row r="495" spans="1:14" ht="12.2" customHeight="1" x14ac:dyDescent="0.2">
      <c r="A495" s="21" t="s">
        <v>618</v>
      </c>
      <c r="B495" s="22">
        <v>20</v>
      </c>
      <c r="C495" s="22">
        <v>5</v>
      </c>
      <c r="D495" s="2" t="s">
        <v>432</v>
      </c>
      <c r="E495" s="22"/>
      <c r="F495" s="18">
        <v>4.54</v>
      </c>
      <c r="G495" s="18">
        <v>2</v>
      </c>
      <c r="H495" s="18">
        <v>2.9249999999999998</v>
      </c>
      <c r="I495" s="18"/>
      <c r="J495" s="18"/>
      <c r="K495" s="23" t="s">
        <v>288</v>
      </c>
      <c r="L495" s="23" t="s">
        <v>288</v>
      </c>
      <c r="N495" s="131"/>
    </row>
    <row r="496" spans="1:14" ht="12.2" customHeight="1" x14ac:dyDescent="0.2">
      <c r="A496" s="21" t="s">
        <v>619</v>
      </c>
      <c r="B496" s="22">
        <v>20</v>
      </c>
      <c r="C496" s="22">
        <v>6</v>
      </c>
      <c r="D496" s="2" t="s">
        <v>432</v>
      </c>
      <c r="E496" s="22"/>
      <c r="F496" s="18">
        <v>1690000</v>
      </c>
      <c r="G496" s="18">
        <v>1210097.99</v>
      </c>
      <c r="H496" s="18">
        <v>2886491</v>
      </c>
      <c r="I496" s="18"/>
      <c r="J496" s="18"/>
      <c r="K496" s="19">
        <f>SUM(F496:J496)</f>
        <v>5786588.9900000002</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535000</v>
      </c>
      <c r="G498" s="18">
        <v>162772.65</v>
      </c>
      <c r="H498" s="18">
        <v>228435.18</v>
      </c>
      <c r="I498" s="18"/>
      <c r="J498" s="18"/>
      <c r="K498" s="19">
        <f t="shared" si="35"/>
        <v>926207.83000000007</v>
      </c>
      <c r="L498" s="23" t="s">
        <v>288</v>
      </c>
      <c r="N498" s="131"/>
    </row>
    <row r="499" spans="1:14" ht="12.2" customHeight="1" x14ac:dyDescent="0.2">
      <c r="A499" s="144" t="s">
        <v>622</v>
      </c>
      <c r="B499" s="145">
        <v>20</v>
      </c>
      <c r="C499" s="145">
        <v>9</v>
      </c>
      <c r="D499" s="146" t="s">
        <v>432</v>
      </c>
      <c r="E499" s="145"/>
      <c r="F499" s="147">
        <f>F496-F498</f>
        <v>1155000</v>
      </c>
      <c r="G499" s="147">
        <f>G496-G498</f>
        <v>1047325.34</v>
      </c>
      <c r="H499" s="147">
        <f>H496-H498</f>
        <v>2658055.8199999998</v>
      </c>
      <c r="I499" s="147"/>
      <c r="J499" s="147"/>
      <c r="K499" s="148">
        <f t="shared" si="35"/>
        <v>4860381.16</v>
      </c>
      <c r="L499" s="149" t="s">
        <v>288</v>
      </c>
      <c r="N499" s="131"/>
    </row>
    <row r="500" spans="1:14" ht="12.2" customHeight="1" thickBot="1" x14ac:dyDescent="0.25">
      <c r="A500" s="21" t="s">
        <v>623</v>
      </c>
      <c r="B500" s="22">
        <v>20</v>
      </c>
      <c r="C500" s="22">
        <v>10</v>
      </c>
      <c r="D500" s="2" t="s">
        <v>432</v>
      </c>
      <c r="E500" s="22"/>
      <c r="F500" s="18">
        <v>39854</v>
      </c>
      <c r="G500" s="18">
        <v>74522.3</v>
      </c>
      <c r="H500" s="18">
        <v>619436.5</v>
      </c>
      <c r="I500" s="18"/>
      <c r="J500" s="18"/>
      <c r="K500" s="19">
        <f t="shared" si="35"/>
        <v>733812.8</v>
      </c>
      <c r="L500" s="23" t="s">
        <v>288</v>
      </c>
      <c r="N500" s="131"/>
    </row>
    <row r="501" spans="1:14" ht="12.2" customHeight="1" thickTop="1" x14ac:dyDescent="0.2">
      <c r="A501" s="97" t="s">
        <v>624</v>
      </c>
      <c r="B501" s="41">
        <v>20</v>
      </c>
      <c r="C501" s="41">
        <v>11</v>
      </c>
      <c r="D501" s="36" t="s">
        <v>432</v>
      </c>
      <c r="E501" s="41"/>
      <c r="F501" s="39">
        <f>SUM(F499:F500)</f>
        <v>1194854</v>
      </c>
      <c r="G501" s="39">
        <f>SUM(G499:G500)</f>
        <v>1121847.6399999999</v>
      </c>
      <c r="H501" s="39">
        <f>SUM(H499:H500)</f>
        <v>3277492.32</v>
      </c>
      <c r="I501" s="39">
        <f>SUM(I499:I500)</f>
        <v>0</v>
      </c>
      <c r="J501" s="39">
        <f>SUM(J499:J500)</f>
        <v>0</v>
      </c>
      <c r="K501" s="39">
        <f t="shared" si="35"/>
        <v>5594193.959999999</v>
      </c>
      <c r="L501" s="42" t="s">
        <v>288</v>
      </c>
      <c r="N501" s="131"/>
    </row>
    <row r="502" spans="1:14" ht="12.2" customHeight="1" x14ac:dyDescent="0.2">
      <c r="A502" s="144" t="s">
        <v>651</v>
      </c>
      <c r="B502" s="145">
        <v>20</v>
      </c>
      <c r="C502" s="145">
        <v>12</v>
      </c>
      <c r="D502" s="146" t="s">
        <v>432</v>
      </c>
      <c r="E502" s="145"/>
      <c r="F502" s="147">
        <v>565000</v>
      </c>
      <c r="G502" s="147">
        <v>166028.1</v>
      </c>
      <c r="H502" s="147">
        <v>156358.46</v>
      </c>
      <c r="I502" s="147"/>
      <c r="J502" s="147"/>
      <c r="K502" s="148">
        <f t="shared" si="35"/>
        <v>887386.55999999994</v>
      </c>
      <c r="L502" s="149" t="s">
        <v>288</v>
      </c>
      <c r="N502" s="131"/>
    </row>
    <row r="503" spans="1:14" ht="12.2" customHeight="1" thickBot="1" x14ac:dyDescent="0.25">
      <c r="A503" s="21" t="s">
        <v>625</v>
      </c>
      <c r="B503" s="22">
        <v>20</v>
      </c>
      <c r="C503" s="22">
        <v>13</v>
      </c>
      <c r="D503" s="2" t="s">
        <v>432</v>
      </c>
      <c r="E503" s="22"/>
      <c r="F503" s="18">
        <f>17323+14750</f>
        <v>32073</v>
      </c>
      <c r="G503" s="18">
        <f>20946.51</f>
        <v>20946.509999999998</v>
      </c>
      <c r="H503" s="18">
        <v>77748.13</v>
      </c>
      <c r="I503" s="18"/>
      <c r="J503" s="18"/>
      <c r="K503" s="19">
        <f t="shared" si="35"/>
        <v>130767.64</v>
      </c>
      <c r="L503" s="23" t="s">
        <v>288</v>
      </c>
      <c r="N503" s="131"/>
    </row>
    <row r="504" spans="1:14" ht="12.2" customHeight="1" thickTop="1" x14ac:dyDescent="0.2">
      <c r="A504" s="97" t="s">
        <v>626</v>
      </c>
      <c r="B504" s="41">
        <v>20</v>
      </c>
      <c r="C504" s="41">
        <v>14</v>
      </c>
      <c r="D504" s="36" t="s">
        <v>432</v>
      </c>
      <c r="E504" s="41"/>
      <c r="F504" s="39">
        <f>SUM(F502:F503)</f>
        <v>597073</v>
      </c>
      <c r="G504" s="39">
        <f>SUM(G502:G503)</f>
        <v>186974.61000000002</v>
      </c>
      <c r="H504" s="39">
        <f>SUM(H502:H503)</f>
        <v>234106.59</v>
      </c>
      <c r="I504" s="39">
        <f>SUM(I502:I503)</f>
        <v>0</v>
      </c>
      <c r="J504" s="39">
        <f>SUM(J502:J503)</f>
        <v>0</v>
      </c>
      <c r="K504" s="39">
        <f t="shared" si="35"/>
        <v>1018154.2</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v>454056.89</v>
      </c>
      <c r="G523" s="18">
        <f>0.51*F523</f>
        <v>231569.01390000002</v>
      </c>
      <c r="H523" s="18">
        <f>415007.91-2225.37-2094.28-124712.93</f>
        <v>285975.32999999996</v>
      </c>
      <c r="I523" s="18">
        <v>21070.68</v>
      </c>
      <c r="J523" s="18">
        <v>10086.16</v>
      </c>
      <c r="K523" s="18">
        <v>555</v>
      </c>
      <c r="L523" s="69">
        <f>SUM(F523:K523)</f>
        <v>1003313.0739000001</v>
      </c>
      <c r="N523" s="131"/>
    </row>
    <row r="524" spans="1:14" ht="12.2" customHeight="1" thickBot="1" x14ac:dyDescent="0.25">
      <c r="A524" s="21" t="s">
        <v>635</v>
      </c>
      <c r="B524" s="22">
        <v>21</v>
      </c>
      <c r="C524" s="22">
        <v>3</v>
      </c>
      <c r="D524" s="2" t="s">
        <v>432</v>
      </c>
      <c r="E524" s="22"/>
      <c r="F524" s="18">
        <v>1058140.3400000001</v>
      </c>
      <c r="G524" s="18">
        <f>0.51*F524</f>
        <v>539651.57340000011</v>
      </c>
      <c r="H524" s="18">
        <f>1569696.85-81293.1-4661.47-311707.47</f>
        <v>1172034.81</v>
      </c>
      <c r="I524" s="18">
        <v>46680.47</v>
      </c>
      <c r="J524" s="18">
        <v>22449.84</v>
      </c>
      <c r="K524" s="18">
        <v>555</v>
      </c>
      <c r="L524" s="69">
        <f>SUM(F524:K524)</f>
        <v>2839512.0334000005</v>
      </c>
      <c r="N524" s="131"/>
    </row>
    <row r="525" spans="1:14" ht="12.2" customHeight="1" thickTop="1" x14ac:dyDescent="0.2">
      <c r="A525" s="97" t="s">
        <v>63</v>
      </c>
      <c r="B525" s="41">
        <v>21</v>
      </c>
      <c r="C525" s="41">
        <v>4</v>
      </c>
      <c r="D525" s="115" t="s">
        <v>432</v>
      </c>
      <c r="E525" s="41"/>
      <c r="F525" s="81">
        <f>SUM(F522:F524)</f>
        <v>1512197.23</v>
      </c>
      <c r="G525" s="81">
        <f t="shared" ref="G525:L525" si="36">SUM(G522:G524)</f>
        <v>771220.58730000013</v>
      </c>
      <c r="H525" s="81">
        <f t="shared" si="36"/>
        <v>1458010.1400000001</v>
      </c>
      <c r="I525" s="81">
        <f t="shared" si="36"/>
        <v>67751.149999999994</v>
      </c>
      <c r="J525" s="81">
        <f t="shared" si="36"/>
        <v>32536</v>
      </c>
      <c r="K525" s="81">
        <f t="shared" si="36"/>
        <v>1110</v>
      </c>
      <c r="L525" s="70">
        <f t="shared" si="36"/>
        <v>3842825.1073000007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v>57920.31</v>
      </c>
      <c r="G528" s="18">
        <f>0.51*F528</f>
        <v>29539.358099999998</v>
      </c>
      <c r="H528" s="18">
        <v>2225.37</v>
      </c>
      <c r="I528" s="18"/>
      <c r="J528" s="18"/>
      <c r="K528" s="18"/>
      <c r="L528" s="69">
        <f>SUM(F528:K528)</f>
        <v>89685.038099999991</v>
      </c>
      <c r="M528" s="8"/>
      <c r="N528" s="165"/>
    </row>
    <row r="529" spans="1:14" s="3" customFormat="1" ht="12.2" customHeight="1" thickBot="1" x14ac:dyDescent="0.2">
      <c r="A529" s="21" t="s">
        <v>635</v>
      </c>
      <c r="B529" s="22">
        <v>21</v>
      </c>
      <c r="C529" s="22">
        <v>7</v>
      </c>
      <c r="D529" s="2" t="s">
        <v>432</v>
      </c>
      <c r="E529" s="22"/>
      <c r="F529" s="18">
        <v>294007.28000000003</v>
      </c>
      <c r="G529" s="18">
        <f>0.51*F529</f>
        <v>149943.71280000001</v>
      </c>
      <c r="H529" s="18">
        <v>81293.100000000006</v>
      </c>
      <c r="I529" s="18"/>
      <c r="J529" s="18"/>
      <c r="K529" s="18"/>
      <c r="L529" s="69">
        <f>SUM(F529:K529)</f>
        <v>525244.09279999998</v>
      </c>
      <c r="M529" s="8"/>
      <c r="N529" s="165"/>
    </row>
    <row r="530" spans="1:14" s="3" customFormat="1" ht="12.2" customHeight="1" thickTop="1" x14ac:dyDescent="0.15">
      <c r="A530" s="97" t="s">
        <v>65</v>
      </c>
      <c r="B530" s="41">
        <v>21</v>
      </c>
      <c r="C530" s="41">
        <v>8</v>
      </c>
      <c r="D530" s="115" t="s">
        <v>432</v>
      </c>
      <c r="E530" s="41"/>
      <c r="F530" s="70">
        <f>SUM(F527:F529)</f>
        <v>351927.59</v>
      </c>
      <c r="G530" s="70">
        <f t="shared" ref="G530:L530" si="37">SUM(G527:G529)</f>
        <v>179483.07089999999</v>
      </c>
      <c r="H530" s="70">
        <f t="shared" si="37"/>
        <v>83518.47</v>
      </c>
      <c r="I530" s="70">
        <f t="shared" si="37"/>
        <v>0</v>
      </c>
      <c r="J530" s="70">
        <f t="shared" si="37"/>
        <v>0</v>
      </c>
      <c r="K530" s="70">
        <f t="shared" si="37"/>
        <v>0</v>
      </c>
      <c r="L530" s="70">
        <f t="shared" si="37"/>
        <v>614929.13089999999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v>45250</v>
      </c>
      <c r="G533" s="18">
        <f>0.51*F533</f>
        <v>23077.5</v>
      </c>
      <c r="H533" s="18"/>
      <c r="I533" s="18"/>
      <c r="J533" s="18"/>
      <c r="K533" s="18"/>
      <c r="L533" s="69">
        <f>SUM(F533:K533)</f>
        <v>68327.5</v>
      </c>
      <c r="M533" s="8"/>
      <c r="N533" s="165"/>
    </row>
    <row r="534" spans="1:14" s="3" customFormat="1" ht="12.2" customHeight="1" thickBot="1" x14ac:dyDescent="0.2">
      <c r="A534" s="21" t="s">
        <v>635</v>
      </c>
      <c r="B534" s="22">
        <v>21</v>
      </c>
      <c r="C534" s="22">
        <v>11</v>
      </c>
      <c r="D534" s="2" t="s">
        <v>432</v>
      </c>
      <c r="E534" s="22"/>
      <c r="F534" s="18">
        <v>98119.12</v>
      </c>
      <c r="G534" s="18">
        <f>0.51*F534</f>
        <v>50040.751199999999</v>
      </c>
      <c r="H534" s="18"/>
      <c r="I534" s="18"/>
      <c r="J534" s="18"/>
      <c r="K534" s="18"/>
      <c r="L534" s="69">
        <f>SUM(F534:K534)</f>
        <v>148159.87119999999</v>
      </c>
      <c r="M534" s="8"/>
      <c r="N534" s="165"/>
    </row>
    <row r="535" spans="1:14" s="3" customFormat="1" ht="12.2" customHeight="1" thickTop="1" x14ac:dyDescent="0.15">
      <c r="A535" s="97" t="s">
        <v>67</v>
      </c>
      <c r="B535" s="41">
        <v>21</v>
      </c>
      <c r="C535" s="41">
        <v>12</v>
      </c>
      <c r="D535" s="115" t="s">
        <v>432</v>
      </c>
      <c r="E535" s="41"/>
      <c r="F535" s="70">
        <f>SUM(F532:F534)</f>
        <v>143369.12</v>
      </c>
      <c r="G535" s="70">
        <f t="shared" ref="G535:L535" si="38">SUM(G532:G534)</f>
        <v>73118.251199999999</v>
      </c>
      <c r="H535" s="70">
        <f t="shared" si="38"/>
        <v>0</v>
      </c>
      <c r="I535" s="70">
        <f t="shared" si="38"/>
        <v>0</v>
      </c>
      <c r="J535" s="70">
        <f t="shared" si="38"/>
        <v>0</v>
      </c>
      <c r="K535" s="70">
        <f t="shared" si="38"/>
        <v>0</v>
      </c>
      <c r="L535" s="70">
        <f t="shared" si="38"/>
        <v>216487.37119999999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v>2094.2800000000002</v>
      </c>
      <c r="I538" s="18"/>
      <c r="J538" s="18"/>
      <c r="K538" s="18"/>
      <c r="L538" s="69">
        <f>SUM(F538:K538)</f>
        <v>2094.2800000000002</v>
      </c>
      <c r="M538" s="8"/>
      <c r="N538" s="165"/>
    </row>
    <row r="539" spans="1:14" s="3" customFormat="1" ht="12.2" customHeight="1" thickBot="1" x14ac:dyDescent="0.2">
      <c r="A539" s="21" t="s">
        <v>635</v>
      </c>
      <c r="B539" s="22">
        <v>21</v>
      </c>
      <c r="C539" s="22">
        <v>15</v>
      </c>
      <c r="D539" s="2" t="s">
        <v>432</v>
      </c>
      <c r="E539" s="22"/>
      <c r="F539" s="18"/>
      <c r="G539" s="18"/>
      <c r="H539" s="18">
        <v>4661.47</v>
      </c>
      <c r="I539" s="18"/>
      <c r="J539" s="18"/>
      <c r="K539" s="18"/>
      <c r="L539" s="69">
        <f>SUM(F539:K539)</f>
        <v>4661.47</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6755.75</v>
      </c>
      <c r="I540" s="70">
        <f t="shared" si="39"/>
        <v>0</v>
      </c>
      <c r="J540" s="70">
        <f t="shared" si="39"/>
        <v>0</v>
      </c>
      <c r="K540" s="70">
        <f t="shared" si="39"/>
        <v>0</v>
      </c>
      <c r="L540" s="70">
        <f t="shared" si="39"/>
        <v>6755.75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f>124372.24+298.84+41.85+13.95</f>
        <v>124726.88</v>
      </c>
      <c r="I543" s="18">
        <v>398.42</v>
      </c>
      <c r="J543" s="18"/>
      <c r="K543" s="18"/>
      <c r="L543" s="69">
        <f>SUM(F543:K543)</f>
        <v>125125.3</v>
      </c>
      <c r="M543" s="8"/>
      <c r="N543" s="165"/>
    </row>
    <row r="544" spans="1:14" s="3" customFormat="1" ht="12.2" customHeight="1" thickBot="1" x14ac:dyDescent="0.2">
      <c r="A544" s="21" t="s">
        <v>635</v>
      </c>
      <c r="B544" s="22">
        <v>21</v>
      </c>
      <c r="C544" s="22">
        <v>19</v>
      </c>
      <c r="D544" s="2" t="s">
        <v>432</v>
      </c>
      <c r="E544" s="22"/>
      <c r="F544" s="18"/>
      <c r="G544" s="18"/>
      <c r="H544" s="18">
        <f>665.15+22514.35+288434.82+93.15+31.05</f>
        <v>311738.52</v>
      </c>
      <c r="I544" s="18">
        <v>886.82</v>
      </c>
      <c r="J544" s="18"/>
      <c r="K544" s="18"/>
      <c r="L544" s="69">
        <f>SUM(F544:K544)</f>
        <v>312625.34000000003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436465.4</v>
      </c>
      <c r="I545" s="141">
        <f t="shared" si="40"/>
        <v>1285.24</v>
      </c>
      <c r="J545" s="141">
        <f t="shared" si="40"/>
        <v>0</v>
      </c>
      <c r="K545" s="141">
        <f t="shared" si="40"/>
        <v>0</v>
      </c>
      <c r="L545" s="141">
        <f t="shared" si="40"/>
        <v>437750.64</v>
      </c>
      <c r="M545" s="8"/>
      <c r="N545" s="165"/>
    </row>
    <row r="546" spans="1:14" s="3" customFormat="1" ht="12.2" customHeight="1" thickTop="1" x14ac:dyDescent="0.15">
      <c r="A546" s="75" t="s">
        <v>72</v>
      </c>
      <c r="B546" s="41">
        <v>21</v>
      </c>
      <c r="C546" s="41">
        <v>21</v>
      </c>
      <c r="D546" s="115" t="s">
        <v>432</v>
      </c>
      <c r="E546" s="41"/>
      <c r="F546" s="70">
        <f>F525+F530+F535+F540+F545</f>
        <v>2007493.94</v>
      </c>
      <c r="G546" s="70">
        <f t="shared" ref="G546:L546" si="41">G525+G530+G535+G540+G545</f>
        <v>1023821.9094000002</v>
      </c>
      <c r="H546" s="70">
        <f t="shared" si="41"/>
        <v>1984749.7600000002</v>
      </c>
      <c r="I546" s="70">
        <f t="shared" si="41"/>
        <v>69036.39</v>
      </c>
      <c r="J546" s="70">
        <f t="shared" si="41"/>
        <v>32536</v>
      </c>
      <c r="K546" s="70">
        <f t="shared" si="41"/>
        <v>1110</v>
      </c>
      <c r="L546" s="70">
        <f t="shared" si="41"/>
        <v>5118747.9994000001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1003313.0739000001</v>
      </c>
      <c r="G551" s="69">
        <f>L528</f>
        <v>89685.038099999991</v>
      </c>
      <c r="H551" s="69">
        <f>L533</f>
        <v>68327.5</v>
      </c>
      <c r="I551" s="69">
        <f>L538</f>
        <v>2094.2800000000002</v>
      </c>
      <c r="J551" s="69">
        <f>L543</f>
        <v>125125.3</v>
      </c>
      <c r="K551" s="69">
        <f>SUM(F551:J551)</f>
        <v>1288545.192</v>
      </c>
      <c r="L551" s="23" t="s">
        <v>288</v>
      </c>
      <c r="M551" s="8"/>
      <c r="N551" s="165"/>
    </row>
    <row r="552" spans="1:14" s="3" customFormat="1" ht="12.2" customHeight="1" thickBot="1" x14ac:dyDescent="0.2">
      <c r="A552" s="21" t="s">
        <v>635</v>
      </c>
      <c r="B552" s="22">
        <v>21</v>
      </c>
      <c r="C552" s="22">
        <v>24</v>
      </c>
      <c r="D552" s="2" t="s">
        <v>432</v>
      </c>
      <c r="E552" s="22"/>
      <c r="F552" s="69">
        <f>L524</f>
        <v>2839512.0334000005</v>
      </c>
      <c r="G552" s="69">
        <f>L529</f>
        <v>525244.09279999998</v>
      </c>
      <c r="H552" s="69">
        <f>L534</f>
        <v>148159.87119999999</v>
      </c>
      <c r="I552" s="69">
        <f>L539</f>
        <v>4661.47</v>
      </c>
      <c r="J552" s="69">
        <f>L544</f>
        <v>312625.34000000003</v>
      </c>
      <c r="K552" s="69">
        <f>SUM(F552:J552)</f>
        <v>3830202.8074000007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3842825.1073000007</v>
      </c>
      <c r="G553" s="70">
        <f t="shared" si="42"/>
        <v>614929.13089999999</v>
      </c>
      <c r="H553" s="70">
        <f t="shared" si="42"/>
        <v>216487.37119999999</v>
      </c>
      <c r="I553" s="70">
        <f t="shared" si="42"/>
        <v>6755.75</v>
      </c>
      <c r="J553" s="70">
        <f t="shared" si="42"/>
        <v>437750.64</v>
      </c>
      <c r="K553" s="70">
        <f t="shared" si="42"/>
        <v>5118747.999400001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73359.839999999997</v>
      </c>
      <c r="H583" s="18">
        <v>389228.58</v>
      </c>
      <c r="I583" s="69">
        <f t="shared" si="47"/>
        <v>462588.42000000004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v>296850.84999999998</v>
      </c>
      <c r="I584" s="69">
        <f t="shared" si="47"/>
        <v>296850.84999999998</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69838.42</v>
      </c>
      <c r="I585" s="69">
        <f t="shared" si="47"/>
        <v>69838.42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f>286995+40341.83+3103.71</f>
        <v>330440.54000000004</v>
      </c>
      <c r="J592" s="18">
        <f>286995+30560+40308.43+2379</f>
        <v>360242.43</v>
      </c>
      <c r="K592" s="80">
        <f t="shared" ref="K592:K598" si="48">SUM(H592:J592)</f>
        <v>690682.97</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f>124372.24+753.06</f>
        <v>125125.3</v>
      </c>
      <c r="J593" s="18">
        <f>288434.82+22514.35+1676.17</f>
        <v>312625.33999999997</v>
      </c>
      <c r="K593" s="80">
        <f t="shared" si="48"/>
        <v>437750.63999999996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f>9283.23+173828+3983.52+4822.07</f>
        <v>191916.82</v>
      </c>
      <c r="K594" s="80">
        <f t="shared" si="48"/>
        <v>191916.82</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10787.75</v>
      </c>
      <c r="J595" s="18">
        <f>82294.2+1396.58</f>
        <v>83690.78</v>
      </c>
      <c r="K595" s="80">
        <f t="shared" si="48"/>
        <v>94478.53</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466353.59</v>
      </c>
      <c r="J599" s="81">
        <f>SUM(J592:J598)</f>
        <v>948475.37000000011</v>
      </c>
      <c r="K599" s="81">
        <f>SUM(K592:K598)</f>
        <v>1414828.96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v>151683.43</v>
      </c>
      <c r="J605" s="18">
        <f>428782.5+12892.01</f>
        <v>441674.51</v>
      </c>
      <c r="K605" s="80">
        <f>SUM(H605:J605)</f>
        <v>593357.93999999994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151683.43</v>
      </c>
      <c r="J606" s="81">
        <f>SUM(J603:J605)</f>
        <v>441674.51</v>
      </c>
      <c r="K606" s="81">
        <f>SUM(K603:K605)</f>
        <v>593357.93999999994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2764146.44</v>
      </c>
      <c r="H618" s="80">
        <f>SUM(F52)</f>
        <v>2764146.4400000004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62934.9</v>
      </c>
      <c r="H619" s="80">
        <f>SUM(G52)</f>
        <v>62934.900000000023</v>
      </c>
      <c r="I619" s="87" t="s">
        <v>875</v>
      </c>
      <c r="J619" s="80">
        <f>G619-H619</f>
        <v>0</v>
      </c>
      <c r="K619" s="80"/>
      <c r="L619" s="80"/>
      <c r="M619" s="8"/>
    </row>
    <row r="620" spans="1:14" s="3" customFormat="1" ht="12.2" customHeight="1" x14ac:dyDescent="0.15">
      <c r="A620" s="74"/>
      <c r="B620" s="22"/>
      <c r="C620" s="22"/>
      <c r="D620" s="22"/>
      <c r="E620" s="22"/>
      <c r="F620" s="87" t="s">
        <v>685</v>
      </c>
      <c r="G620" s="80">
        <f>SUM(H19)</f>
        <v>171635.93</v>
      </c>
      <c r="H620" s="80">
        <f>SUM(H52)</f>
        <v>171635.93</v>
      </c>
      <c r="I620" s="87" t="s">
        <v>876</v>
      </c>
      <c r="J620" s="80">
        <f>G620-H620</f>
        <v>0</v>
      </c>
      <c r="K620" s="80"/>
      <c r="L620" s="80"/>
      <c r="M620" s="8"/>
    </row>
    <row r="621" spans="1:14" s="3" customFormat="1" ht="12.2" customHeight="1" x14ac:dyDescent="0.15">
      <c r="A621" s="74"/>
      <c r="B621" s="22"/>
      <c r="C621" s="22"/>
      <c r="D621" s="22"/>
      <c r="E621" s="22"/>
      <c r="F621" s="87" t="s">
        <v>686</v>
      </c>
      <c r="G621" s="80">
        <f>SUM(I19)</f>
        <v>156674.17000000001</v>
      </c>
      <c r="H621" s="80">
        <f>SUM(I52)</f>
        <v>156674.17000000001</v>
      </c>
      <c r="I621" s="87" t="s">
        <v>877</v>
      </c>
      <c r="J621" s="80">
        <f>G621-H621</f>
        <v>0</v>
      </c>
      <c r="K621" s="80"/>
      <c r="L621" s="80"/>
      <c r="M621" s="8"/>
    </row>
    <row r="622" spans="1:14" s="3" customFormat="1" ht="12.2" customHeight="1" x14ac:dyDescent="0.15">
      <c r="A622" s="74"/>
      <c r="B622" s="22"/>
      <c r="C622" s="22"/>
      <c r="D622" s="22"/>
      <c r="E622" s="22"/>
      <c r="F622" s="87" t="s">
        <v>687</v>
      </c>
      <c r="G622" s="80">
        <f>SUM(J19)</f>
        <v>612805.16</v>
      </c>
      <c r="H622" s="80">
        <f>SUM(J52)</f>
        <v>612805.15999999992</v>
      </c>
      <c r="I622" s="87" t="s">
        <v>878</v>
      </c>
      <c r="J622" s="80">
        <f>G622-H622</f>
        <v>0</v>
      </c>
      <c r="K622" s="80"/>
      <c r="L622" s="80"/>
      <c r="M622" s="8"/>
    </row>
    <row r="623" spans="1:14" s="3" customFormat="1" ht="12.2" customHeight="1" x14ac:dyDescent="0.15">
      <c r="A623" s="74"/>
      <c r="B623" s="22"/>
      <c r="C623" s="22"/>
      <c r="D623" s="22"/>
      <c r="E623" s="22"/>
      <c r="F623" s="87" t="s">
        <v>864</v>
      </c>
      <c r="G623" s="80">
        <f>F51</f>
        <v>1803782.62</v>
      </c>
      <c r="H623" s="80">
        <f>F477</f>
        <v>1803782.6199999973</v>
      </c>
      <c r="I623" s="87" t="s">
        <v>101</v>
      </c>
      <c r="J623" s="80">
        <f t="shared" ref="J623:J656" si="50">G623-H623</f>
        <v>2.7939677238464355E-9</v>
      </c>
      <c r="K623" s="80"/>
      <c r="L623" s="80"/>
      <c r="M623" s="8"/>
    </row>
    <row r="624" spans="1:14" s="3" customFormat="1" ht="12.2" customHeight="1" x14ac:dyDescent="0.15">
      <c r="A624" s="74"/>
      <c r="B624" s="22"/>
      <c r="C624" s="85"/>
      <c r="D624" s="85"/>
      <c r="E624" s="85"/>
      <c r="F624" s="85" t="s">
        <v>865</v>
      </c>
      <c r="G624" s="80">
        <f>G51</f>
        <v>672424.47</v>
      </c>
      <c r="H624" s="80">
        <f>G477</f>
        <v>672424.47000000009</v>
      </c>
      <c r="I624" s="87" t="s">
        <v>102</v>
      </c>
      <c r="J624" s="80">
        <f t="shared" si="50"/>
        <v>0</v>
      </c>
      <c r="K624" s="80"/>
      <c r="L624" s="80"/>
      <c r="M624" s="8"/>
    </row>
    <row r="625" spans="1:13" s="3" customFormat="1" ht="12.2" customHeight="1" x14ac:dyDescent="0.15">
      <c r="A625" s="74"/>
      <c r="B625" s="22"/>
      <c r="C625" s="22"/>
      <c r="D625" s="22"/>
      <c r="E625" s="22"/>
      <c r="F625" s="86" t="s">
        <v>866</v>
      </c>
      <c r="G625" s="80">
        <f>H51</f>
        <v>246287.53999999998</v>
      </c>
      <c r="H625" s="80">
        <f>H477</f>
        <v>246287.54000000015</v>
      </c>
      <c r="I625" s="87" t="s">
        <v>103</v>
      </c>
      <c r="J625" s="80">
        <f t="shared" si="50"/>
        <v>0</v>
      </c>
      <c r="K625" s="80"/>
      <c r="L625" s="80"/>
      <c r="M625" s="8"/>
    </row>
    <row r="626" spans="1:13" s="3" customFormat="1" ht="12.2" customHeight="1" x14ac:dyDescent="0.15">
      <c r="A626" s="74"/>
      <c r="B626" s="22"/>
      <c r="C626" s="22"/>
      <c r="D626" s="22"/>
      <c r="E626" s="22"/>
      <c r="F626" s="86" t="s">
        <v>867</v>
      </c>
      <c r="G626" s="80">
        <f>I51</f>
        <v>6499.6</v>
      </c>
      <c r="H626" s="80">
        <f>I477</f>
        <v>6499.5999999996275</v>
      </c>
      <c r="I626" s="87" t="s">
        <v>104</v>
      </c>
      <c r="J626" s="80">
        <f t="shared" si="50"/>
        <v>3.7289282772690058E-10</v>
      </c>
      <c r="K626" s="80"/>
      <c r="L626" s="80"/>
      <c r="M626" s="8"/>
    </row>
    <row r="627" spans="1:13" s="3" customFormat="1" ht="12.2" customHeight="1" x14ac:dyDescent="0.15">
      <c r="A627" s="21"/>
      <c r="B627" s="22"/>
      <c r="C627" s="22"/>
      <c r="D627" s="22"/>
      <c r="E627" s="22"/>
      <c r="F627" s="86" t="s">
        <v>868</v>
      </c>
      <c r="G627" s="80">
        <f>J51</f>
        <v>447805.54</v>
      </c>
      <c r="H627" s="80">
        <f>J477</f>
        <v>447805.54000000004</v>
      </c>
      <c r="I627" s="87" t="s">
        <v>105</v>
      </c>
      <c r="J627" s="80">
        <f t="shared" si="50"/>
        <v>0</v>
      </c>
      <c r="K627" s="67"/>
      <c r="L627" s="69"/>
      <c r="M627" s="8"/>
    </row>
    <row r="628" spans="1:13" s="3" customFormat="1" ht="12.2" customHeight="1" x14ac:dyDescent="0.15">
      <c r="A628" s="21"/>
      <c r="B628" s="22"/>
      <c r="C628" s="22"/>
      <c r="D628" s="22"/>
      <c r="E628" s="22"/>
      <c r="F628" s="86" t="s">
        <v>658</v>
      </c>
      <c r="G628" s="80">
        <f>F194</f>
        <v>24531219.879999999</v>
      </c>
      <c r="H628" s="80">
        <f>SUM(F469)</f>
        <v>24531219.879999999</v>
      </c>
      <c r="I628" s="87" t="s">
        <v>106</v>
      </c>
      <c r="J628" s="80">
        <f>G628-H628</f>
        <v>0</v>
      </c>
      <c r="K628" s="67"/>
      <c r="L628" s="69"/>
      <c r="M628" s="8"/>
    </row>
    <row r="629" spans="1:13" s="3" customFormat="1" ht="12.2" customHeight="1" x14ac:dyDescent="0.15">
      <c r="A629" s="21"/>
      <c r="B629" s="22"/>
      <c r="C629" s="22"/>
      <c r="D629" s="22"/>
      <c r="E629" s="22"/>
      <c r="F629" s="86" t="s">
        <v>659</v>
      </c>
      <c r="G629" s="80">
        <f>G194</f>
        <v>648198.51</v>
      </c>
      <c r="H629" s="80">
        <f>SUM(G469)</f>
        <v>648198.51</v>
      </c>
      <c r="I629" s="87" t="s">
        <v>107</v>
      </c>
      <c r="J629" s="80">
        <f>G629-H629</f>
        <v>0</v>
      </c>
      <c r="K629" s="67"/>
      <c r="L629" s="69"/>
      <c r="M629" s="8"/>
    </row>
    <row r="630" spans="1:13" s="3" customFormat="1" ht="12.2" customHeight="1" x14ac:dyDescent="0.15">
      <c r="A630" s="21"/>
      <c r="B630" s="22"/>
      <c r="C630" s="22"/>
      <c r="D630" s="22"/>
      <c r="E630" s="22"/>
      <c r="F630" s="86" t="s">
        <v>660</v>
      </c>
      <c r="G630" s="80">
        <f>H194</f>
        <v>574904.81000000006</v>
      </c>
      <c r="H630" s="80">
        <f>SUM(H469)</f>
        <v>574904.81000000006</v>
      </c>
      <c r="I630" s="87" t="s">
        <v>108</v>
      </c>
      <c r="J630" s="80">
        <f>G630-H630</f>
        <v>0</v>
      </c>
      <c r="K630" s="67"/>
      <c r="L630" s="69"/>
      <c r="M630" s="8"/>
    </row>
    <row r="631" spans="1:13" s="3" customFormat="1" ht="12.2" customHeight="1" x14ac:dyDescent="0.15">
      <c r="A631" s="21"/>
      <c r="B631" s="22"/>
      <c r="C631" s="22"/>
      <c r="D631" s="22"/>
      <c r="E631" s="22"/>
      <c r="F631" s="86" t="s">
        <v>661</v>
      </c>
      <c r="G631" s="80">
        <f>I194</f>
        <v>2886491</v>
      </c>
      <c r="H631" s="80">
        <f>SUM(I469)</f>
        <v>2886491</v>
      </c>
      <c r="I631" s="87" t="s">
        <v>109</v>
      </c>
      <c r="J631" s="80">
        <f>G631-H631</f>
        <v>0</v>
      </c>
      <c r="K631" s="67"/>
      <c r="L631" s="69"/>
      <c r="M631" s="8"/>
    </row>
    <row r="632" spans="1:13" s="3" customFormat="1" ht="12.2" customHeight="1" x14ac:dyDescent="0.15">
      <c r="A632" s="21"/>
      <c r="B632" s="22"/>
      <c r="C632" s="22"/>
      <c r="D632" s="22"/>
      <c r="E632" s="22"/>
      <c r="F632" s="86" t="s">
        <v>662</v>
      </c>
      <c r="G632" s="80">
        <f>J194</f>
        <v>241032.03</v>
      </c>
      <c r="H632" s="80">
        <f>SUM(J469)</f>
        <v>241032.03</v>
      </c>
      <c r="I632" s="87" t="s">
        <v>110</v>
      </c>
      <c r="J632" s="80">
        <f>G632-H632</f>
        <v>0</v>
      </c>
      <c r="K632" s="67"/>
      <c r="L632" s="69"/>
      <c r="M632" s="8"/>
    </row>
    <row r="633" spans="1:13" s="3" customFormat="1" ht="12.2" customHeight="1" x14ac:dyDescent="0.15">
      <c r="A633" s="21"/>
      <c r="B633" s="22"/>
      <c r="C633" s="22"/>
      <c r="D633" s="22"/>
      <c r="E633" s="22"/>
      <c r="F633" s="86" t="s">
        <v>394</v>
      </c>
      <c r="G633" s="80">
        <f>SUM(L272)</f>
        <v>25379106.140000001</v>
      </c>
      <c r="H633" s="80">
        <f>SUM(F473)</f>
        <v>25379106.140000001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678605.34</v>
      </c>
      <c r="H634" s="80">
        <f>SUM(H473)</f>
        <v>678605.34</v>
      </c>
      <c r="I634" s="87" t="s">
        <v>112</v>
      </c>
      <c r="J634" s="80">
        <f>G634-H634</f>
        <v>0</v>
      </c>
      <c r="K634" s="67"/>
      <c r="L634" s="69"/>
      <c r="M634" s="8"/>
    </row>
    <row r="635" spans="1:13" s="124" customFormat="1" ht="12.2" customHeight="1" x14ac:dyDescent="0.15">
      <c r="A635" s="21"/>
      <c r="B635" s="22"/>
      <c r="C635" s="22"/>
      <c r="D635" s="22"/>
      <c r="E635" s="22"/>
      <c r="F635" s="99" t="s">
        <v>247</v>
      </c>
      <c r="G635" s="80">
        <f>I363</f>
        <v>318451</v>
      </c>
      <c r="H635" s="80">
        <f>I370</f>
        <v>318451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510772.88000000006</v>
      </c>
      <c r="H636" s="80">
        <f>SUM(G473)</f>
        <v>510772.88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2661242.6999999997</v>
      </c>
      <c r="H637" s="80">
        <f>SUM(I473)</f>
        <v>2661242.7000000002</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241032.03</v>
      </c>
      <c r="H638" s="108">
        <f>SUM(J469)</f>
        <v>241032.03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164999.62</v>
      </c>
      <c r="H639" s="108">
        <f>SUM(J473)</f>
        <v>164999.62</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612805.16</v>
      </c>
      <c r="H641" s="80">
        <f>SUM(G462)</f>
        <v>612805.15999999992</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612805.16</v>
      </c>
      <c r="H643" s="80">
        <f>SUM(I462)</f>
        <v>612805.15999999992</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16032.03</v>
      </c>
      <c r="H645" s="80">
        <f>H409</f>
        <v>16032.03</v>
      </c>
      <c r="I645" s="87" t="s">
        <v>480</v>
      </c>
      <c r="J645" s="80">
        <f t="shared" si="50"/>
        <v>0</v>
      </c>
      <c r="K645" s="67"/>
      <c r="L645" s="69"/>
      <c r="M645" s="8"/>
    </row>
    <row r="646" spans="1:13" s="3" customFormat="1" ht="12.2" customHeight="1" x14ac:dyDescent="0.15">
      <c r="A646" s="21"/>
      <c r="B646" s="22"/>
      <c r="C646" s="22"/>
      <c r="D646" s="22"/>
      <c r="E646" s="22"/>
      <c r="F646" s="86" t="s">
        <v>664</v>
      </c>
      <c r="G646" s="80">
        <f>J184</f>
        <v>225000</v>
      </c>
      <c r="H646" s="80">
        <f>G409</f>
        <v>225000</v>
      </c>
      <c r="I646" s="87" t="s">
        <v>481</v>
      </c>
      <c r="J646" s="80">
        <f t="shared" si="50"/>
        <v>0</v>
      </c>
      <c r="K646" s="67"/>
      <c r="L646" s="69"/>
      <c r="M646" s="8"/>
    </row>
    <row r="647" spans="1:13" s="3" customFormat="1" ht="12.2" customHeight="1" x14ac:dyDescent="0.15">
      <c r="A647" s="21"/>
      <c r="B647" s="22"/>
      <c r="C647" s="22"/>
      <c r="D647" s="22"/>
      <c r="E647" s="22"/>
      <c r="F647" s="86" t="s">
        <v>662</v>
      </c>
      <c r="G647" s="80">
        <f>J194</f>
        <v>241032.03</v>
      </c>
      <c r="H647" s="80">
        <f>L409</f>
        <v>241032.03</v>
      </c>
      <c r="I647" s="87" t="s">
        <v>477</v>
      </c>
      <c r="J647" s="80">
        <f t="shared" si="50"/>
        <v>0</v>
      </c>
      <c r="K647" s="67"/>
      <c r="L647" s="69"/>
      <c r="M647" s="8"/>
    </row>
    <row r="648" spans="1:13" s="3" customFormat="1" ht="12.2" customHeight="1" x14ac:dyDescent="0.15">
      <c r="A648" s="21"/>
      <c r="B648" s="22"/>
      <c r="C648" s="22"/>
      <c r="D648" s="22"/>
      <c r="E648" s="22"/>
      <c r="F648" s="86" t="s">
        <v>51</v>
      </c>
      <c r="G648" s="80">
        <f>K599</f>
        <v>1414828.96</v>
      </c>
      <c r="H648" s="80">
        <f>L209+L227+L245</f>
        <v>1414828.9600000002</v>
      </c>
      <c r="I648" s="87" t="s">
        <v>396</v>
      </c>
      <c r="J648" s="80">
        <f t="shared" si="50"/>
        <v>0</v>
      </c>
      <c r="K648" s="67"/>
      <c r="L648" s="69"/>
      <c r="M648" s="8"/>
    </row>
    <row r="649" spans="1:13" s="3" customFormat="1" ht="12.2" customHeight="1" x14ac:dyDescent="0.15">
      <c r="A649" s="21"/>
      <c r="B649" s="22"/>
      <c r="C649" s="22"/>
      <c r="D649" s="22"/>
      <c r="E649" s="22"/>
      <c r="F649" s="86" t="s">
        <v>52</v>
      </c>
      <c r="G649" s="80">
        <f>K606</f>
        <v>593357.93999999994</v>
      </c>
      <c r="H649" s="80">
        <f>(J258+J339)-(J256+J337)</f>
        <v>593357.93999999994</v>
      </c>
      <c r="I649" s="87" t="s">
        <v>699</v>
      </c>
      <c r="J649" s="80">
        <f t="shared" si="50"/>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2" customHeight="1" x14ac:dyDescent="0.15">
      <c r="A651" s="21"/>
      <c r="B651" s="22"/>
      <c r="C651" s="22"/>
      <c r="D651" s="22"/>
      <c r="E651" s="22"/>
      <c r="F651" s="86" t="s">
        <v>392</v>
      </c>
      <c r="G651" s="80">
        <f>L227</f>
        <v>466353.59</v>
      </c>
      <c r="H651" s="80">
        <f>I599</f>
        <v>466353.59</v>
      </c>
      <c r="I651" s="87" t="s">
        <v>389</v>
      </c>
      <c r="J651" s="80">
        <f t="shared" si="50"/>
        <v>0</v>
      </c>
      <c r="K651" s="67"/>
      <c r="L651" s="69"/>
      <c r="M651" s="8"/>
    </row>
    <row r="652" spans="1:13" s="3" customFormat="1" ht="12.2" customHeight="1" x14ac:dyDescent="0.15">
      <c r="A652" s="21"/>
      <c r="B652" s="22"/>
      <c r="C652" s="22"/>
      <c r="D652" s="22"/>
      <c r="E652" s="22"/>
      <c r="F652" s="86" t="s">
        <v>393</v>
      </c>
      <c r="G652" s="80">
        <f>L245</f>
        <v>948475.37000000011</v>
      </c>
      <c r="H652" s="80">
        <f>J599</f>
        <v>948475.37000000011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225000</v>
      </c>
      <c r="H656" s="80">
        <f>K267+K348</f>
        <v>225000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0</v>
      </c>
      <c r="G661" s="13">
        <f>(L230+L310+L360)</f>
        <v>7722420.959999999</v>
      </c>
      <c r="H661" s="13">
        <f>(L248+L329+L361)</f>
        <v>17529645.82</v>
      </c>
      <c r="I661" s="13">
        <f>SUM(F661:H661)</f>
        <v>25252066.780000001</v>
      </c>
      <c r="J661" s="13"/>
      <c r="K661" s="13"/>
      <c r="L661" s="13"/>
      <c r="M661" s="9"/>
    </row>
    <row r="662" spans="1:13" s="3" customFormat="1" ht="12.2" customHeight="1" x14ac:dyDescent="0.2">
      <c r="A662" s="1" t="s">
        <v>127</v>
      </c>
      <c r="F662" s="13">
        <f>(L359/IF(SUM(L359:L361)=0,1,SUM(L359:L361))*(SUM(G97:G110)))</f>
        <v>0</v>
      </c>
      <c r="G662" s="13">
        <f>(L360/IF(SUM(L359:L361)=0,1,SUM(L359:L361))*(SUM(G97:G110)))</f>
        <v>177463.69798941264</v>
      </c>
      <c r="H662" s="13">
        <f>(L361/IF(SUM(L359:L361)=0,1,SUM(L359:L361))*(SUM(G97:G110)))</f>
        <v>320084.17201058741</v>
      </c>
      <c r="I662" s="13">
        <f>SUM(F662:H662)</f>
        <v>497547.87000000005</v>
      </c>
      <c r="J662"/>
      <c r="K662" s="13"/>
      <c r="L662" s="13"/>
      <c r="M662" s="8"/>
    </row>
    <row r="663" spans="1:13" s="3" customFormat="1" ht="12.2" customHeight="1" x14ac:dyDescent="0.2">
      <c r="A663" s="1" t="s">
        <v>128</v>
      </c>
      <c r="F663" s="13">
        <f>(L209+L288)-(J209+J288)</f>
        <v>0</v>
      </c>
      <c r="G663" s="13">
        <f>(L227+L307)-(J227+J307)</f>
        <v>466353.59</v>
      </c>
      <c r="H663" s="13">
        <f>(L245+L326)-(J245+J326)</f>
        <v>962590.37000000011</v>
      </c>
      <c r="I663" s="13">
        <f>SUM(F663:H663)</f>
        <v>1428943.9600000002</v>
      </c>
      <c r="J663"/>
      <c r="K663" s="13"/>
      <c r="L663" s="13"/>
      <c r="M663" s="9"/>
    </row>
    <row r="664" spans="1:13" s="3" customFormat="1" ht="12.2" customHeight="1" x14ac:dyDescent="0.15">
      <c r="A664" s="142" t="s">
        <v>129</v>
      </c>
      <c r="B664" s="124"/>
      <c r="C664" s="124"/>
      <c r="D664" s="124"/>
      <c r="E664" s="124"/>
      <c r="F664" s="143">
        <f>SUM(F576:F588)+SUM(H603:H605)+SUM(L612)</f>
        <v>0</v>
      </c>
      <c r="G664" s="143">
        <f>SUM(G576:G588)+SUM(I603:I605)+L613</f>
        <v>225043.27</v>
      </c>
      <c r="H664" s="143">
        <f>SUM(H576:H588)+SUM(J603:J605)+L614</f>
        <v>1197592.3599999999</v>
      </c>
      <c r="I664" s="13">
        <f>SUM(F664:H664)</f>
        <v>1422635.63</v>
      </c>
      <c r="J664" s="13"/>
      <c r="K664" s="13"/>
      <c r="L664" s="13"/>
      <c r="M664" s="9"/>
    </row>
    <row r="665" spans="1:13" s="3" customFormat="1" ht="12.2" customHeight="1" x14ac:dyDescent="0.15">
      <c r="A665" s="1" t="s">
        <v>130</v>
      </c>
      <c r="F665" s="13">
        <f>F661-SUM(F662:F664)</f>
        <v>0</v>
      </c>
      <c r="G665" s="13">
        <f>G661-SUM(G662:G664)</f>
        <v>6853560.4020105861</v>
      </c>
      <c r="H665" s="13">
        <f>H661-SUM(H662:H664)</f>
        <v>15049378.917989412</v>
      </c>
      <c r="I665" s="13">
        <f>I661-SUM(I662:I664)</f>
        <v>21902939.32</v>
      </c>
      <c r="J665" s="13"/>
      <c r="K665" s="13"/>
      <c r="L665" s="13"/>
      <c r="M665" s="8"/>
    </row>
    <row r="666" spans="1:13" s="3" customFormat="1" ht="12.2" customHeight="1" x14ac:dyDescent="0.2">
      <c r="A666" s="1" t="s">
        <v>131</v>
      </c>
      <c r="F666" s="183"/>
      <c r="G666" s="184">
        <v>380.66</v>
      </c>
      <c r="H666" s="184">
        <v>756.41</v>
      </c>
      <c r="I666" s="13">
        <f>SUM(F666:H666)</f>
        <v>1137.07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f>ROUND(G665/G666,2)</f>
        <v>18004.41</v>
      </c>
      <c r="H668" s="13">
        <f>ROUND(H665/H666,2)</f>
        <v>19895.8</v>
      </c>
      <c r="I668" s="13">
        <f>ROUND(I665/I666,2)</f>
        <v>19262.61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-12.56</v>
      </c>
      <c r="I671" s="13">
        <f>SUM(F671:H671)</f>
        <v>-12.56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f>ROUND((G665+G670)/(G666+G671),2)</f>
        <v>18004.41</v>
      </c>
      <c r="H673" s="13">
        <f>ROUND((H665+H670)/(H666+H671),2)</f>
        <v>20231.740000000002</v>
      </c>
      <c r="I673" s="13">
        <f>ROUND((I665+I670)/(I666+I671),2)</f>
        <v>19477.759999999998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39562.76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5684.52+10907.6+9000+9470.64</f>
        <v>35062.76</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4500</f>
        <v>4500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Hollis-Brookline Cooperative</v>
      </c>
      <c r="C5" s="317"/>
      <c r="D5" s="317"/>
      <c r="E5" s="317"/>
      <c r="F5" s="317"/>
    </row>
    <row r="8" spans="1:9" ht="18" x14ac:dyDescent="0.25">
      <c r="A8" s="240" t="s">
        <v>1560</v>
      </c>
      <c r="F8" s="247" t="s">
        <v>1578</v>
      </c>
    </row>
    <row r="9" spans="1:9" ht="15" x14ac:dyDescent="0.2">
      <c r="A9" s="238" t="s">
        <v>1561</v>
      </c>
      <c r="B9" s="241">
        <f>'DOE25'!G97</f>
        <v>497547.87000000005</v>
      </c>
      <c r="F9" s="238" t="s">
        <v>1574</v>
      </c>
    </row>
    <row r="10" spans="1:9" ht="15" x14ac:dyDescent="0.2">
      <c r="A10" s="238" t="s">
        <v>1562</v>
      </c>
      <c r="B10" s="241">
        <f>'DOE25'!G112-'DOE25'!G97</f>
        <v>0</v>
      </c>
      <c r="F10" s="238" t="s">
        <v>1575</v>
      </c>
    </row>
    <row r="11" spans="1:9" ht="15" x14ac:dyDescent="0.2">
      <c r="A11" s="238" t="s">
        <v>1563</v>
      </c>
      <c r="B11" s="241">
        <f>'DOE25'!G140</f>
        <v>32083.179999999997</v>
      </c>
      <c r="F11" s="238" t="s">
        <v>1576</v>
      </c>
    </row>
    <row r="12" spans="1:9" ht="15" x14ac:dyDescent="0.2">
      <c r="A12" s="238" t="s">
        <v>1564</v>
      </c>
      <c r="B12" s="241">
        <f>'DOE25'!G170</f>
        <v>118567.45999999999</v>
      </c>
      <c r="F12" s="238" t="s">
        <v>1577</v>
      </c>
    </row>
    <row r="13" spans="1:9" ht="15" x14ac:dyDescent="0.2">
      <c r="A13" s="238" t="s">
        <v>1565</v>
      </c>
      <c r="B13" s="241">
        <f>'DOE25'!G193-'DOE25'!G180</f>
        <v>0</v>
      </c>
      <c r="F13" s="238" t="s">
        <v>1587</v>
      </c>
    </row>
    <row r="14" spans="1:9" ht="18" x14ac:dyDescent="0.25">
      <c r="A14" s="240" t="s">
        <v>732</v>
      </c>
      <c r="B14" s="242">
        <f>SUM(B9:B13)</f>
        <v>648198.51</v>
      </c>
    </row>
    <row r="16" spans="1:9" ht="18" x14ac:dyDescent="0.25">
      <c r="A16" s="240" t="s">
        <v>786</v>
      </c>
      <c r="F16" s="247" t="s">
        <v>1579</v>
      </c>
    </row>
    <row r="17" spans="1:6" ht="15" x14ac:dyDescent="0.2">
      <c r="A17" s="238" t="s">
        <v>1566</v>
      </c>
      <c r="B17" s="241">
        <f>'DOE25'!L363-'DOE25'!L362</f>
        <v>510772.88000000006</v>
      </c>
      <c r="F17" s="238" t="s">
        <v>1580</v>
      </c>
    </row>
    <row r="18" spans="1:6" ht="15" x14ac:dyDescent="0.2">
      <c r="A18" s="238" t="s">
        <v>1567</v>
      </c>
      <c r="B18" s="251"/>
      <c r="F18" s="247" t="s">
        <v>1604</v>
      </c>
    </row>
    <row r="19" spans="1:6" ht="18" x14ac:dyDescent="0.25">
      <c r="A19" s="240" t="s">
        <v>725</v>
      </c>
      <c r="B19" s="242">
        <f>SUM(B17:B18)</f>
        <v>510772.88000000006</v>
      </c>
    </row>
    <row r="21" spans="1:6" ht="18.75" thickBot="1" x14ac:dyDescent="0.3">
      <c r="A21" s="240" t="s">
        <v>1568</v>
      </c>
    </row>
    <row r="22" spans="1:6" ht="18.75" thickTop="1" x14ac:dyDescent="0.25">
      <c r="A22" s="240" t="s">
        <v>1569</v>
      </c>
      <c r="B22" s="246">
        <f>B14-B19</f>
        <v>137425.62999999995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534998.84</v>
      </c>
      <c r="F31" s="238" t="s">
        <v>1584</v>
      </c>
    </row>
    <row r="33" spans="1:6" ht="15" x14ac:dyDescent="0.2">
      <c r="A33" s="238" t="s">
        <v>1798</v>
      </c>
      <c r="B33" s="241">
        <f>'DOE25'!G477</f>
        <v>672424.47000000009</v>
      </c>
      <c r="F33" s="238" t="s">
        <v>1585</v>
      </c>
    </row>
    <row r="36" spans="1:6" ht="15" x14ac:dyDescent="0.2">
      <c r="A36" s="238" t="s">
        <v>1571</v>
      </c>
      <c r="B36" s="252">
        <v>30851.65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3" sqref="C4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Hollis-Brookline Cooperative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6065383.8499999996</v>
      </c>
      <c r="C9" s="167">
        <f>'DOE25'!G198+'DOE25'!G216+'DOE25'!G234+'DOE25'!G277+'DOE25'!G296+'DOE25'!G315</f>
        <v>3086520.7800000003</v>
      </c>
    </row>
    <row r="10" spans="1:3" x14ac:dyDescent="0.2">
      <c r="A10" t="s">
        <v>775</v>
      </c>
      <c r="B10" s="177">
        <v>5885804.5499999998</v>
      </c>
      <c r="C10" s="177">
        <f>B10*(3086520.78/6065383.85)</f>
        <v>2995137.4059522296</v>
      </c>
    </row>
    <row r="11" spans="1:3" x14ac:dyDescent="0.2">
      <c r="A11" t="s">
        <v>776</v>
      </c>
      <c r="B11" s="177">
        <v>0</v>
      </c>
      <c r="C11" s="177">
        <f>0</f>
        <v>0</v>
      </c>
    </row>
    <row r="12" spans="1:3" x14ac:dyDescent="0.2">
      <c r="A12" t="s">
        <v>777</v>
      </c>
      <c r="B12" s="177">
        <v>179579.3</v>
      </c>
      <c r="C12" s="177">
        <f>B12*(3086520.78/6065383.85)</f>
        <v>91383.374047770107</v>
      </c>
    </row>
    <row r="13" spans="1:3" x14ac:dyDescent="0.2">
      <c r="A13" t="str">
        <f>IF(B9=B13,IF(C9=C13,"Check Total OK","Check Total Error"),"Check Total Error")</f>
        <v>Check Total OK</v>
      </c>
      <c r="B13" s="169">
        <f>SUM(B10:B12)</f>
        <v>6065383.8499999996</v>
      </c>
      <c r="C13" s="169">
        <f>SUM(C10:C12)</f>
        <v>3086520.78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2043400.02</v>
      </c>
      <c r="C18" s="167">
        <f>'DOE25'!G199+'DOE25'!G217+'DOE25'!G235+'DOE25'!G278+'DOE25'!G297+'DOE25'!G316</f>
        <v>921415.22</v>
      </c>
    </row>
    <row r="19" spans="1:3" x14ac:dyDescent="0.2">
      <c r="A19" t="s">
        <v>775</v>
      </c>
      <c r="B19" s="177">
        <v>1130032.3</v>
      </c>
      <c r="C19" s="177">
        <f>B19*(921415.22/2043400.02)</f>
        <v>509557.08628778718</v>
      </c>
    </row>
    <row r="20" spans="1:3" x14ac:dyDescent="0.2">
      <c r="A20" t="s">
        <v>776</v>
      </c>
      <c r="B20" s="177">
        <v>680088.31</v>
      </c>
      <c r="C20" s="177">
        <f t="shared" ref="C20:C21" si="0">B20*(921415.22/2043400.02)</f>
        <v>306667.17903725879</v>
      </c>
    </row>
    <row r="21" spans="1:3" x14ac:dyDescent="0.2">
      <c r="A21" t="s">
        <v>777</v>
      </c>
      <c r="B21" s="177">
        <v>233279.41</v>
      </c>
      <c r="C21" s="177">
        <f t="shared" si="0"/>
        <v>105190.95467495405</v>
      </c>
    </row>
    <row r="22" spans="1:3" x14ac:dyDescent="0.2">
      <c r="A22" t="str">
        <f>IF(B18=B22,IF(C18=C22,"Check Total OK","Check Total Error"),"Check Total Error")</f>
        <v>Check Total OK</v>
      </c>
      <c r="B22" s="169">
        <f>SUM(B19:B21)</f>
        <v>2043400.02</v>
      </c>
      <c r="C22" s="169">
        <f>SUM(C19:C21)</f>
        <v>921415.22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630190</v>
      </c>
      <c r="C36" s="173">
        <f>'DOE25'!G201+'DOE25'!G219+'DOE25'!G237+'DOE25'!G280+'DOE25'!G299+'DOE25'!G318</f>
        <v>285777.12</v>
      </c>
    </row>
    <row r="37" spans="1:3" x14ac:dyDescent="0.2">
      <c r="A37" t="s">
        <v>775</v>
      </c>
      <c r="B37" s="177">
        <v>338735</v>
      </c>
      <c r="C37" s="177">
        <f>B37*(285777.12/630190)</f>
        <v>153608.77313699044</v>
      </c>
    </row>
    <row r="38" spans="1:3" x14ac:dyDescent="0.2">
      <c r="A38" t="s">
        <v>776</v>
      </c>
      <c r="B38" s="177">
        <v>75334</v>
      </c>
      <c r="C38" s="177">
        <f t="shared" ref="C38:C39" si="1">B38*(285777.12/630190)</f>
        <v>34162.290036465194</v>
      </c>
    </row>
    <row r="39" spans="1:3" x14ac:dyDescent="0.2">
      <c r="A39" t="s">
        <v>777</v>
      </c>
      <c r="B39" s="177">
        <v>216121</v>
      </c>
      <c r="C39" s="177">
        <f t="shared" si="1"/>
        <v>98006.056826544373</v>
      </c>
    </row>
    <row r="40" spans="1:3" x14ac:dyDescent="0.2">
      <c r="A40" t="str">
        <f>IF(B36=B40,IF(C36=C40,"Check Total OK","Check Total Error"),"Check Total Error")</f>
        <v>Check Total OK</v>
      </c>
      <c r="B40" s="169">
        <f>SUM(B37:B39)</f>
        <v>630190</v>
      </c>
      <c r="C40" s="169">
        <f>SUM(C37:C39)</f>
        <v>285777.12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8"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Hollis-Brookline Cooperative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14682478.430000002</v>
      </c>
      <c r="D5" s="19">
        <f>SUM('DOE25'!L198:L201)+SUM('DOE25'!L216:L219)+SUM('DOE25'!L234:L237)-F5-G5-H5</f>
        <v>14169687.080000002</v>
      </c>
      <c r="E5" s="180"/>
      <c r="F5" s="181">
        <f>28558+33021+82982.6+37150</f>
        <v>181711.6</v>
      </c>
      <c r="G5" s="19">
        <f>SUM('DOE25'!J198:J201)+SUM('DOE25'!J216:J219)+SUM('DOE25'!J234:J237)</f>
        <v>298571.25</v>
      </c>
      <c r="H5" s="19">
        <f>SUM('DOE25'!K198:K201)+SUM('DOE25'!K216:K219)+SUM('DOE25'!K234:K237)</f>
        <v>32508.5</v>
      </c>
      <c r="I5" s="192"/>
    </row>
    <row r="6" spans="1:9" x14ac:dyDescent="0.2">
      <c r="A6" s="31">
        <v>2100</v>
      </c>
      <c r="B6" t="s">
        <v>796</v>
      </c>
      <c r="C6" s="206">
        <f t="shared" si="0"/>
        <v>2305611.63</v>
      </c>
      <c r="D6" s="19">
        <f>'DOE25'!L203+'DOE25'!L221+'DOE25'!L239-F6-G6-H6</f>
        <v>1895452.6700000002</v>
      </c>
      <c r="E6" s="180"/>
      <c r="F6" s="181">
        <f>326039.77+82374.85</f>
        <v>408414.62</v>
      </c>
      <c r="G6" s="19">
        <f>'DOE25'!J203+'DOE25'!J221+'DOE25'!J239</f>
        <v>1344.34</v>
      </c>
      <c r="H6" s="19">
        <f>'DOE25'!K203+'DOE25'!K221+'DOE25'!K239</f>
        <v>400</v>
      </c>
      <c r="I6" s="192"/>
    </row>
    <row r="7" spans="1:9" x14ac:dyDescent="0.2">
      <c r="A7" s="31">
        <v>2200</v>
      </c>
      <c r="B7" t="s">
        <v>820</v>
      </c>
      <c r="C7" s="206">
        <f t="shared" si="0"/>
        <v>888613.23</v>
      </c>
      <c r="D7" s="19">
        <f>'DOE25'!L204+'DOE25'!L222+'DOE25'!L240-F7-G7-H7</f>
        <v>657438.25</v>
      </c>
      <c r="E7" s="180"/>
      <c r="F7" s="181"/>
      <c r="G7" s="19">
        <f>'DOE25'!J204+'DOE25'!J222+'DOE25'!J240</f>
        <v>231174.97999999998</v>
      </c>
      <c r="H7" s="19">
        <f>'DOE25'!K204+'DOE25'!K222+'DOE25'!K240</f>
        <v>0</v>
      </c>
      <c r="I7" s="192"/>
    </row>
    <row r="8" spans="1:9" x14ac:dyDescent="0.2">
      <c r="A8" s="31">
        <v>2300</v>
      </c>
      <c r="B8" t="s">
        <v>797</v>
      </c>
      <c r="C8" s="206">
        <f t="shared" si="0"/>
        <v>1087749.1700000002</v>
      </c>
      <c r="D8" s="180"/>
      <c r="E8" s="19">
        <f>'DOE25'!L205+'DOE25'!L223+'DOE25'!L241-F8-G8-H8-D9-D11</f>
        <v>1082692.81</v>
      </c>
      <c r="F8" s="181"/>
      <c r="G8" s="19">
        <f>'DOE25'!J205+'DOE25'!J223+'DOE25'!J241</f>
        <v>94.240000000000009</v>
      </c>
      <c r="H8" s="19">
        <f>'DOE25'!K205+'DOE25'!K223+'DOE25'!K241</f>
        <v>4962.12</v>
      </c>
      <c r="I8" s="192"/>
    </row>
    <row r="9" spans="1:9" ht="14.25" x14ac:dyDescent="0.2">
      <c r="A9" s="31">
        <v>2310</v>
      </c>
      <c r="B9" s="71" t="s">
        <v>887</v>
      </c>
      <c r="C9" s="206">
        <f t="shared" si="0"/>
        <v>67694.13</v>
      </c>
      <c r="D9" s="181">
        <v>67694.13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1431310.5499999998</v>
      </c>
      <c r="D12" s="19">
        <f>'DOE25'!L206+'DOE25'!L224+'DOE25'!L242-F12-G12-H12</f>
        <v>1410399.2799999998</v>
      </c>
      <c r="E12" s="180"/>
      <c r="F12" s="181">
        <v>0</v>
      </c>
      <c r="G12" s="19">
        <f>'DOE25'!J206+'DOE25'!J224+'DOE25'!J242</f>
        <v>0</v>
      </c>
      <c r="H12" s="19">
        <f>'DOE25'!K206+'DOE25'!K224+'DOE25'!K242</f>
        <v>20911.27</v>
      </c>
      <c r="I12" s="192"/>
    </row>
    <row r="13" spans="1:9" x14ac:dyDescent="0.2">
      <c r="A13" s="31">
        <v>2500</v>
      </c>
      <c r="B13" t="s">
        <v>798</v>
      </c>
      <c r="C13" s="206">
        <f t="shared" si="0"/>
        <v>4514.7700000000004</v>
      </c>
      <c r="D13" s="180"/>
      <c r="E13" s="19">
        <f>'DOE25'!L207+'DOE25'!L225+'DOE25'!L243-F13-G13-H13</f>
        <v>0</v>
      </c>
      <c r="F13" s="181"/>
      <c r="G13" s="19">
        <f>'DOE25'!J207+'DOE25'!J225+'DOE25'!J243</f>
        <v>0</v>
      </c>
      <c r="H13" s="19">
        <f>'DOE25'!K207+'DOE25'!K225+'DOE25'!K243</f>
        <v>4514.7700000000004</v>
      </c>
      <c r="I13" s="192"/>
    </row>
    <row r="14" spans="1:9" x14ac:dyDescent="0.2">
      <c r="A14" s="31">
        <v>2600</v>
      </c>
      <c r="B14" t="s">
        <v>818</v>
      </c>
      <c r="C14" s="206">
        <f t="shared" si="0"/>
        <v>2182887.6899999995</v>
      </c>
      <c r="D14" s="19">
        <f>'DOE25'!L208+'DOE25'!L226+'DOE25'!L244-F14-G14-H14</f>
        <v>1421798.5399999996</v>
      </c>
      <c r="E14" s="180"/>
      <c r="F14" s="181">
        <f>147422.6+39226.13+72195+36320.19</f>
        <v>295163.92000000004</v>
      </c>
      <c r="G14" s="19">
        <f>'DOE25'!J208+'DOE25'!J226+'DOE25'!J244</f>
        <v>35328.92</v>
      </c>
      <c r="H14" s="19">
        <f>'DOE25'!K208+'DOE25'!K226+'DOE25'!K244</f>
        <v>430596.31</v>
      </c>
      <c r="I14" s="192"/>
    </row>
    <row r="15" spans="1:9" x14ac:dyDescent="0.2">
      <c r="A15" s="31">
        <v>2700</v>
      </c>
      <c r="B15" t="s">
        <v>799</v>
      </c>
      <c r="C15" s="206">
        <f t="shared" si="0"/>
        <v>1414828.9600000002</v>
      </c>
      <c r="D15" s="19">
        <f>'DOE25'!L209+'DOE25'!L227+'DOE25'!L245-F15-G15-H15</f>
        <v>243443.35000000033</v>
      </c>
      <c r="E15" s="180"/>
      <c r="F15" s="181">
        <f>174540+124700+872145.61</f>
        <v>1171385.6099999999</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56770.99</v>
      </c>
      <c r="D22" s="180"/>
      <c r="E22" s="180"/>
      <c r="F22" s="180"/>
      <c r="G22" s="19">
        <f>'DOE25'!L256+'DOE25'!L337</f>
        <v>56770.99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1031646.5900000001</v>
      </c>
      <c r="D25" s="180"/>
      <c r="E25" s="180"/>
      <c r="F25" s="191"/>
      <c r="G25" s="180"/>
      <c r="H25" s="180"/>
      <c r="I25" s="190">
        <f>'DOE25'!L261+'DOE25'!L262+'DOE25'!L342+'DOE25'!L343</f>
        <v>1031646.5900000001</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232208.26000000007</v>
      </c>
      <c r="D29" s="212">
        <f>'DOE25'!L359+'DOE25'!L360+'DOE25'!L361-'DOE25'!I368-F29-G29-H29-F39</f>
        <v>228114.84000000005</v>
      </c>
      <c r="E29" s="180"/>
      <c r="F29" s="180"/>
      <c r="G29" s="19">
        <f>'DOE25'!J359+'DOE25'!J360+'DOE25'!J361</f>
        <v>3701.91</v>
      </c>
      <c r="H29" s="19">
        <f>'DOE25'!K359+'DOE25'!K360+'DOE25'!K361</f>
        <v>391.51</v>
      </c>
      <c r="I29" s="192"/>
    </row>
    <row r="30" spans="1:9" x14ac:dyDescent="0.2">
      <c r="A30" s="31"/>
      <c r="C30" s="207"/>
      <c r="D30" s="19"/>
      <c r="F30" s="201"/>
      <c r="G30" s="19"/>
      <c r="H30" s="19"/>
      <c r="I30" s="192"/>
    </row>
    <row r="31" spans="1:9" x14ac:dyDescent="0.2">
      <c r="A31" s="31" t="s">
        <v>817</v>
      </c>
      <c r="B31" t="s">
        <v>816</v>
      </c>
      <c r="C31" s="206">
        <f>SUM(D31:I31)</f>
        <v>675605.34</v>
      </c>
      <c r="D31" s="19">
        <f>'DOE25'!L291+'DOE25'!L310+'DOE25'!L329+'DOE25'!L334+'DOE25'!L335+'DOE25'!L336-F31-G31-H31</f>
        <v>636406.66</v>
      </c>
      <c r="E31" s="180"/>
      <c r="F31" s="181"/>
      <c r="G31" s="19">
        <f>'DOE25'!J291+'DOE25'!J310+'DOE25'!J329+'DOE25'!J334+'DOE25'!J335+'DOE25'!J336</f>
        <v>26844.21</v>
      </c>
      <c r="H31" s="19">
        <f>'DOE25'!K291+'DOE25'!K310+'DOE25'!K329+'DOE25'!K334+'DOE25'!K335+'DOE25'!K336</f>
        <v>12354.47</v>
      </c>
      <c r="I31" s="192"/>
    </row>
    <row r="32" spans="1:9" ht="12" thickBot="1" x14ac:dyDescent="0.25">
      <c r="C32" s="207"/>
      <c r="G32" s="188"/>
      <c r="H32" s="188"/>
      <c r="I32" s="194"/>
    </row>
    <row r="33" spans="1:9" ht="12" thickTop="1" x14ac:dyDescent="0.2">
      <c r="B33" t="s">
        <v>809</v>
      </c>
      <c r="D33" s="182">
        <f t="shared" ref="D33:I33" si="1">SUM(D5:D31)</f>
        <v>20730434.800000004</v>
      </c>
      <c r="E33" s="182">
        <f t="shared" si="1"/>
        <v>1082692.81</v>
      </c>
      <c r="F33" s="182">
        <f t="shared" si="1"/>
        <v>2056675.75</v>
      </c>
      <c r="G33" s="182">
        <f t="shared" si="1"/>
        <v>653830.84000000008</v>
      </c>
      <c r="H33" s="182">
        <f t="shared" si="1"/>
        <v>506638.94999999995</v>
      </c>
      <c r="I33" s="182">
        <f t="shared" si="1"/>
        <v>1031646.5900000001</v>
      </c>
    </row>
    <row r="34" spans="1:9" ht="12" thickBot="1" x14ac:dyDescent="0.25"/>
    <row r="35" spans="1:9" ht="12" thickBot="1" x14ac:dyDescent="0.25">
      <c r="B35" s="188" t="s">
        <v>830</v>
      </c>
      <c r="D35" s="189">
        <f>E33</f>
        <v>1082692.81</v>
      </c>
      <c r="E35" s="185"/>
      <c r="F35" s="295" t="s">
        <v>1608</v>
      </c>
      <c r="G35" s="296"/>
      <c r="H35" s="296"/>
      <c r="I35" s="297"/>
    </row>
    <row r="36" spans="1:9" ht="12" thickTop="1" x14ac:dyDescent="0.2">
      <c r="B36" t="s">
        <v>810</v>
      </c>
      <c r="D36" s="19">
        <f>D33</f>
        <v>20730434.800000004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B48" sqref="B4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Hollis-Brookline Cooperative</v>
      </c>
      <c r="B2">
        <f>'DOE25'!B2</f>
        <v>260</v>
      </c>
      <c r="J2" s="224" t="s">
        <v>1808</v>
      </c>
      <c r="K2" s="309">
        <f>SUM('DOE25'!L198:L201)+SUM('DOE25'!L216:L219)+SUM('DOE25'!L234:L237)+SUM('DOE25'!L277:L280)+SUM('DOE25'!L296:L299)+SUM('DOE25'!L315:L318)</f>
        <v>15306406.010000002</v>
      </c>
      <c r="L2" s="309">
        <f>'DOE25'!L203+'DOE25'!L221+'DOE25'!L239+'DOE25'!L282+'DOE25'!L301+'DOE25'!L320</f>
        <v>2313240.6300000004</v>
      </c>
      <c r="M2" s="309">
        <f>'DOE25'!L204+'DOE25'!L222+'DOE25'!L240+'DOE25'!L283+'DOE25'!L302+'DOE25'!L321</f>
        <v>918546.99</v>
      </c>
      <c r="N2" s="309">
        <f>'DOE25'!L206+'DOE25'!L224+'DOE25'!L242+'DOE25'!L285+'DOE25'!L304+'DOE25'!L323</f>
        <v>1431310.5499999998</v>
      </c>
      <c r="O2" s="309">
        <f>'Salaries-Benefits'!B10+'Salaries-Benefits'!B12+'Salaries-Benefits'!B19+'Salaries-Benefits'!B21+'Salaries-Benefits'!B28+'Salaries-Benefits'!B30+'Salaries-Benefits'!B37+'Salaries-Benefits'!B39</f>
        <v>7983551.5599999996</v>
      </c>
      <c r="P2" s="309">
        <f>'Salaries-Benefits'!B11+'Salaries-Benefits'!B20+'Salaries-Benefits'!B29+'Salaries-Benefits'!B38</f>
        <v>755422.31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-15306406.010000002</v>
      </c>
      <c r="L3" s="311">
        <f t="shared" ref="L3:P3" si="0">L21+L33+L43-L2</f>
        <v>-2313240.6300000004</v>
      </c>
      <c r="M3" s="311">
        <f t="shared" si="0"/>
        <v>-918546.99</v>
      </c>
      <c r="N3" s="311">
        <f t="shared" si="0"/>
        <v>-1431310.5499999998</v>
      </c>
      <c r="O3" s="311">
        <f t="shared" si="0"/>
        <v>-7983551.5599999996</v>
      </c>
      <c r="P3" s="311">
        <f t="shared" si="0"/>
        <v>-755422.31</v>
      </c>
      <c r="Q3" s="310"/>
      <c r="R3" s="306"/>
      <c r="S3" s="215"/>
      <c r="T3" s="215"/>
      <c r="U3" s="216"/>
    </row>
    <row r="4" spans="1:21" ht="55.5" customHeight="1" thickBot="1" x14ac:dyDescent="0.25">
      <c r="A4" s="224" t="s">
        <v>1522</v>
      </c>
      <c r="B4" s="224" t="s">
        <v>1523</v>
      </c>
      <c r="C4" s="224" t="s">
        <v>896</v>
      </c>
      <c r="D4" s="224" t="s">
        <v>786</v>
      </c>
      <c r="E4" s="224" t="s">
        <v>786</v>
      </c>
      <c r="F4" s="228">
        <f>SUM(F5:F20)</f>
        <v>0</v>
      </c>
      <c r="G4" s="229">
        <f>'DOE25'!L212+'DOE25'!L291</f>
        <v>0</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0</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7540240.21</v>
      </c>
      <c r="G24" s="229">
        <f>'DOE25'!L230+'DOE25'!L310</f>
        <v>7540240.209999999</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Hollis-Brookline Middle School</v>
      </c>
      <c r="B26" s="230">
        <f>IFERROR(VLOOKUP(A26,'School Tables'!$N$4:$O$75,2,FALSE),"")</f>
        <v>21805</v>
      </c>
      <c r="C26" s="223" t="str">
        <f>IFERROR(INDEX('School Tables'!$M$4:$M$75,MATCH('School Level Expenditures'!A26,'School Tables'!$N$4:$N$75,0)),"")</f>
        <v>Hollis-Brookline Cooperative</v>
      </c>
      <c r="D26" s="220">
        <v>7406868.6600000001</v>
      </c>
      <c r="E26" s="220">
        <v>133371.54999999999</v>
      </c>
      <c r="F26" s="232">
        <f t="shared" ref="F26:F32" si="4">D26+E26</f>
        <v>7540240.21</v>
      </c>
      <c r="G26" s="223"/>
      <c r="H26" s="223"/>
      <c r="J26" t="str">
        <f t="shared" ref="J26:J32" si="5">A26</f>
        <v>Hollis-Brookline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7406868.6600000001</v>
      </c>
      <c r="E33" s="262">
        <f>SUM(E25:E32)</f>
        <v>133371.54999999999</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17201053.689999998</v>
      </c>
      <c r="G36" s="229">
        <f>'DOE25'!L248+'DOE25'!L329</f>
        <v>17201053.690000001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Hollis-Brookline High School</v>
      </c>
      <c r="B38" s="230">
        <f>IFERROR(VLOOKUP(A38,'School Tables'!$Y$4:$Z$100,2,FALSE),"")</f>
        <v>21810</v>
      </c>
      <c r="C38" s="223" t="str">
        <f>IFERROR(INDEX('School Tables'!$X$4:$X$100,MATCH('School Level Expenditures'!A38,'School Tables'!$Y$4:$Y$100,0)),"")</f>
        <v>Hollis-Brookline Cooperative</v>
      </c>
      <c r="D38" s="220">
        <v>16918530.239999998</v>
      </c>
      <c r="E38" s="220">
        <v>282523.45</v>
      </c>
      <c r="F38" s="232">
        <f t="shared" si="7"/>
        <v>17201053.689999998</v>
      </c>
      <c r="G38" s="223"/>
      <c r="H38" s="223"/>
      <c r="J38" t="str">
        <f t="shared" ref="J38:J42" si="8">A38</f>
        <v>Hollis-Brookline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16918530.239999998</v>
      </c>
      <c r="E43" s="263">
        <f>SUM(E37:E42)</f>
        <v>282523.45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Hollis-Brookline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2449603.7400000002</v>
      </c>
      <c r="D8" s="73">
        <f>'DOE25'!G9</f>
        <v>31625.79</v>
      </c>
      <c r="E8" s="73">
        <f>'DOE25'!H9</f>
        <v>0</v>
      </c>
      <c r="F8" s="73">
        <f>'DOE25'!I9</f>
        <v>156674.17000000001</v>
      </c>
      <c r="G8" s="73">
        <f>'DOE25'!J9</f>
        <v>0</v>
      </c>
      <c r="H8" s="13">
        <f>SUM(C8:G8)</f>
        <v>2637903.7000000002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77309.86</v>
      </c>
      <c r="F11" s="73">
        <f>'DOE25'!I12</f>
        <v>0</v>
      </c>
      <c r="G11" s="73">
        <f>'DOE25'!J12</f>
        <v>0</v>
      </c>
      <c r="H11" s="13">
        <f t="shared" si="0"/>
        <v>77309.86</v>
      </c>
      <c r="I11" s="90"/>
    </row>
    <row r="12" spans="1:9" x14ac:dyDescent="0.2">
      <c r="A12" s="1" t="s">
        <v>143</v>
      </c>
      <c r="B12" s="6">
        <v>140</v>
      </c>
      <c r="C12" s="73">
        <f>'DOE25'!F13</f>
        <v>128037.32</v>
      </c>
      <c r="D12" s="73">
        <f>'DOE25'!G13</f>
        <v>15798.58</v>
      </c>
      <c r="E12" s="73">
        <f>'DOE25'!H13</f>
        <v>94168.58</v>
      </c>
      <c r="F12" s="73">
        <f>'DOE25'!I13</f>
        <v>0</v>
      </c>
      <c r="G12" s="73">
        <f>'DOE25'!J13</f>
        <v>612805.16</v>
      </c>
      <c r="H12" s="13">
        <f t="shared" si="0"/>
        <v>850809.64</v>
      </c>
      <c r="I12" s="90"/>
    </row>
    <row r="13" spans="1:9" x14ac:dyDescent="0.2">
      <c r="A13" s="1" t="s">
        <v>144</v>
      </c>
      <c r="B13" s="6">
        <v>150</v>
      </c>
      <c r="C13" s="73">
        <f>'DOE25'!F14</f>
        <v>0</v>
      </c>
      <c r="D13" s="73">
        <f>'DOE25'!G14</f>
        <v>0</v>
      </c>
      <c r="E13" s="73">
        <f>'DOE25'!H14</f>
        <v>157.49</v>
      </c>
      <c r="F13" s="73">
        <f>'DOE25'!I14</f>
        <v>0</v>
      </c>
      <c r="G13" s="73">
        <f>'DOE25'!J14</f>
        <v>0</v>
      </c>
      <c r="H13" s="13">
        <f t="shared" si="0"/>
        <v>157.49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15510.53</v>
      </c>
      <c r="E15" s="73">
        <f>'DOE25'!H16</f>
        <v>0</v>
      </c>
      <c r="F15" s="73">
        <f>'DOE25'!I16</f>
        <v>0</v>
      </c>
      <c r="G15" s="23" t="s">
        <v>288</v>
      </c>
      <c r="H15" s="13">
        <f t="shared" si="0"/>
        <v>15510.53</v>
      </c>
      <c r="I15" s="90"/>
    </row>
    <row r="16" spans="1:9" x14ac:dyDescent="0.2">
      <c r="A16" s="1" t="s">
        <v>147</v>
      </c>
      <c r="B16" s="6">
        <v>180</v>
      </c>
      <c r="C16" s="73">
        <f>'DOE25'!F17</f>
        <v>186505.38</v>
      </c>
      <c r="D16" s="73">
        <f>'DOE25'!G17</f>
        <v>0</v>
      </c>
      <c r="E16" s="73">
        <f>'DOE25'!H17</f>
        <v>0</v>
      </c>
      <c r="F16" s="73">
        <f>'DOE25'!I17</f>
        <v>0</v>
      </c>
      <c r="G16" s="73">
        <f>'DOE25'!J17</f>
        <v>0</v>
      </c>
      <c r="H16" s="13">
        <f t="shared" si="0"/>
        <v>186505.38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2764146.44</v>
      </c>
      <c r="D18" s="38">
        <f>SUM(D8:D17)</f>
        <v>62934.9</v>
      </c>
      <c r="E18" s="38">
        <f>SUM(E8:E17)</f>
        <v>171635.93</v>
      </c>
      <c r="F18" s="38">
        <f>SUM(F8:F17)</f>
        <v>156674.17000000001</v>
      </c>
      <c r="G18" s="38">
        <f>SUM(G8:G17)</f>
        <v>612805.16</v>
      </c>
      <c r="H18" s="38">
        <f t="shared" si="0"/>
        <v>3768196.6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722216.25</v>
      </c>
      <c r="D21" s="73">
        <f>'DOE25'!G22</f>
        <v>-660315.22</v>
      </c>
      <c r="E21" s="73">
        <f>'DOE25'!H22</f>
        <v>-142640.78999999998</v>
      </c>
      <c r="F21" s="73">
        <f>'DOE25'!I22</f>
        <v>0</v>
      </c>
      <c r="G21" s="73">
        <f>'DOE25'!J22</f>
        <v>158049.62</v>
      </c>
      <c r="H21" s="13">
        <f t="shared" ref="H21:H31" si="1">SUM(C21:G21)</f>
        <v>77309.860000000044</v>
      </c>
      <c r="I21" s="90"/>
    </row>
    <row r="22" spans="1:9" x14ac:dyDescent="0.2">
      <c r="A22" s="1" t="s">
        <v>151</v>
      </c>
      <c r="B22" s="6">
        <v>410</v>
      </c>
      <c r="C22" s="73">
        <f>'DOE25'!F23</f>
        <v>47149.29</v>
      </c>
      <c r="D22" s="73">
        <f>'DOE25'!G23</f>
        <v>1581.77</v>
      </c>
      <c r="E22" s="73">
        <f>'DOE25'!H23</f>
        <v>3000</v>
      </c>
      <c r="F22" s="73">
        <f>'DOE25'!I23</f>
        <v>0</v>
      </c>
      <c r="G22" s="73">
        <f>'DOE25'!J23</f>
        <v>0</v>
      </c>
      <c r="H22" s="13">
        <f t="shared" si="1"/>
        <v>51731.06</v>
      </c>
      <c r="I22" s="90"/>
    </row>
    <row r="23" spans="1:9" x14ac:dyDescent="0.2">
      <c r="A23" s="1" t="s">
        <v>152</v>
      </c>
      <c r="B23" s="6">
        <v>420</v>
      </c>
      <c r="C23" s="73">
        <f>'DOE25'!F24</f>
        <v>113646.2</v>
      </c>
      <c r="D23" s="73">
        <f>'DOE25'!G24</f>
        <v>937</v>
      </c>
      <c r="E23" s="73">
        <f>'DOE25'!H24</f>
        <v>6411.6799999999994</v>
      </c>
      <c r="F23" s="73">
        <f>'DOE25'!I24</f>
        <v>6175</v>
      </c>
      <c r="G23" s="73">
        <f>'DOE25'!J24</f>
        <v>6950</v>
      </c>
      <c r="H23" s="13">
        <f t="shared" si="1"/>
        <v>134119.88</v>
      </c>
      <c r="I23" s="90"/>
    </row>
    <row r="24" spans="1:9" x14ac:dyDescent="0.2">
      <c r="A24" s="1" t="s">
        <v>153</v>
      </c>
      <c r="B24" s="6">
        <v>430</v>
      </c>
      <c r="C24" s="73">
        <f>'DOE25'!F25</f>
        <v>0</v>
      </c>
      <c r="D24" s="73">
        <f>'DOE25'!G25</f>
        <v>0</v>
      </c>
      <c r="E24" s="73">
        <f>'DOE25'!H25</f>
        <v>0</v>
      </c>
      <c r="F24" s="73">
        <f>'DOE25'!I25</f>
        <v>143999.57</v>
      </c>
      <c r="G24" s="23" t="s">
        <v>288</v>
      </c>
      <c r="H24" s="13">
        <f t="shared" si="1"/>
        <v>143999.57</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65487.54</v>
      </c>
      <c r="D27" s="73">
        <f>'DOE25'!G28</f>
        <v>2736.79</v>
      </c>
      <c r="E27" s="73">
        <f>'DOE25'!H28</f>
        <v>370.5</v>
      </c>
      <c r="F27" s="73">
        <f>'DOE25'!I28</f>
        <v>0</v>
      </c>
      <c r="G27" s="23" t="s">
        <v>288</v>
      </c>
      <c r="H27" s="13">
        <f t="shared" si="1"/>
        <v>68594.83</v>
      </c>
      <c r="I27" s="90"/>
    </row>
    <row r="28" spans="1:9" x14ac:dyDescent="0.2">
      <c r="A28" s="1" t="s">
        <v>157</v>
      </c>
      <c r="B28" s="6">
        <v>470</v>
      </c>
      <c r="C28" s="73">
        <f>'DOE25'!F29</f>
        <v>11864.54</v>
      </c>
      <c r="D28" s="73">
        <f>'DOE25'!G29</f>
        <v>0</v>
      </c>
      <c r="E28" s="73">
        <f>'DOE25'!H29</f>
        <v>0</v>
      </c>
      <c r="F28" s="73">
        <f>'DOE25'!I29</f>
        <v>0</v>
      </c>
      <c r="G28" s="23" t="s">
        <v>288</v>
      </c>
      <c r="H28" s="13">
        <f t="shared" si="1"/>
        <v>11864.54</v>
      </c>
      <c r="I28" s="90"/>
    </row>
    <row r="29" spans="1:9" x14ac:dyDescent="0.2">
      <c r="A29" s="1" t="s">
        <v>158</v>
      </c>
      <c r="B29" s="6">
        <v>480</v>
      </c>
      <c r="C29" s="73">
        <f>'DOE25'!F30</f>
        <v>0</v>
      </c>
      <c r="D29" s="73">
        <f>'DOE25'!G30</f>
        <v>45570.09</v>
      </c>
      <c r="E29" s="73">
        <f>'DOE25'!H30</f>
        <v>58207</v>
      </c>
      <c r="F29" s="73">
        <f>'DOE25'!I30</f>
        <v>0</v>
      </c>
      <c r="G29" s="23" t="s">
        <v>288</v>
      </c>
      <c r="H29" s="13">
        <f t="shared" si="1"/>
        <v>103777.09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960363.82000000007</v>
      </c>
      <c r="D31" s="38">
        <f>SUM(D21:D30)</f>
        <v>-609489.56999999995</v>
      </c>
      <c r="E31" s="38">
        <f>SUM(E21:E30)</f>
        <v>-74651.609999999986</v>
      </c>
      <c r="F31" s="38">
        <f>SUM(F21:F30)</f>
        <v>150174.57</v>
      </c>
      <c r="G31" s="38">
        <f>SUM(G21:G30)</f>
        <v>164999.62</v>
      </c>
      <c r="H31" s="38">
        <f t="shared" si="1"/>
        <v>591396.83000000007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15510.53</v>
      </c>
      <c r="E34" s="73">
        <f>'DOE25'!H35</f>
        <v>0</v>
      </c>
      <c r="F34" s="73">
        <f>'DOE25'!I35</f>
        <v>0</v>
      </c>
      <c r="G34" s="23" t="s">
        <v>288</v>
      </c>
      <c r="H34" s="13">
        <f t="shared" ref="H34:H51" si="2">SUM(C34:G34)</f>
        <v>15510.53</v>
      </c>
      <c r="I34" s="90"/>
    </row>
    <row r="35" spans="1:9" x14ac:dyDescent="0.2">
      <c r="A35" s="1" t="s">
        <v>849</v>
      </c>
      <c r="B35" s="6">
        <v>752</v>
      </c>
      <c r="C35" s="73">
        <f>'DOE25'!F36</f>
        <v>186505.38</v>
      </c>
      <c r="D35" s="73">
        <f>'DOE25'!G36</f>
        <v>0</v>
      </c>
      <c r="E35" s="73">
        <f>'DOE25'!H36</f>
        <v>0</v>
      </c>
      <c r="F35" s="73">
        <f>'DOE25'!I36</f>
        <v>0</v>
      </c>
      <c r="G35" s="23" t="s">
        <v>288</v>
      </c>
      <c r="H35" s="13">
        <f t="shared" si="2"/>
        <v>186505.38</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656913.93999999994</v>
      </c>
      <c r="E42" s="73">
        <f>'DOE25'!H43</f>
        <v>0</v>
      </c>
      <c r="F42" s="73">
        <f>'DOE25'!I43</f>
        <v>0</v>
      </c>
      <c r="G42" s="73">
        <f>'DOE25'!J43</f>
        <v>0</v>
      </c>
      <c r="H42" s="13">
        <f t="shared" si="2"/>
        <v>656913.93999999994</v>
      </c>
      <c r="I42" s="90"/>
    </row>
    <row r="43" spans="1:9" x14ac:dyDescent="0.2">
      <c r="A43" s="1" t="s">
        <v>862</v>
      </c>
      <c r="B43" s="6">
        <v>755</v>
      </c>
      <c r="C43" s="73">
        <f>'DOE25'!F44</f>
        <v>450000</v>
      </c>
      <c r="D43" s="73">
        <f>'DOE25'!G44</f>
        <v>0</v>
      </c>
      <c r="E43" s="73">
        <f>'DOE25'!H44</f>
        <v>0</v>
      </c>
      <c r="F43" s="73">
        <f>'DOE25'!I44</f>
        <v>0</v>
      </c>
      <c r="G43" s="23" t="s">
        <v>288</v>
      </c>
      <c r="H43" s="13">
        <f t="shared" si="2"/>
        <v>450000</v>
      </c>
      <c r="I43" s="90"/>
    </row>
    <row r="44" spans="1:9" x14ac:dyDescent="0.2">
      <c r="A44" s="1" t="s">
        <v>863</v>
      </c>
      <c r="B44" s="6">
        <v>753</v>
      </c>
      <c r="C44" s="73">
        <f>'DOE25'!F45</f>
        <v>362978.47</v>
      </c>
      <c r="D44" s="73">
        <f>'DOE25'!G45</f>
        <v>0</v>
      </c>
      <c r="E44" s="73">
        <f>'DOE25'!H45</f>
        <v>0</v>
      </c>
      <c r="F44" s="73">
        <f>'DOE25'!I45</f>
        <v>0</v>
      </c>
      <c r="G44" s="73">
        <f>'DOE25'!J45</f>
        <v>0</v>
      </c>
      <c r="H44" s="13">
        <f t="shared" si="2"/>
        <v>362978.47</v>
      </c>
      <c r="I44" s="90"/>
    </row>
    <row r="45" spans="1:9" x14ac:dyDescent="0.2">
      <c r="A45" s="1" t="s">
        <v>879</v>
      </c>
      <c r="B45" s="6"/>
      <c r="C45" s="73">
        <f>'DOE25'!F46</f>
        <v>398433</v>
      </c>
      <c r="D45" s="23" t="s">
        <v>288</v>
      </c>
      <c r="E45" s="23" t="s">
        <v>288</v>
      </c>
      <c r="F45" s="23" t="s">
        <v>288</v>
      </c>
      <c r="G45" s="23" t="s">
        <v>288</v>
      </c>
      <c r="H45" s="13">
        <f t="shared" si="2"/>
        <v>398433</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246287.53999999998</v>
      </c>
      <c r="F47" s="73">
        <f>'DOE25'!I48</f>
        <v>0</v>
      </c>
      <c r="G47" s="73">
        <f>'DOE25'!J48</f>
        <v>447805.54</v>
      </c>
      <c r="H47" s="13">
        <f t="shared" si="2"/>
        <v>694093.08</v>
      </c>
      <c r="I47" s="90"/>
    </row>
    <row r="48" spans="1:9" x14ac:dyDescent="0.2">
      <c r="A48" s="1" t="s">
        <v>881</v>
      </c>
      <c r="B48" s="6">
        <v>753</v>
      </c>
      <c r="C48" s="73">
        <f>'DOE25'!F49</f>
        <v>0</v>
      </c>
      <c r="D48" s="73">
        <f>'DOE25'!G49</f>
        <v>0</v>
      </c>
      <c r="E48" s="73">
        <f>'DOE25'!H49</f>
        <v>0</v>
      </c>
      <c r="F48" s="73">
        <f>'DOE25'!I49</f>
        <v>6499.6</v>
      </c>
      <c r="G48" s="73">
        <f>'DOE25'!J49</f>
        <v>0</v>
      </c>
      <c r="H48" s="13">
        <f t="shared" si="2"/>
        <v>6499.6</v>
      </c>
      <c r="I48" s="90"/>
    </row>
    <row r="49" spans="1:9" ht="12" thickBot="1" x14ac:dyDescent="0.25">
      <c r="A49" s="28" t="s">
        <v>882</v>
      </c>
      <c r="B49" s="56">
        <v>770</v>
      </c>
      <c r="C49" s="73">
        <f>'DOE25'!F50</f>
        <v>405865.77</v>
      </c>
      <c r="D49" s="23" t="s">
        <v>288</v>
      </c>
      <c r="E49" s="23" t="s">
        <v>288</v>
      </c>
      <c r="F49" s="23" t="s">
        <v>288</v>
      </c>
      <c r="G49" s="23" t="s">
        <v>288</v>
      </c>
      <c r="H49" s="13">
        <f t="shared" si="2"/>
        <v>405865.77</v>
      </c>
      <c r="I49" s="90"/>
    </row>
    <row r="50" spans="1:9" ht="12.75" thickTop="1" thickBot="1" x14ac:dyDescent="0.25">
      <c r="A50" s="35" t="s">
        <v>883</v>
      </c>
      <c r="B50" s="44"/>
      <c r="C50" s="38">
        <f>SUM(C34:C49)</f>
        <v>1803782.62</v>
      </c>
      <c r="D50" s="38">
        <f>SUM(D34:D49)</f>
        <v>672424.47</v>
      </c>
      <c r="E50" s="38">
        <f>SUM(E34:E49)</f>
        <v>246287.53999999998</v>
      </c>
      <c r="F50" s="38">
        <f>SUM(F34:F49)</f>
        <v>6499.6</v>
      </c>
      <c r="G50" s="38">
        <f>SUM(G34:G49)</f>
        <v>447805.54</v>
      </c>
      <c r="H50" s="38">
        <f t="shared" si="2"/>
        <v>3176799.77</v>
      </c>
      <c r="I50" s="90"/>
    </row>
    <row r="51" spans="1:9" ht="12" thickTop="1" x14ac:dyDescent="0.2">
      <c r="A51" s="35" t="s">
        <v>884</v>
      </c>
      <c r="B51" s="2"/>
      <c r="C51" s="38">
        <f>C50+C31</f>
        <v>2764146.4400000004</v>
      </c>
      <c r="D51" s="38">
        <f>D50+D31</f>
        <v>62934.900000000023</v>
      </c>
      <c r="E51" s="38">
        <f>E50+E31</f>
        <v>171635.93</v>
      </c>
      <c r="F51" s="38">
        <f>F50+F31</f>
        <v>156674.17000000001</v>
      </c>
      <c r="G51" s="38">
        <f>G50+G31</f>
        <v>612805.15999999992</v>
      </c>
      <c r="H51" s="38">
        <f t="shared" si="2"/>
        <v>3768196.6000000006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18482832</v>
      </c>
      <c r="D56" s="73">
        <f>'DOE25'!G60</f>
        <v>0</v>
      </c>
      <c r="E56" s="73">
        <f>'DOE25'!H60</f>
        <v>0</v>
      </c>
      <c r="F56" s="73">
        <f>'DOE25'!I60</f>
        <v>0</v>
      </c>
      <c r="G56" s="73">
        <f>'DOE25'!J60</f>
        <v>0</v>
      </c>
      <c r="H56" s="13">
        <f t="shared" ref="H56:H63" si="3">SUM(C56:G56)</f>
        <v>18482832</v>
      </c>
      <c r="I56"/>
    </row>
    <row r="57" spans="1:9" x14ac:dyDescent="0.2">
      <c r="A57" s="1" t="s">
        <v>164</v>
      </c>
      <c r="B57" s="6" t="s">
        <v>165</v>
      </c>
      <c r="C57" s="73">
        <f>'DOE25'!F79</f>
        <v>41256.82</v>
      </c>
      <c r="D57" s="23" t="s">
        <v>288</v>
      </c>
      <c r="E57" s="73">
        <f>'DOE25'!H79</f>
        <v>0</v>
      </c>
      <c r="F57" s="23" t="s">
        <v>288</v>
      </c>
      <c r="G57" s="23" t="s">
        <v>288</v>
      </c>
      <c r="H57" s="13">
        <f t="shared" si="3"/>
        <v>41256.82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62490.01</v>
      </c>
      <c r="D59" s="73">
        <f>'DOE25'!G96</f>
        <v>0</v>
      </c>
      <c r="E59" s="73">
        <f>'DOE25'!H96</f>
        <v>0</v>
      </c>
      <c r="F59" s="73">
        <f>'DOE25'!I96</f>
        <v>0</v>
      </c>
      <c r="G59" s="73">
        <f>'DOE25'!J96</f>
        <v>16032.03</v>
      </c>
      <c r="H59" s="13">
        <f t="shared" si="3"/>
        <v>78522.040000000008</v>
      </c>
      <c r="I59"/>
    </row>
    <row r="60" spans="1:9" x14ac:dyDescent="0.2">
      <c r="A60" s="1" t="s">
        <v>170</v>
      </c>
      <c r="B60" s="22" t="s">
        <v>171</v>
      </c>
      <c r="C60" s="23" t="s">
        <v>288</v>
      </c>
      <c r="D60" s="73">
        <f>'DOE25'!G97</f>
        <v>497547.87000000005</v>
      </c>
      <c r="E60" s="23" t="s">
        <v>288</v>
      </c>
      <c r="F60" s="23" t="s">
        <v>288</v>
      </c>
      <c r="G60" s="23" t="s">
        <v>288</v>
      </c>
      <c r="H60" s="13">
        <f t="shared" si="3"/>
        <v>497547.87000000005</v>
      </c>
      <c r="I60"/>
    </row>
    <row r="61" spans="1:9" ht="12" thickBot="1" x14ac:dyDescent="0.25">
      <c r="A61" s="1" t="s">
        <v>172</v>
      </c>
      <c r="B61" s="22" t="s">
        <v>173</v>
      </c>
      <c r="C61" s="73">
        <f>SUM('DOE25'!F98:F110)</f>
        <v>37292.21</v>
      </c>
      <c r="D61" s="73">
        <f>SUM('DOE25'!G98:G110)</f>
        <v>0</v>
      </c>
      <c r="E61" s="73">
        <f>SUM('DOE25'!H98:H110)</f>
        <v>214216.81000000006</v>
      </c>
      <c r="F61" s="73">
        <f>SUM('DOE25'!I98:I110)</f>
        <v>0</v>
      </c>
      <c r="G61" s="73">
        <f>SUM('DOE25'!J98:J110)</f>
        <v>0</v>
      </c>
      <c r="H61" s="13">
        <f t="shared" si="3"/>
        <v>251509.02000000005</v>
      </c>
      <c r="I61"/>
    </row>
    <row r="62" spans="1:9" ht="12.75" thickTop="1" thickBot="1" x14ac:dyDescent="0.25">
      <c r="A62" s="28" t="s">
        <v>174</v>
      </c>
      <c r="B62" s="6"/>
      <c r="C62" s="93">
        <f>SUM(C57:C61)</f>
        <v>141039.04000000001</v>
      </c>
      <c r="D62" s="93">
        <f>SUM(D57:D61)</f>
        <v>497547.87000000005</v>
      </c>
      <c r="E62" s="93">
        <f>SUM(E57:E61)</f>
        <v>214216.81000000006</v>
      </c>
      <c r="F62" s="93">
        <f>SUM(F57:F61)</f>
        <v>0</v>
      </c>
      <c r="G62" s="93">
        <f>SUM(G57:G61)</f>
        <v>16032.03</v>
      </c>
      <c r="H62" s="13">
        <f t="shared" si="3"/>
        <v>868835.75000000012</v>
      </c>
      <c r="I62"/>
    </row>
    <row r="63" spans="1:9" ht="12" thickTop="1" x14ac:dyDescent="0.2">
      <c r="A63" s="28" t="s">
        <v>175</v>
      </c>
      <c r="B63" s="6"/>
      <c r="C63" s="21">
        <f>C56+C62</f>
        <v>18623871.039999999</v>
      </c>
      <c r="D63" s="21">
        <f>D56+D62</f>
        <v>497547.87000000005</v>
      </c>
      <c r="E63" s="21">
        <f>E56+E62</f>
        <v>214216.81000000006</v>
      </c>
      <c r="F63" s="21">
        <f>F56+F62</f>
        <v>0</v>
      </c>
      <c r="G63" s="21">
        <f>G56+G62</f>
        <v>16032.03</v>
      </c>
      <c r="H63" s="13">
        <f t="shared" si="3"/>
        <v>19351667.75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3757310.62</v>
      </c>
      <c r="D66" s="23" t="s">
        <v>288</v>
      </c>
      <c r="E66" s="23" t="s">
        <v>288</v>
      </c>
      <c r="F66" s="23" t="s">
        <v>288</v>
      </c>
      <c r="G66" s="23" t="s">
        <v>288</v>
      </c>
      <c r="H66" s="13">
        <f t="shared" ref="H66:H81" si="4">SUM(C66:G66)</f>
        <v>3757310.62</v>
      </c>
      <c r="I66"/>
    </row>
    <row r="67" spans="1:9" x14ac:dyDescent="0.2">
      <c r="A67" s="1" t="s">
        <v>770</v>
      </c>
      <c r="B67" s="6">
        <v>3112</v>
      </c>
      <c r="C67" s="73">
        <f>'DOE25'!F118</f>
        <v>1438810</v>
      </c>
      <c r="D67" s="23"/>
      <c r="E67" s="23"/>
      <c r="F67" s="23"/>
      <c r="G67" s="23"/>
      <c r="H67" s="13">
        <f t="shared" si="4"/>
        <v>1438810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139007.93</v>
      </c>
      <c r="D69" s="73">
        <f>'DOE25'!G120</f>
        <v>0</v>
      </c>
      <c r="E69" s="73">
        <f>'DOE25'!H120</f>
        <v>0</v>
      </c>
      <c r="F69" s="73">
        <f>'DOE25'!I120</f>
        <v>0</v>
      </c>
      <c r="G69" s="73">
        <f>'DOE25'!J120</f>
        <v>0</v>
      </c>
      <c r="H69" s="13">
        <f t="shared" si="4"/>
        <v>139007.93</v>
      </c>
      <c r="I69"/>
    </row>
    <row r="70" spans="1:9" ht="12" thickTop="1" x14ac:dyDescent="0.2">
      <c r="A70" s="28" t="s">
        <v>252</v>
      </c>
      <c r="B70" s="2"/>
      <c r="C70" s="97">
        <f>SUM(C66:C69)</f>
        <v>5335128.55</v>
      </c>
      <c r="D70" s="97">
        <f>D69</f>
        <v>0</v>
      </c>
      <c r="E70" s="97">
        <f>E69</f>
        <v>0</v>
      </c>
      <c r="F70" s="97">
        <f>F69</f>
        <v>0</v>
      </c>
      <c r="G70" s="97">
        <f>G69</f>
        <v>0</v>
      </c>
      <c r="H70" s="13">
        <f t="shared" si="4"/>
        <v>5335128.55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219361.95</v>
      </c>
      <c r="D72" s="23" t="s">
        <v>288</v>
      </c>
      <c r="E72" s="23" t="s">
        <v>288</v>
      </c>
      <c r="F72" s="73">
        <f>'DOE25'!I123</f>
        <v>0</v>
      </c>
      <c r="G72" s="23" t="s">
        <v>288</v>
      </c>
      <c r="H72" s="13">
        <f t="shared" si="4"/>
        <v>219361.95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301594.76</v>
      </c>
      <c r="D75" s="23" t="s">
        <v>288</v>
      </c>
      <c r="E75" s="23" t="s">
        <v>288</v>
      </c>
      <c r="F75" s="23" t="s">
        <v>288</v>
      </c>
      <c r="G75" s="23" t="s">
        <v>288</v>
      </c>
      <c r="H75" s="13">
        <f t="shared" si="4"/>
        <v>301594.76</v>
      </c>
      <c r="I75"/>
    </row>
    <row r="76" spans="1:9" x14ac:dyDescent="0.2">
      <c r="A76" s="1" t="s">
        <v>257</v>
      </c>
      <c r="B76" s="6" t="s">
        <v>179</v>
      </c>
      <c r="C76" s="73">
        <f>SUM('DOE25'!F127:F130)</f>
        <v>8817.7000000000007</v>
      </c>
      <c r="D76" s="23" t="s">
        <v>288</v>
      </c>
      <c r="E76" s="73">
        <f>SUM('DOE25'!H127:H130)</f>
        <v>20890</v>
      </c>
      <c r="F76" s="73">
        <f>SUM('DOE25'!I127:I130)</f>
        <v>0</v>
      </c>
      <c r="G76" s="23" t="s">
        <v>288</v>
      </c>
      <c r="H76" s="13">
        <f t="shared" si="4"/>
        <v>29707.7</v>
      </c>
      <c r="I76"/>
    </row>
    <row r="77" spans="1:9" ht="12" thickBot="1" x14ac:dyDescent="0.25">
      <c r="A77" s="1" t="s">
        <v>258</v>
      </c>
      <c r="B77" s="6" t="s">
        <v>180</v>
      </c>
      <c r="C77" s="73">
        <f>SUM('DOE25'!F131:F135)</f>
        <v>0</v>
      </c>
      <c r="D77" s="73">
        <f>SUM('DOE25'!G131:G135)</f>
        <v>32083.179999999997</v>
      </c>
      <c r="E77" s="73">
        <f>SUM('DOE25'!H131:H135)</f>
        <v>0</v>
      </c>
      <c r="F77" s="73">
        <f>SUM('DOE25'!I131:I135)</f>
        <v>0</v>
      </c>
      <c r="G77" s="73">
        <f>SUM('DOE25'!J131:J135)</f>
        <v>0</v>
      </c>
      <c r="H77" s="13">
        <f t="shared" si="4"/>
        <v>32083.179999999997</v>
      </c>
      <c r="I77"/>
    </row>
    <row r="78" spans="1:9" ht="12.75" thickTop="1" thickBot="1" x14ac:dyDescent="0.25">
      <c r="A78" s="28" t="s">
        <v>259</v>
      </c>
      <c r="B78" s="6"/>
      <c r="C78" s="93">
        <f>SUM(C72:C77)</f>
        <v>529774.41</v>
      </c>
      <c r="D78" s="93">
        <f>SUM(D72:D77)</f>
        <v>32083.179999999997</v>
      </c>
      <c r="E78" s="93">
        <f>SUM(E72:E77)</f>
        <v>20890</v>
      </c>
      <c r="F78" s="93">
        <f>SUM(F72:F77)</f>
        <v>0</v>
      </c>
      <c r="G78" s="93">
        <f>SUM(G72:G77)</f>
        <v>0</v>
      </c>
      <c r="H78" s="13">
        <f t="shared" si="4"/>
        <v>582747.59000000008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5864902.96</v>
      </c>
      <c r="D81" s="93">
        <f>SUM(D79:D80)+D78+D70</f>
        <v>32083.179999999997</v>
      </c>
      <c r="E81" s="93">
        <f>SUM(E79:E80)+E78+E70</f>
        <v>20890</v>
      </c>
      <c r="F81" s="93">
        <f>SUM(F79:F80)+F78+F70</f>
        <v>0</v>
      </c>
      <c r="G81" s="93">
        <f>SUM(G79:G80)+G78+G70</f>
        <v>0</v>
      </c>
      <c r="H81" s="93">
        <f t="shared" si="4"/>
        <v>5917876.1399999997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30851.65</v>
      </c>
      <c r="E85" s="73">
        <f>'DOE25'!H147</f>
        <v>0</v>
      </c>
      <c r="F85" s="73">
        <f>'DOE25'!I147</f>
        <v>0</v>
      </c>
      <c r="G85" s="23" t="s">
        <v>288</v>
      </c>
      <c r="H85" s="13">
        <f t="shared" ref="H85:H104" si="5">SUM(C85:G85)</f>
        <v>30851.65</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36246.019999999997</v>
      </c>
      <c r="D88" s="253">
        <f>SUM('DOE25'!G153:G162)</f>
        <v>87715.81</v>
      </c>
      <c r="E88" s="253">
        <f>SUM('DOE25'!H153:H162)</f>
        <v>339798</v>
      </c>
      <c r="F88" s="253">
        <f>SUM('DOE25'!I153:I162)</f>
        <v>0</v>
      </c>
      <c r="G88" s="23" t="s">
        <v>288</v>
      </c>
      <c r="H88" s="13">
        <f t="shared" si="5"/>
        <v>463759.82999999996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36246.019999999997</v>
      </c>
      <c r="D91" s="94">
        <f>SUM(D85:D90)</f>
        <v>118567.45999999999</v>
      </c>
      <c r="E91" s="94">
        <f>SUM(E85:E90)</f>
        <v>339798</v>
      </c>
      <c r="F91" s="94">
        <f>SUM(F85:F90)</f>
        <v>0</v>
      </c>
      <c r="G91" s="23" t="s">
        <v>288</v>
      </c>
      <c r="H91" s="13">
        <f t="shared" si="5"/>
        <v>494611.48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2886491</v>
      </c>
      <c r="G93" s="23" t="s">
        <v>288</v>
      </c>
      <c r="H93" s="13">
        <f t="shared" si="5"/>
        <v>2886491</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225000</v>
      </c>
      <c r="H96" s="13">
        <f t="shared" si="5"/>
        <v>225000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6199.86</v>
      </c>
      <c r="D100" s="73">
        <f>SUM('DOE25'!G187:G188)</f>
        <v>0</v>
      </c>
      <c r="E100" s="73">
        <f>SUM('DOE25'!H187:H188)</f>
        <v>0</v>
      </c>
      <c r="F100" s="73">
        <f>SUM('DOE25'!I187:I188)</f>
        <v>0</v>
      </c>
      <c r="G100" s="23" t="s">
        <v>288</v>
      </c>
      <c r="H100" s="13">
        <f t="shared" si="5"/>
        <v>6199.86</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6199.86</v>
      </c>
      <c r="D103" s="68">
        <f>SUM(D93:D102)</f>
        <v>0</v>
      </c>
      <c r="E103" s="68">
        <f>SUM(E93:E102)</f>
        <v>0</v>
      </c>
      <c r="F103" s="68">
        <f>SUM(F93:F102)</f>
        <v>2886491</v>
      </c>
      <c r="G103" s="68">
        <f>SUM(G93:G102)</f>
        <v>225000</v>
      </c>
      <c r="H103" s="68">
        <f t="shared" si="5"/>
        <v>3117690.86</v>
      </c>
    </row>
    <row r="104" spans="1:8" ht="12.75" thickTop="1" thickBot="1" x14ac:dyDescent="0.25">
      <c r="A104" s="32" t="s">
        <v>761</v>
      </c>
      <c r="C104" s="68">
        <f>C63+C81+C91+C103</f>
        <v>24531219.879999999</v>
      </c>
      <c r="D104" s="68">
        <f>D63+D81+D91+D103</f>
        <v>648198.51</v>
      </c>
      <c r="E104" s="68">
        <f>E63+E81+E91+E103</f>
        <v>574904.81000000006</v>
      </c>
      <c r="F104" s="68">
        <f>F63+F81+F91+F103</f>
        <v>2886491</v>
      </c>
      <c r="G104" s="68">
        <f>G63+G81+G103</f>
        <v>241032.03</v>
      </c>
      <c r="H104" s="68">
        <f t="shared" si="5"/>
        <v>28881846.23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9491597.0999999996</v>
      </c>
      <c r="D109" s="23" t="s">
        <v>288</v>
      </c>
      <c r="E109" s="73">
        <f>('DOE25'!L277)+('DOE25'!L296)+('DOE25'!L315)</f>
        <v>36688.859999999993</v>
      </c>
      <c r="F109" s="23" t="s">
        <v>288</v>
      </c>
      <c r="G109" s="23" t="s">
        <v>288</v>
      </c>
      <c r="H109" s="13">
        <f t="shared" ref="H109:H115" si="6">SUM(C109:G109)</f>
        <v>9528285.959999999</v>
      </c>
    </row>
    <row r="110" spans="1:8" x14ac:dyDescent="0.2">
      <c r="A110" t="s">
        <v>198</v>
      </c>
      <c r="B110" s="31" t="s">
        <v>199</v>
      </c>
      <c r="C110" s="73">
        <f>('DOE25'!L199)+('DOE25'!L217)+('DOE25'!L235)</f>
        <v>4071041.7500000005</v>
      </c>
      <c r="D110" s="23" t="s">
        <v>288</v>
      </c>
      <c r="E110" s="73">
        <f>('DOE25'!L278)+('DOE25'!L297)+('DOE25'!L316)</f>
        <v>245822.84000000003</v>
      </c>
      <c r="F110" s="23" t="s">
        <v>288</v>
      </c>
      <c r="G110" s="23" t="s">
        <v>288</v>
      </c>
      <c r="H110" s="13">
        <f t="shared" si="6"/>
        <v>4316864.5900000008</v>
      </c>
    </row>
    <row r="111" spans="1:8" x14ac:dyDescent="0.2">
      <c r="A111" t="s">
        <v>200</v>
      </c>
      <c r="B111" s="31" t="s">
        <v>165</v>
      </c>
      <c r="C111" s="73">
        <f>('DOE25'!L200)+('DOE25'!L218)+('DOE25'!L236)</f>
        <v>78019.56</v>
      </c>
      <c r="D111" s="23" t="s">
        <v>288</v>
      </c>
      <c r="E111" s="73">
        <f>('DOE25'!L279)+('DOE25'!L298)+('DOE25'!L317)</f>
        <v>0</v>
      </c>
      <c r="F111" s="23" t="s">
        <v>288</v>
      </c>
      <c r="G111" s="23" t="s">
        <v>288</v>
      </c>
      <c r="H111" s="13">
        <f t="shared" si="6"/>
        <v>78019.56</v>
      </c>
    </row>
    <row r="112" spans="1:8" x14ac:dyDescent="0.2">
      <c r="A112" t="s">
        <v>201</v>
      </c>
      <c r="B112" s="31" t="s">
        <v>167</v>
      </c>
      <c r="C112" s="73">
        <f>('DOE25'!L201)+('DOE25'!L219)+('DOE25'!L237)</f>
        <v>1041820.02</v>
      </c>
      <c r="D112" s="23" t="s">
        <v>288</v>
      </c>
      <c r="E112" s="73">
        <f>+('DOE25'!L280)+('DOE25'!L299)+('DOE25'!L318)</f>
        <v>341415.88</v>
      </c>
      <c r="F112" s="23" t="s">
        <v>288</v>
      </c>
      <c r="G112" s="23" t="s">
        <v>288</v>
      </c>
      <c r="H112" s="13">
        <f t="shared" si="6"/>
        <v>1383235.9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14682478.43</v>
      </c>
      <c r="D115" s="68">
        <f>SUM(D109:D114)</f>
        <v>0</v>
      </c>
      <c r="E115" s="68">
        <f>SUM(E109:E114)</f>
        <v>623927.58000000007</v>
      </c>
      <c r="F115" s="68">
        <f>SUM(F109:F114)</f>
        <v>0</v>
      </c>
      <c r="G115" s="68">
        <f>SUM(G109:G114)</f>
        <v>0</v>
      </c>
      <c r="H115" s="68">
        <f t="shared" si="6"/>
        <v>15306406.01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2305611.6300000004</v>
      </c>
      <c r="D118" s="23" t="s">
        <v>288</v>
      </c>
      <c r="E118" s="73">
        <f>+('DOE25'!L282)+('DOE25'!L301)+('DOE25'!L320)</f>
        <v>7629</v>
      </c>
      <c r="F118" s="23" t="s">
        <v>288</v>
      </c>
      <c r="G118" s="23" t="s">
        <v>288</v>
      </c>
      <c r="H118" s="13">
        <f t="shared" ref="H118:H145" si="7">SUM(C118:G118)</f>
        <v>2313240.6300000004</v>
      </c>
    </row>
    <row r="119" spans="1:8" x14ac:dyDescent="0.2">
      <c r="A119" t="s">
        <v>208</v>
      </c>
      <c r="B119" s="31" t="s">
        <v>209</v>
      </c>
      <c r="C119" s="73">
        <f>('DOE25'!L204)+('DOE25'!L222)+('DOE25'!L240)</f>
        <v>888613.23</v>
      </c>
      <c r="D119" s="23" t="s">
        <v>288</v>
      </c>
      <c r="E119" s="73">
        <f>+('DOE25'!L283)+('DOE25'!L302)+('DOE25'!L321)</f>
        <v>29933.760000000002</v>
      </c>
      <c r="F119" s="23" t="s">
        <v>288</v>
      </c>
      <c r="G119" s="23" t="s">
        <v>288</v>
      </c>
      <c r="H119" s="13">
        <f t="shared" si="7"/>
        <v>918546.99</v>
      </c>
    </row>
    <row r="120" spans="1:8" x14ac:dyDescent="0.2">
      <c r="A120" t="s">
        <v>210</v>
      </c>
      <c r="B120" s="31" t="s">
        <v>211</v>
      </c>
      <c r="C120" s="73">
        <f>('DOE25'!L205)+('DOE25'!L223)+('DOE25'!L241)</f>
        <v>1155443.3</v>
      </c>
      <c r="D120" s="23" t="s">
        <v>288</v>
      </c>
      <c r="E120" s="73">
        <f>+('DOE25'!L284)+('DOE25'!L303)+('DOE25'!L322)</f>
        <v>0</v>
      </c>
      <c r="F120" s="23" t="s">
        <v>288</v>
      </c>
      <c r="G120" s="23" t="s">
        <v>288</v>
      </c>
      <c r="H120" s="13">
        <f t="shared" si="7"/>
        <v>1155443.3</v>
      </c>
    </row>
    <row r="121" spans="1:8" x14ac:dyDescent="0.2">
      <c r="A121" t="s">
        <v>212</v>
      </c>
      <c r="B121" s="31" t="s">
        <v>213</v>
      </c>
      <c r="C121" s="73">
        <f>('DOE25'!L206)+('DOE25'!L224)+('DOE25'!L242)</f>
        <v>1431310.5499999998</v>
      </c>
      <c r="D121" s="23" t="s">
        <v>288</v>
      </c>
      <c r="E121" s="73">
        <f>+('DOE25'!L285)+('DOE25'!L304)+('DOE25'!L323)</f>
        <v>0</v>
      </c>
      <c r="F121" s="23" t="s">
        <v>288</v>
      </c>
      <c r="G121" s="23" t="s">
        <v>288</v>
      </c>
      <c r="H121" s="13">
        <f t="shared" si="7"/>
        <v>1431310.5499999998</v>
      </c>
    </row>
    <row r="122" spans="1:8" x14ac:dyDescent="0.2">
      <c r="A122" t="s">
        <v>214</v>
      </c>
      <c r="B122" s="31" t="s">
        <v>215</v>
      </c>
      <c r="C122" s="73">
        <f>('DOE25'!L207)+('DOE25'!L225)+('DOE25'!L243)</f>
        <v>4514.7700000000004</v>
      </c>
      <c r="D122" s="23" t="s">
        <v>288</v>
      </c>
      <c r="E122" s="73">
        <f>+('DOE25'!L286)+('DOE25'!L305)+('DOE25'!L324)</f>
        <v>0</v>
      </c>
      <c r="F122" s="23" t="s">
        <v>288</v>
      </c>
      <c r="G122" s="23" t="s">
        <v>288</v>
      </c>
      <c r="H122" s="13">
        <f t="shared" si="7"/>
        <v>4514.7700000000004</v>
      </c>
    </row>
    <row r="123" spans="1:8" x14ac:dyDescent="0.2">
      <c r="A123" t="s">
        <v>216</v>
      </c>
      <c r="B123" s="31" t="s">
        <v>217</v>
      </c>
      <c r="C123" s="73">
        <f>('DOE25'!L208)+('DOE25'!L226)+('DOE25'!L244)</f>
        <v>2182887.6899999995</v>
      </c>
      <c r="D123" s="23" t="s">
        <v>288</v>
      </c>
      <c r="E123" s="73">
        <f>+('DOE25'!L287)+('DOE25'!L306)+('DOE25'!L325)</f>
        <v>0</v>
      </c>
      <c r="F123" s="23" t="s">
        <v>288</v>
      </c>
      <c r="G123" s="23" t="s">
        <v>288</v>
      </c>
      <c r="H123" s="13">
        <f t="shared" si="7"/>
        <v>2182887.6899999995</v>
      </c>
    </row>
    <row r="124" spans="1:8" x14ac:dyDescent="0.2">
      <c r="A124" t="s">
        <v>218</v>
      </c>
      <c r="B124" s="31" t="s">
        <v>219</v>
      </c>
      <c r="C124" s="73">
        <f>('DOE25'!L209)+('DOE25'!L227)+('DOE25'!L245+'DOE25'!L255)</f>
        <v>1414828.9600000002</v>
      </c>
      <c r="D124" s="23" t="s">
        <v>288</v>
      </c>
      <c r="E124" s="73">
        <f>+('DOE25'!L288)+('DOE25'!L307)+('DOE25'!L326)</f>
        <v>14115</v>
      </c>
      <c r="F124" s="23" t="s">
        <v>288</v>
      </c>
      <c r="G124" s="23" t="s">
        <v>288</v>
      </c>
      <c r="H124" s="13">
        <f t="shared" si="7"/>
        <v>1428943.9600000002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510772.88000000006</v>
      </c>
      <c r="E127" s="23" t="s">
        <v>288</v>
      </c>
      <c r="F127" s="23" t="s">
        <v>288</v>
      </c>
      <c r="G127" s="23" t="s">
        <v>288</v>
      </c>
      <c r="H127" s="13">
        <f t="shared" si="7"/>
        <v>510772.88000000006</v>
      </c>
    </row>
    <row r="128" spans="1:8" ht="12.75" thickTop="1" thickBot="1" x14ac:dyDescent="0.25">
      <c r="A128" s="32" t="s">
        <v>226</v>
      </c>
      <c r="C128" s="68">
        <f>SUM(C118:C127)</f>
        <v>9383210.129999999</v>
      </c>
      <c r="D128" s="68">
        <f>SUM(D118:D127)</f>
        <v>510772.88000000006</v>
      </c>
      <c r="E128" s="68">
        <f>SUM(E118:E127)</f>
        <v>51677.760000000002</v>
      </c>
      <c r="F128" s="68">
        <f>SUM(F118:F127)</f>
        <v>0</v>
      </c>
      <c r="G128" s="68">
        <f>SUM(G118:G127)</f>
        <v>0</v>
      </c>
      <c r="H128" s="68">
        <f t="shared" si="7"/>
        <v>9945660.7699999996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56770.99</v>
      </c>
      <c r="D130" s="23" t="s">
        <v>288</v>
      </c>
      <c r="E130" s="92">
        <f>'DOE25'!L337</f>
        <v>0</v>
      </c>
      <c r="F130" s="92">
        <f>SUM('DOE25'!L375:'DOE25'!L381)</f>
        <v>2661242.6999999997</v>
      </c>
      <c r="G130" s="23" t="s">
        <v>288</v>
      </c>
      <c r="H130" s="13">
        <f t="shared" si="7"/>
        <v>2718013.69</v>
      </c>
    </row>
    <row r="131" spans="1:8" x14ac:dyDescent="0.2">
      <c r="A131" t="s">
        <v>229</v>
      </c>
      <c r="B131" s="31">
        <v>5110</v>
      </c>
      <c r="C131" s="73">
        <f>'DOE25'!L261</f>
        <v>940097.27</v>
      </c>
      <c r="D131" s="23" t="s">
        <v>288</v>
      </c>
      <c r="E131" s="92">
        <f>'DOE25'!L342</f>
        <v>0</v>
      </c>
      <c r="F131" s="23" t="s">
        <v>288</v>
      </c>
      <c r="G131" s="23" t="s">
        <v>288</v>
      </c>
      <c r="H131" s="13">
        <f t="shared" si="7"/>
        <v>940097.27</v>
      </c>
    </row>
    <row r="132" spans="1:8" x14ac:dyDescent="0.2">
      <c r="A132" t="s">
        <v>230</v>
      </c>
      <c r="B132" s="31">
        <v>5120</v>
      </c>
      <c r="C132" s="73">
        <f>'DOE25'!L262</f>
        <v>91549.32</v>
      </c>
      <c r="D132" s="23" t="s">
        <v>288</v>
      </c>
      <c r="E132" s="92">
        <f>'DOE25'!L343</f>
        <v>0</v>
      </c>
      <c r="F132" s="23" t="s">
        <v>288</v>
      </c>
      <c r="G132" s="23" t="s">
        <v>288</v>
      </c>
      <c r="H132" s="13">
        <f t="shared" si="7"/>
        <v>91549.32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3000</v>
      </c>
      <c r="F134" s="73">
        <f>'DOE25'!K382</f>
        <v>0</v>
      </c>
      <c r="G134" s="73">
        <f>'DOE25'!K435</f>
        <v>0</v>
      </c>
      <c r="H134" s="13">
        <f t="shared" si="7"/>
        <v>3000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241032.03</v>
      </c>
      <c r="D139" s="23" t="s">
        <v>288</v>
      </c>
      <c r="E139" s="23" t="s">
        <v>288</v>
      </c>
      <c r="F139" s="23" t="s">
        <v>288</v>
      </c>
      <c r="G139" s="23" t="s">
        <v>288</v>
      </c>
      <c r="H139" s="13">
        <f t="shared" si="7"/>
        <v>241032.03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-16032.029999999999</v>
      </c>
      <c r="D141" s="23" t="s">
        <v>288</v>
      </c>
      <c r="E141" s="23" t="s">
        <v>288</v>
      </c>
      <c r="F141" s="23" t="s">
        <v>288</v>
      </c>
      <c r="G141" s="23" t="s">
        <v>288</v>
      </c>
      <c r="H141" s="13">
        <f t="shared" si="7"/>
        <v>-16032.029999999999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1313417.58</v>
      </c>
      <c r="D144" s="98">
        <f>SUM(D130:D143)</f>
        <v>0</v>
      </c>
      <c r="E144" s="98">
        <f>SUM(E130:E143)</f>
        <v>3000</v>
      </c>
      <c r="F144" s="98">
        <f>SUM(F130:F143)</f>
        <v>2661242.6999999997</v>
      </c>
      <c r="G144" s="98">
        <f>SUM(G130:G143)</f>
        <v>0</v>
      </c>
      <c r="H144" s="98">
        <f t="shared" si="7"/>
        <v>3977660.28</v>
      </c>
    </row>
    <row r="145" spans="1:9" ht="12.75" thickTop="1" thickBot="1" x14ac:dyDescent="0.25">
      <c r="A145" s="32" t="s">
        <v>244</v>
      </c>
      <c r="C145" s="68">
        <f>(C115+C128+C144)</f>
        <v>25379106.140000001</v>
      </c>
      <c r="D145" s="68">
        <f>(D115+D128+D144)</f>
        <v>510772.88000000006</v>
      </c>
      <c r="E145" s="68">
        <f>(E115+E128+E144)</f>
        <v>678605.34000000008</v>
      </c>
      <c r="F145" s="68">
        <f>(F115+F128+F144)</f>
        <v>2661242.6999999997</v>
      </c>
      <c r="G145" s="68">
        <f>(G115+G128+G144)</f>
        <v>0</v>
      </c>
      <c r="H145" s="68">
        <f t="shared" si="7"/>
        <v>29229727.059999999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15</v>
      </c>
      <c r="E151" s="110">
        <f>'DOE25'!I491</f>
        <v>0</v>
      </c>
      <c r="F151" s="110">
        <f>'DOE25'!J491</f>
        <v>0</v>
      </c>
      <c r="G151" s="23" t="s">
        <v>288</v>
      </c>
    </row>
    <row r="152" spans="1:9" x14ac:dyDescent="0.2">
      <c r="A152" s="21" t="s">
        <v>28</v>
      </c>
      <c r="B152" s="109" t="str">
        <f>'DOE25'!F492</f>
        <v>8/2004</v>
      </c>
      <c r="C152" s="109" t="str">
        <f>'DOE25'!G492</f>
        <v>7/2020</v>
      </c>
      <c r="D152" s="109" t="str">
        <f>'DOE25'!H492</f>
        <v>7/2022</v>
      </c>
      <c r="E152" s="109">
        <f>'DOE25'!I492</f>
        <v>0</v>
      </c>
      <c r="F152" s="109">
        <f>'DOE25'!J492</f>
        <v>0</v>
      </c>
      <c r="G152" s="23" t="s">
        <v>288</v>
      </c>
    </row>
    <row r="153" spans="1:9" x14ac:dyDescent="0.2">
      <c r="A153" s="21" t="s">
        <v>29</v>
      </c>
      <c r="B153" s="109" t="str">
        <f>'DOE25'!F493</f>
        <v>8/2024</v>
      </c>
      <c r="C153" s="109" t="str">
        <f>'DOE25'!G493</f>
        <v>8/2028</v>
      </c>
      <c r="D153" s="109" t="str">
        <f>'DOE25'!H493</f>
        <v>8/2036</v>
      </c>
      <c r="E153" s="109">
        <f>'DOE25'!I493</f>
        <v>0</v>
      </c>
      <c r="F153" s="109">
        <f>'DOE25'!J493</f>
        <v>0</v>
      </c>
      <c r="G153" s="23" t="s">
        <v>288</v>
      </c>
    </row>
    <row r="154" spans="1:9" x14ac:dyDescent="0.2">
      <c r="A154" s="21" t="s">
        <v>30</v>
      </c>
      <c r="B154" s="19">
        <f>'DOE25'!F494</f>
        <v>7703400</v>
      </c>
      <c r="C154" s="19">
        <f>'DOE25'!G494</f>
        <v>1553374.28</v>
      </c>
      <c r="D154" s="19">
        <f>'DOE25'!H494</f>
        <v>2886491</v>
      </c>
      <c r="E154" s="19">
        <f>'DOE25'!I494</f>
        <v>0</v>
      </c>
      <c r="F154" s="19">
        <f>'DOE25'!J494</f>
        <v>0</v>
      </c>
      <c r="G154" s="23" t="s">
        <v>288</v>
      </c>
    </row>
    <row r="155" spans="1:9" x14ac:dyDescent="0.2">
      <c r="A155" s="21" t="s">
        <v>31</v>
      </c>
      <c r="B155" s="19">
        <f>'DOE25'!F495</f>
        <v>4.54</v>
      </c>
      <c r="C155" s="19">
        <f>'DOE25'!G495</f>
        <v>2</v>
      </c>
      <c r="D155" s="19">
        <f>'DOE25'!H495</f>
        <v>2.9249999999999998</v>
      </c>
      <c r="E155" s="19">
        <f>'DOE25'!I495</f>
        <v>0</v>
      </c>
      <c r="F155" s="19">
        <f>'DOE25'!J495</f>
        <v>0</v>
      </c>
      <c r="G155" s="23" t="s">
        <v>288</v>
      </c>
    </row>
    <row r="156" spans="1:9" x14ac:dyDescent="0.2">
      <c r="A156" s="21" t="s">
        <v>32</v>
      </c>
      <c r="B156" s="19">
        <f>'DOE25'!F496</f>
        <v>1690000</v>
      </c>
      <c r="C156" s="19">
        <f>'DOE25'!G496</f>
        <v>1210097.99</v>
      </c>
      <c r="D156" s="19">
        <f>'DOE25'!H496</f>
        <v>2886491</v>
      </c>
      <c r="E156" s="19">
        <f>'DOE25'!I496</f>
        <v>0</v>
      </c>
      <c r="F156" s="19">
        <f>'DOE25'!J496</f>
        <v>0</v>
      </c>
      <c r="G156" s="96">
        <f>SUM(B156:F156)</f>
        <v>5786588.9900000002</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535000</v>
      </c>
      <c r="C158" s="19">
        <f>'DOE25'!G498</f>
        <v>162772.65</v>
      </c>
      <c r="D158" s="19">
        <f>'DOE25'!H498</f>
        <v>228435.18</v>
      </c>
      <c r="E158" s="19">
        <f>'DOE25'!I498</f>
        <v>0</v>
      </c>
      <c r="F158" s="19">
        <f>'DOE25'!J498</f>
        <v>0</v>
      </c>
      <c r="G158" s="96">
        <f t="shared" si="8"/>
        <v>926207.83000000007</v>
      </c>
    </row>
    <row r="159" spans="1:9" x14ac:dyDescent="0.2">
      <c r="A159" s="21" t="s">
        <v>35</v>
      </c>
      <c r="B159" s="19">
        <f>'DOE25'!F499</f>
        <v>1155000</v>
      </c>
      <c r="C159" s="19">
        <f>'DOE25'!G499</f>
        <v>1047325.34</v>
      </c>
      <c r="D159" s="19">
        <f>'DOE25'!H499</f>
        <v>2658055.8199999998</v>
      </c>
      <c r="E159" s="19">
        <f>'DOE25'!I499</f>
        <v>0</v>
      </c>
      <c r="F159" s="19">
        <f>'DOE25'!J499</f>
        <v>0</v>
      </c>
      <c r="G159" s="96">
        <f t="shared" si="8"/>
        <v>4860381.16</v>
      </c>
    </row>
    <row r="160" spans="1:9" x14ac:dyDescent="0.2">
      <c r="A160" s="21" t="s">
        <v>36</v>
      </c>
      <c r="B160" s="19">
        <f>'DOE25'!F500</f>
        <v>39854</v>
      </c>
      <c r="C160" s="19">
        <f>'DOE25'!G500</f>
        <v>74522.3</v>
      </c>
      <c r="D160" s="19">
        <f>'DOE25'!H500</f>
        <v>619436.5</v>
      </c>
      <c r="E160" s="19">
        <f>'DOE25'!I500</f>
        <v>0</v>
      </c>
      <c r="F160" s="19">
        <f>'DOE25'!J500</f>
        <v>0</v>
      </c>
      <c r="G160" s="96">
        <f t="shared" si="8"/>
        <v>733812.8</v>
      </c>
    </row>
    <row r="161" spans="1:7" x14ac:dyDescent="0.2">
      <c r="A161" s="21" t="s">
        <v>37</v>
      </c>
      <c r="B161" s="19">
        <f>'DOE25'!F501</f>
        <v>1194854</v>
      </c>
      <c r="C161" s="19">
        <f>'DOE25'!G501</f>
        <v>1121847.6399999999</v>
      </c>
      <c r="D161" s="19">
        <f>'DOE25'!H501</f>
        <v>3277492.32</v>
      </c>
      <c r="E161" s="19">
        <f>'DOE25'!I501</f>
        <v>0</v>
      </c>
      <c r="F161" s="19">
        <f>'DOE25'!J501</f>
        <v>0</v>
      </c>
      <c r="G161" s="96">
        <f t="shared" si="8"/>
        <v>5594193.959999999</v>
      </c>
    </row>
    <row r="162" spans="1:7" x14ac:dyDescent="0.2">
      <c r="A162" s="21" t="s">
        <v>38</v>
      </c>
      <c r="B162" s="19">
        <f>'DOE25'!F502</f>
        <v>565000</v>
      </c>
      <c r="C162" s="19">
        <f>'DOE25'!G502</f>
        <v>166028.1</v>
      </c>
      <c r="D162" s="19">
        <f>'DOE25'!H502</f>
        <v>156358.46</v>
      </c>
      <c r="E162" s="19">
        <f>'DOE25'!I502</f>
        <v>0</v>
      </c>
      <c r="F162" s="19">
        <f>'DOE25'!J502</f>
        <v>0</v>
      </c>
      <c r="G162" s="96">
        <f t="shared" si="8"/>
        <v>887386.55999999994</v>
      </c>
    </row>
    <row r="163" spans="1:7" x14ac:dyDescent="0.2">
      <c r="A163" s="21" t="s">
        <v>39</v>
      </c>
      <c r="B163" s="19">
        <f>'DOE25'!F503</f>
        <v>32073</v>
      </c>
      <c r="C163" s="19">
        <f>'DOE25'!G503</f>
        <v>20946.509999999998</v>
      </c>
      <c r="D163" s="19">
        <f>'DOE25'!H503</f>
        <v>77748.13</v>
      </c>
      <c r="E163" s="19">
        <f>'DOE25'!I503</f>
        <v>0</v>
      </c>
      <c r="F163" s="19">
        <f>'DOE25'!J503</f>
        <v>0</v>
      </c>
      <c r="G163" s="96">
        <f t="shared" si="8"/>
        <v>130767.64</v>
      </c>
    </row>
    <row r="164" spans="1:7" x14ac:dyDescent="0.2">
      <c r="A164" s="21" t="s">
        <v>246</v>
      </c>
      <c r="B164" s="19">
        <f>'DOE25'!F504</f>
        <v>597073</v>
      </c>
      <c r="C164" s="19">
        <f>'DOE25'!G504</f>
        <v>186974.61000000002</v>
      </c>
      <c r="D164" s="19">
        <f>'DOE25'!H504</f>
        <v>234106.59</v>
      </c>
      <c r="E164" s="19">
        <f>'DOE25'!I504</f>
        <v>0</v>
      </c>
      <c r="F164" s="19">
        <f>'DOE25'!J504</f>
        <v>0</v>
      </c>
      <c r="G164" s="96">
        <f t="shared" si="8"/>
        <v>1018154.2</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25" right="0.2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Hollis-Brookline Cooperative</v>
      </c>
    </row>
    <row r="3" spans="1:4" x14ac:dyDescent="0.2">
      <c r="B3" s="137" t="s">
        <v>1799</v>
      </c>
    </row>
    <row r="4" spans="1:4" x14ac:dyDescent="0.2">
      <c r="B4" t="s">
        <v>61</v>
      </c>
      <c r="C4" s="129">
        <f>IF('DOE25'!F666+'DOE25'!F671=0,0,ROUND('DOE25'!F673,0))</f>
        <v>0</v>
      </c>
    </row>
    <row r="5" spans="1:4" x14ac:dyDescent="0.2">
      <c r="B5" t="s">
        <v>700</v>
      </c>
      <c r="C5" s="129">
        <f>IF('DOE25'!G666+'DOE25'!G671=0,0,ROUND('DOE25'!G673,0))</f>
        <v>18004</v>
      </c>
    </row>
    <row r="6" spans="1:4" x14ac:dyDescent="0.2">
      <c r="B6" t="s">
        <v>62</v>
      </c>
      <c r="C6" s="129">
        <f>IF('DOE25'!H666+'DOE25'!H671=0,0,ROUND('DOE25'!H673,0))</f>
        <v>20232</v>
      </c>
    </row>
    <row r="7" spans="1:4" x14ac:dyDescent="0.2">
      <c r="B7" t="s">
        <v>701</v>
      </c>
      <c r="C7" s="129">
        <f>IF('DOE25'!I666+'DOE25'!I671=0,0,ROUND('DOE25'!I673,0))</f>
        <v>19478</v>
      </c>
    </row>
    <row r="9" spans="1:4" x14ac:dyDescent="0.2">
      <c r="A9" s="136" t="s">
        <v>94</v>
      </c>
      <c r="B9" s="137" t="s">
        <v>1800</v>
      </c>
      <c r="C9" s="131" t="s">
        <v>720</v>
      </c>
      <c r="D9" s="131" t="s">
        <v>721</v>
      </c>
    </row>
    <row r="10" spans="1:4" x14ac:dyDescent="0.2">
      <c r="A10">
        <v>1100</v>
      </c>
      <c r="B10" t="s">
        <v>702</v>
      </c>
      <c r="C10" s="129">
        <f>ROUND('DOE25'!L198+'DOE25'!L216+'DOE25'!L234+'DOE25'!L277+'DOE25'!L296+'DOE25'!L315,0)</f>
        <v>9528286</v>
      </c>
      <c r="D10" s="132">
        <f>ROUND((C10/$C$28)*100,1)</f>
        <v>38.299999999999997</v>
      </c>
    </row>
    <row r="11" spans="1:4" x14ac:dyDescent="0.2">
      <c r="A11">
        <v>1200</v>
      </c>
      <c r="B11" t="s">
        <v>703</v>
      </c>
      <c r="C11" s="129">
        <f>ROUND('DOE25'!L199+'DOE25'!L217+'DOE25'!L235+'DOE25'!L278+'DOE25'!L297+'DOE25'!L316,0)</f>
        <v>4316865</v>
      </c>
      <c r="D11" s="132">
        <f>ROUND((C11/$C$28)*100,1)</f>
        <v>17.399999999999999</v>
      </c>
    </row>
    <row r="12" spans="1:4" x14ac:dyDescent="0.2">
      <c r="A12">
        <v>1300</v>
      </c>
      <c r="B12" t="s">
        <v>704</v>
      </c>
      <c r="C12" s="129">
        <f>ROUND('DOE25'!L200+'DOE25'!L218+'DOE25'!L236+'DOE25'!L279+'DOE25'!L298+'DOE25'!L317,0)</f>
        <v>78020</v>
      </c>
      <c r="D12" s="132">
        <f>ROUND((C12/$C$28)*100,1)</f>
        <v>0.3</v>
      </c>
    </row>
    <row r="13" spans="1:4" x14ac:dyDescent="0.2">
      <c r="A13">
        <v>1400</v>
      </c>
      <c r="B13" t="s">
        <v>705</v>
      </c>
      <c r="C13" s="129">
        <f>ROUND('DOE25'!L201+'DOE25'!L219+'DOE25'!L237+'DOE25'!L280+'DOE25'!L299+'DOE25'!L318,0)</f>
        <v>1383236</v>
      </c>
      <c r="D13" s="132">
        <f>ROUND((C13/$C$28)*100,1)</f>
        <v>5.6</v>
      </c>
    </row>
    <row r="14" spans="1:4" x14ac:dyDescent="0.2">
      <c r="D14" s="132"/>
    </row>
    <row r="15" spans="1:4" x14ac:dyDescent="0.2">
      <c r="A15">
        <v>2100</v>
      </c>
      <c r="B15" t="s">
        <v>706</v>
      </c>
      <c r="C15" s="129">
        <f>ROUND('DOE25'!L203+'DOE25'!L221+'DOE25'!L239+'DOE25'!L282+'DOE25'!L301+'DOE25'!L320,0)</f>
        <v>2313241</v>
      </c>
      <c r="D15" s="132">
        <f t="shared" ref="D15:D27" si="0">ROUND((C15/$C$28)*100,1)</f>
        <v>9.3000000000000007</v>
      </c>
    </row>
    <row r="16" spans="1:4" x14ac:dyDescent="0.2">
      <c r="A16">
        <v>2200</v>
      </c>
      <c r="B16" t="s">
        <v>707</v>
      </c>
      <c r="C16" s="129">
        <f>ROUND('DOE25'!L204+'DOE25'!L222+'DOE25'!L240+'DOE25'!L283+'DOE25'!L302+'DOE25'!L321,0)</f>
        <v>918547</v>
      </c>
      <c r="D16" s="132">
        <f t="shared" si="0"/>
        <v>3.7</v>
      </c>
    </row>
    <row r="17" spans="1:4" x14ac:dyDescent="0.2">
      <c r="A17" s="133" t="s">
        <v>723</v>
      </c>
      <c r="B17" t="s">
        <v>738</v>
      </c>
      <c r="C17" s="129">
        <f>ROUND('DOE25'!L205+'DOE25'!L210+'DOE25'!L223+'DOE25'!L228+'DOE25'!L241+'DOE25'!L246+'DOE25'!L284+'DOE25'!L289+'DOE25'!L303+'DOE25'!L308+'DOE25'!L322+'DOE25'!L327,0)</f>
        <v>1155443</v>
      </c>
      <c r="D17" s="132">
        <f t="shared" si="0"/>
        <v>4.7</v>
      </c>
    </row>
    <row r="18" spans="1:4" x14ac:dyDescent="0.2">
      <c r="A18">
        <v>2400</v>
      </c>
      <c r="B18" t="s">
        <v>711</v>
      </c>
      <c r="C18" s="129">
        <f>ROUND('DOE25'!L206+'DOE25'!L224+'DOE25'!L242+'DOE25'!L285+'DOE25'!L304+'DOE25'!L323,0)</f>
        <v>1431311</v>
      </c>
      <c r="D18" s="132">
        <f t="shared" si="0"/>
        <v>5.8</v>
      </c>
    </row>
    <row r="19" spans="1:4" x14ac:dyDescent="0.2">
      <c r="A19">
        <v>2500</v>
      </c>
      <c r="B19" t="s">
        <v>708</v>
      </c>
      <c r="C19" s="129">
        <f>ROUND('DOE25'!L207+'DOE25'!L225+'DOE25'!L243+'DOE25'!L286+'DOE25'!L305+'DOE25'!L324,0)</f>
        <v>4515</v>
      </c>
      <c r="D19" s="132">
        <f t="shared" si="0"/>
        <v>0</v>
      </c>
    </row>
    <row r="20" spans="1:4" x14ac:dyDescent="0.2">
      <c r="A20">
        <v>2600</v>
      </c>
      <c r="B20" t="s">
        <v>709</v>
      </c>
      <c r="C20" s="129">
        <f>ROUND('DOE25'!L208+'DOE25'!L226+'DOE25'!L244+'DOE25'!L287+'DOE25'!L306+'DOE25'!L325,0)</f>
        <v>2182888</v>
      </c>
      <c r="D20" s="132">
        <f t="shared" si="0"/>
        <v>8.8000000000000007</v>
      </c>
    </row>
    <row r="21" spans="1:4" x14ac:dyDescent="0.2">
      <c r="A21">
        <v>2700</v>
      </c>
      <c r="B21" t="s">
        <v>710</v>
      </c>
      <c r="C21" s="129">
        <f>ROUND('DOE25'!L209+'DOE25'!L227+'DOE25'!L245+'DOE25'!L288+'DOE25'!L307+'DOE25'!L326,0)</f>
        <v>1428944</v>
      </c>
      <c r="D21" s="132">
        <f t="shared" si="0"/>
        <v>5.8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91549</v>
      </c>
      <c r="D25" s="132">
        <f t="shared" si="0"/>
        <v>0.4</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13225.129999999946</v>
      </c>
      <c r="D27" s="132">
        <f t="shared" si="0"/>
        <v>0.1</v>
      </c>
    </row>
    <row r="28" spans="1:4" x14ac:dyDescent="0.2">
      <c r="B28" s="136" t="s">
        <v>719</v>
      </c>
      <c r="C28" s="130">
        <f>SUM(C10:C27)</f>
        <v>24846070.129999999</v>
      </c>
      <c r="D28" s="134">
        <f>ROUND(SUM(D10:D27),0)</f>
        <v>100</v>
      </c>
    </row>
    <row r="29" spans="1:4" x14ac:dyDescent="0.2">
      <c r="A29">
        <v>4000</v>
      </c>
      <c r="B29" t="s">
        <v>724</v>
      </c>
      <c r="C29" s="129">
        <f>ROUND('DOE25'!L256+'DOE25'!L337+'DOE25'!L375+'DOE25'!L376+'DOE25'!L377+'DOE25'!L378+'DOE25'!L379+'DOE25'!L380+'DOE25'!L381,0)</f>
        <v>2718014</v>
      </c>
    </row>
    <row r="30" spans="1:4" x14ac:dyDescent="0.2">
      <c r="B30" s="136" t="s">
        <v>725</v>
      </c>
      <c r="C30" s="130">
        <f>SUM(C28:C29)</f>
        <v>27564084.129999999</v>
      </c>
    </row>
    <row r="31" spans="1:4" x14ac:dyDescent="0.2">
      <c r="B31" s="32"/>
      <c r="C31" s="130"/>
    </row>
    <row r="32" spans="1:4" x14ac:dyDescent="0.2">
      <c r="A32">
        <v>5100</v>
      </c>
      <c r="B32" s="32" t="s">
        <v>726</v>
      </c>
      <c r="C32" s="130">
        <f>ROUND('DOE25'!L261+'DOE25'!L342,0)</f>
        <v>940097</v>
      </c>
    </row>
    <row r="34" spans="1:4" x14ac:dyDescent="0.2">
      <c r="A34" s="136" t="s">
        <v>94</v>
      </c>
      <c r="B34" s="137" t="s">
        <v>1801</v>
      </c>
      <c r="C34" s="131" t="s">
        <v>720</v>
      </c>
      <c r="D34" s="131" t="s">
        <v>721</v>
      </c>
    </row>
    <row r="35" spans="1:4" x14ac:dyDescent="0.2">
      <c r="A35">
        <v>1100</v>
      </c>
      <c r="B35" s="71" t="s">
        <v>727</v>
      </c>
      <c r="C35" s="129">
        <f>ROUND('DOE25'!F60+'DOE25'!G60+'DOE25'!H60+'DOE25'!I60+'DOE25'!J60,0)</f>
        <v>18482832</v>
      </c>
      <c r="D35" s="132">
        <f t="shared" ref="D35:D40" si="1">ROUND((C35/$C$41)*100,1)</f>
        <v>73.2</v>
      </c>
    </row>
    <row r="36" spans="1:4" x14ac:dyDescent="0.2">
      <c r="B36" s="71" t="s">
        <v>739</v>
      </c>
      <c r="C36" s="129">
        <f>SUM('DOE25'!F112:J112)-SUM('DOE25'!G97:G110)+('DOE25'!F175+'DOE25'!F176+'DOE25'!I175+'DOE25'!I176)-C35</f>
        <v>371287.87999999896</v>
      </c>
      <c r="D36" s="132">
        <f t="shared" si="1"/>
        <v>1.5</v>
      </c>
    </row>
    <row r="37" spans="1:4" x14ac:dyDescent="0.2">
      <c r="A37" s="133" t="s">
        <v>834</v>
      </c>
      <c r="B37" s="71" t="s">
        <v>728</v>
      </c>
      <c r="C37" s="129">
        <f>ROUND('DOE25'!F117+'DOE25'!F118,0)</f>
        <v>5196121</v>
      </c>
      <c r="D37" s="132">
        <f t="shared" si="1"/>
        <v>20.6</v>
      </c>
    </row>
    <row r="38" spans="1:4" x14ac:dyDescent="0.2">
      <c r="A38" s="133" t="s">
        <v>734</v>
      </c>
      <c r="B38" s="71" t="s">
        <v>729</v>
      </c>
      <c r="C38" s="129">
        <f>ROUND(SUM('DOE25'!F140:J140)-SUM('DOE25'!F117:F119),0)</f>
        <v>721756</v>
      </c>
      <c r="D38" s="132">
        <f t="shared" si="1"/>
        <v>2.9</v>
      </c>
    </row>
    <row r="39" spans="1:4" x14ac:dyDescent="0.2">
      <c r="A39">
        <v>4000</v>
      </c>
      <c r="B39" s="71" t="s">
        <v>730</v>
      </c>
      <c r="C39" s="129">
        <f>ROUND('DOE25'!F170+'DOE25'!G170+'DOE25'!H170+'DOE25'!I170,0)</f>
        <v>494611</v>
      </c>
      <c r="D39" s="132">
        <f t="shared" si="1"/>
        <v>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25266607.879999999</v>
      </c>
      <c r="D41" s="134">
        <f>SUM(D35:D40)</f>
        <v>100.20000000000002</v>
      </c>
    </row>
    <row r="42" spans="1:4" x14ac:dyDescent="0.2">
      <c r="A42" s="133" t="s">
        <v>737</v>
      </c>
      <c r="B42" s="71" t="s">
        <v>733</v>
      </c>
      <c r="C42" s="129">
        <f>ROUND('DOE25'!F174+'DOE25'!I174+'DOE25'!F177+'DOE25'!I177,0)</f>
        <v>2886491</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4" sqref="A4"/>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Hollis-Brookline Cooperative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27</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32</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f>IF('School Level Expenditures'!$B$2='School Tables'!L30,'School Tables'!S30,"")</f>
        <v>27</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f>IF('School Level Expenditures'!$B$2='School Tables'!W35,'School Tables'!AD35,"")</f>
        <v>32</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2023-09-27T20:33:02Z</cp:lastPrinted>
  <dcterms:created xsi:type="dcterms:W3CDTF">1997-12-04T19:04:30Z</dcterms:created>
  <dcterms:modified xsi:type="dcterms:W3CDTF">2023-12-28T18:41:24Z</dcterms:modified>
</cp:coreProperties>
</file>