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25EF59A7-D138-4875-B248-239CBFB5C721}"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H583" i="1" l="1"/>
  <c r="G583" i="1"/>
  <c r="F583" i="1"/>
  <c r="H155" i="1" l="1"/>
  <c r="G369" i="1" l="1"/>
  <c r="G368" i="1"/>
  <c r="F369" i="1"/>
  <c r="F368" i="1"/>
  <c r="H596" i="1"/>
  <c r="G40" i="1"/>
  <c r="H159" i="1" l="1"/>
  <c r="G460" i="1"/>
  <c r="F110" i="1"/>
  <c r="F101"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H605" i="1" s="1"/>
  <c r="K212" i="1"/>
  <c r="F230" i="1"/>
  <c r="G230" i="1"/>
  <c r="H230" i="1"/>
  <c r="I230" i="1"/>
  <c r="J230" i="1"/>
  <c r="I605" i="1" s="1"/>
  <c r="I606" i="1" s="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H447" i="1"/>
  <c r="G642" i="1" s="1"/>
  <c r="F453" i="1"/>
  <c r="G453" i="1"/>
  <c r="H453" i="1"/>
  <c r="F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J606" i="1"/>
  <c r="F615" i="1"/>
  <c r="G615" i="1"/>
  <c r="H615" i="1"/>
  <c r="I615" i="1"/>
  <c r="J615" i="1"/>
  <c r="K615" i="1"/>
  <c r="G623" i="1"/>
  <c r="G624" i="1"/>
  <c r="H631" i="1"/>
  <c r="H637" i="1"/>
  <c r="G644" i="1"/>
  <c r="G645" i="1"/>
  <c r="H653" i="1"/>
  <c r="G654" i="1"/>
  <c r="H654" i="1"/>
  <c r="H655" i="1"/>
  <c r="H656" i="1"/>
  <c r="G664" i="1" l="1"/>
  <c r="I112" i="1"/>
  <c r="H135" i="2"/>
  <c r="C85" i="2"/>
  <c r="C91" i="2" s="1"/>
  <c r="G663" i="1"/>
  <c r="E111" i="2"/>
  <c r="E125" i="2"/>
  <c r="H94" i="2"/>
  <c r="E112" i="2"/>
  <c r="F85" i="2"/>
  <c r="F91" i="2" s="1"/>
  <c r="C119" i="2"/>
  <c r="C110" i="2"/>
  <c r="H80" i="2"/>
  <c r="C13" i="10"/>
  <c r="H79" i="2"/>
  <c r="H140" i="1"/>
  <c r="G62" i="2"/>
  <c r="G63" i="2" s="1"/>
  <c r="H35" i="2"/>
  <c r="H13" i="2"/>
  <c r="H9" i="2"/>
  <c r="J652" i="1"/>
  <c r="C125" i="2"/>
  <c r="G646" i="1"/>
  <c r="J140" i="1"/>
  <c r="C32" i="10"/>
  <c r="E120" i="2"/>
  <c r="F409" i="1"/>
  <c r="H644" i="1" s="1"/>
  <c r="J644" i="1" s="1"/>
  <c r="H69" i="2"/>
  <c r="H30" i="2"/>
  <c r="H28" i="2"/>
  <c r="H25" i="2"/>
  <c r="H17" i="2"/>
  <c r="A40" i="12"/>
  <c r="D29" i="13"/>
  <c r="C29" i="13" s="1"/>
  <c r="E13" i="13"/>
  <c r="C13" i="13" s="1"/>
  <c r="H43" i="2"/>
  <c r="C112" i="2"/>
  <c r="H72" i="2"/>
  <c r="E124" i="2"/>
  <c r="H29" i="2"/>
  <c r="H27" i="2"/>
  <c r="H24" i="2"/>
  <c r="H101" i="2"/>
  <c r="J112" i="1"/>
  <c r="H102" i="2"/>
  <c r="H100" i="2"/>
  <c r="H98" i="2"/>
  <c r="H73" i="2"/>
  <c r="H23" i="2"/>
  <c r="H15" i="2"/>
  <c r="H11" i="2"/>
  <c r="H143" i="2"/>
  <c r="H38" i="2"/>
  <c r="D6" i="13"/>
  <c r="C6" i="13" s="1"/>
  <c r="L2" i="14"/>
  <c r="L3" i="14" s="1"/>
  <c r="H96" i="2"/>
  <c r="H77" i="2"/>
  <c r="H89" i="2"/>
  <c r="H59" i="2"/>
  <c r="H34" i="2"/>
  <c r="M2" i="14"/>
  <c r="M3" i="14" s="1"/>
  <c r="H8" i="2"/>
  <c r="K2" i="14"/>
  <c r="K3" i="14" s="1"/>
  <c r="D18" i="13"/>
  <c r="C18" i="13" s="1"/>
  <c r="D15" i="13"/>
  <c r="C15" i="13" s="1"/>
  <c r="C121" i="2"/>
  <c r="C12" i="10"/>
  <c r="C120" i="2"/>
  <c r="I409" i="1"/>
  <c r="H99" i="2"/>
  <c r="H76" i="2"/>
  <c r="H58" i="2"/>
  <c r="H113" i="2"/>
  <c r="H132" i="2"/>
  <c r="G662" i="1"/>
  <c r="H36" i="2"/>
  <c r="H44" i="2"/>
  <c r="H48" i="2"/>
  <c r="D144" i="2"/>
  <c r="H97" i="2"/>
  <c r="H93" i="2"/>
  <c r="H87" i="2"/>
  <c r="H61" i="2"/>
  <c r="H26" i="2"/>
  <c r="H22" i="2"/>
  <c r="E121" i="2"/>
  <c r="N2" i="14"/>
  <c r="N3" i="14" s="1"/>
  <c r="G409" i="1"/>
  <c r="H646" i="1" s="1"/>
  <c r="H137"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53" i="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16" i="2"/>
  <c r="F546" i="1"/>
  <c r="H435" i="1"/>
  <c r="D103" i="2"/>
  <c r="I140" i="1"/>
  <c r="A22" i="12"/>
  <c r="J653" i="1"/>
  <c r="G572" i="1"/>
  <c r="I435" i="1"/>
  <c r="G435" i="1"/>
  <c r="I664" i="1"/>
  <c r="B17" i="16" l="1"/>
  <c r="B19" i="16" s="1"/>
  <c r="G473" i="1"/>
  <c r="H111" i="2"/>
  <c r="J194" i="1"/>
  <c r="G647" i="1" s="1"/>
  <c r="H118" i="2"/>
  <c r="H110" i="2"/>
  <c r="I663" i="1"/>
  <c r="H123" i="2"/>
  <c r="E144" i="2"/>
  <c r="J646" i="1"/>
  <c r="H125" i="2"/>
  <c r="H122" i="2"/>
  <c r="H120" i="2"/>
  <c r="G24" i="14"/>
  <c r="H24" i="14" s="1"/>
  <c r="I24" i="14" s="1"/>
  <c r="E51" i="2"/>
  <c r="E128" i="2"/>
  <c r="H124" i="2"/>
  <c r="H119" i="2"/>
  <c r="H112" i="2"/>
  <c r="H114" i="2"/>
  <c r="D51" i="2"/>
  <c r="C81" i="2"/>
  <c r="H81" i="2" s="1"/>
  <c r="H78" i="2"/>
  <c r="H42" i="2"/>
  <c r="H103" i="2"/>
  <c r="F194" i="1"/>
  <c r="I662" i="1"/>
  <c r="L572" i="1"/>
  <c r="H85" i="2"/>
  <c r="D128" i="2"/>
  <c r="D145" i="2" s="1"/>
  <c r="H127" i="2"/>
  <c r="H31" i="2"/>
  <c r="H62" i="2"/>
  <c r="H57" i="2"/>
  <c r="H134" i="2"/>
  <c r="H121" i="2"/>
  <c r="H16" i="2"/>
  <c r="H21" i="2"/>
  <c r="H91" i="2"/>
  <c r="F661" i="1"/>
  <c r="F665" i="1" s="1"/>
  <c r="F670" i="1" s="1"/>
  <c r="E115" i="2"/>
  <c r="H109" i="2"/>
  <c r="F144" i="2"/>
  <c r="H130" i="2"/>
  <c r="H661" i="1"/>
  <c r="H665" i="1" s="1"/>
  <c r="H194" i="1"/>
  <c r="H649" i="1"/>
  <c r="J649" i="1" s="1"/>
  <c r="C141" i="2"/>
  <c r="F51" i="2"/>
  <c r="G36" i="14"/>
  <c r="H36" i="14" s="1"/>
  <c r="E104" i="2"/>
  <c r="C36" i="10"/>
  <c r="L435" i="1"/>
  <c r="G104" i="2"/>
  <c r="L339" i="1"/>
  <c r="L353" i="1" s="1"/>
  <c r="I194" i="1"/>
  <c r="G631" i="1" s="1"/>
  <c r="J631" i="1" s="1"/>
  <c r="G636" i="1"/>
  <c r="D104" i="2"/>
  <c r="L409" i="1"/>
  <c r="J469" i="1" s="1"/>
  <c r="C27" i="10"/>
  <c r="C28" i="10" s="1"/>
  <c r="D23" i="10" s="1"/>
  <c r="G4" i="14"/>
  <c r="H4" i="14" s="1"/>
  <c r="I4" i="14" s="1"/>
  <c r="L546" i="1"/>
  <c r="J626" i="1"/>
  <c r="F104" i="2"/>
  <c r="B14" i="16"/>
  <c r="E33" i="13"/>
  <c r="D35" i="13" s="1"/>
  <c r="J648" i="1"/>
  <c r="L258" i="1"/>
  <c r="L272" i="1" s="1"/>
  <c r="C115" i="2"/>
  <c r="C63" i="2"/>
  <c r="C39" i="10"/>
  <c r="G33" i="13"/>
  <c r="C128" i="2"/>
  <c r="D31" i="13"/>
  <c r="C31" i="13" s="1"/>
  <c r="G661" i="1"/>
  <c r="G665" i="1" s="1"/>
  <c r="C25" i="13"/>
  <c r="I33" i="13"/>
  <c r="K553" i="1"/>
  <c r="C51" i="2"/>
  <c r="G194" i="1"/>
  <c r="C38" i="10"/>
  <c r="G629" i="1" l="1"/>
  <c r="G469" i="1"/>
  <c r="G630" i="1"/>
  <c r="H469" i="1"/>
  <c r="B22" i="16"/>
  <c r="H636" i="1"/>
  <c r="J636" i="1" s="1"/>
  <c r="G475" i="1"/>
  <c r="G634" i="1"/>
  <c r="H473" i="1"/>
  <c r="H638" i="1"/>
  <c r="J471" i="1"/>
  <c r="H632" i="1"/>
  <c r="G639" i="1"/>
  <c r="J473" i="1"/>
  <c r="G633" i="1"/>
  <c r="F473" i="1"/>
  <c r="G628" i="1"/>
  <c r="F469" i="1"/>
  <c r="G632" i="1"/>
  <c r="M24" i="14"/>
  <c r="H128" i="2"/>
  <c r="C104" i="2"/>
  <c r="H104" i="2" s="1"/>
  <c r="H63" i="2"/>
  <c r="C144" i="2"/>
  <c r="C145" i="2" s="1"/>
  <c r="H141" i="2"/>
  <c r="M36" i="14"/>
  <c r="I36" i="14"/>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G471" i="1" l="1"/>
  <c r="G477" i="1" s="1"/>
  <c r="H629" i="1"/>
  <c r="J629" i="1"/>
  <c r="H630" i="1"/>
  <c r="H471" i="1"/>
  <c r="J630" i="1"/>
  <c r="H634" i="1"/>
  <c r="J634" i="1" s="1"/>
  <c r="H475" i="1"/>
  <c r="H477" i="1" s="1"/>
  <c r="H625" i="1" s="1"/>
  <c r="J625" i="1" s="1"/>
  <c r="J638" i="1"/>
  <c r="J632" i="1"/>
  <c r="I460" i="1"/>
  <c r="G461" i="1"/>
  <c r="G462" i="1" s="1"/>
  <c r="H641" i="1" s="1"/>
  <c r="I443" i="1"/>
  <c r="G447" i="1"/>
  <c r="G641" i="1" s="1"/>
  <c r="H639" i="1"/>
  <c r="J639" i="1" s="1"/>
  <c r="J475" i="1"/>
  <c r="J477" i="1" s="1"/>
  <c r="H627" i="1" s="1"/>
  <c r="F475" i="1"/>
  <c r="H633" i="1"/>
  <c r="J633" i="1" s="1"/>
  <c r="H628" i="1"/>
  <c r="J628" i="1" s="1"/>
  <c r="F471" i="1"/>
  <c r="H144" i="2"/>
  <c r="H145" i="2"/>
  <c r="I670" i="1"/>
  <c r="I673" i="1" s="1"/>
  <c r="C7" i="10" s="1"/>
  <c r="F673" i="1"/>
  <c r="C4" i="10" s="1"/>
  <c r="I668" i="1"/>
  <c r="D28" i="10"/>
  <c r="D37" i="10"/>
  <c r="D36" i="10"/>
  <c r="D35" i="10"/>
  <c r="D40" i="10"/>
  <c r="D39" i="10"/>
  <c r="B33" i="16" l="1"/>
  <c r="H624" i="1"/>
  <c r="J624" i="1" s="1"/>
  <c r="J641" i="1"/>
  <c r="J48" i="1"/>
  <c r="I461" i="1"/>
  <c r="I462" i="1" s="1"/>
  <c r="H643" i="1" s="1"/>
  <c r="J13" i="1"/>
  <c r="I447" i="1"/>
  <c r="G643" i="1" s="1"/>
  <c r="F477" i="1"/>
  <c r="H623" i="1" s="1"/>
  <c r="D41" i="10"/>
  <c r="J643" i="1" l="1"/>
  <c r="G47" i="2"/>
  <c r="J51" i="1"/>
  <c r="G12" i="2"/>
  <c r="J19" i="1"/>
  <c r="G622" i="1" s="1"/>
  <c r="J623" i="1"/>
  <c r="J52" i="1" l="1"/>
  <c r="H622" i="1" s="1"/>
  <c r="J622" i="1" s="1"/>
  <c r="G627" i="1"/>
  <c r="H47" i="2"/>
  <c r="G50" i="2"/>
  <c r="H12" i="2"/>
  <c r="G18" i="2"/>
  <c r="H18" i="2" s="1"/>
  <c r="G51" i="2" l="1"/>
  <c r="H51" i="2" s="1"/>
  <c r="H50" i="2"/>
  <c r="J627" i="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<sst xmlns="http://schemas.openxmlformats.org/spreadsheetml/2006/main" count="6559" uniqueCount="1814">
  <si>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</si>
  <si>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</si>
  <si>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</si>
  <si>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</si>
  <si>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</si>
  <si>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</si>
  <si>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</si>
  <si>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</si>
  <si>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</si>
  <si>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</si>
  <si>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</si>
  <si>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</si>
  <si>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</si>
  <si>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</si>
  <si>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</si>
  <si>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</si>
  <si>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</si>
  <si>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</si>
  <si>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</si>
  <si>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</si>
  <si>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</si>
  <si>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</si>
  <si>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</si>
  <si>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</si>
  <si>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</si>
  <si>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</si>
  <si>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</si>
  <si>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</si>
  <si>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</si>
  <si>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</si>
  <si>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</si>
  <si>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</si>
  <si>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</si>
  <si>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</si>
  <si>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</si>
  <si>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</si>
  <si>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</si>
  <si>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</si>
  <si>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</si>
  <si>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</si>
  <si>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</si>
  <si>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</si>
  <si>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</si>
  <si>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</si>
  <si>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</si>
  <si>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</si>
  <si>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</si>
  <si>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</si>
  <si>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</si>
  <si>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</si>
  <si>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</si>
  <si>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</si>
  <si>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</si>
  <si>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</si>
  <si>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</si>
  <si>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</si>
  <si>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</si>
  <si>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</si>
  <si>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</si>
  <si>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</si>
  <si>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</si>
  <si>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</si>
  <si>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</si>
  <si>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</si>
  <si>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</si>
  <si>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</si>
  <si>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</si>
  <si>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</si>
  <si>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</si>
  <si>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</si>
  <si>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</si>
  <si>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</si>
  <si>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</si>
  <si>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</si>
  <si>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</si>
  <si>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</si>
  <si>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</si>
  <si>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</si>
  <si>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</si>
  <si>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</si>
  <si>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</si>
  <si>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</si>
  <si>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</si>
  <si>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</si>
  <si>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</si>
  <si>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</si>
  <si>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</si>
  <si>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</si>
  <si>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</si>
  <si>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</si>
  <si>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</si>
  <si>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</si>
  <si>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</si>
  <si>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</si>
  <si>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</si>
  <si>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</si>
  <si>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</si>
  <si>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</si>
  <si>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</si>
  <si>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</si>
  <si>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</si>
  <si>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</si>
  <si>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</si>
  <si>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</si>
  <si>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</si>
  <si>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</si>
  <si>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</si>
  <si>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</si>
  <si>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</si>
  <si>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</si>
  <si>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</si>
  <si>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</si>
  <si>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</si>
  <si>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</si>
  <si>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</si>
  <si>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</si>
  <si>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</si>
  <si>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</si>
  <si>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</si>
  <si>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</si>
  <si>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</si>
  <si>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</si>
  <si>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</si>
  <si>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</si>
  <si>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</si>
  <si>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</si>
  <si>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</si>
  <si>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</si>
  <si>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</si>
  <si>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</si>
  <si>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</si>
  <si>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</si>
  <si>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</si>
  <si>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</si>
  <si>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</si>
  <si>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</si>
  <si>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</si>
  <si>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</si>
  <si>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</si>
  <si>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</si>
  <si>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</si>
  <si>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</si>
  <si>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</si>
  <si>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</si>
  <si>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</si>
  <si>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</si>
  <si>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</si>
  <si>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</si>
  <si>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</si>
  <si>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</si>
  <si>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</si>
  <si>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</si>
  <si>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</si>
  <si>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</si>
  <si>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</si>
  <si>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</si>
  <si>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</si>
  <si>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</si>
  <si>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</si>
  <si>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</si>
  <si>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</si>
  <si>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</si>
  <si>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</si>
  <si>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</si>
  <si>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</si>
  <si>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</si>
  <si>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</si>
  <si>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</si>
  <si>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</si>
  <si>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</si>
  <si>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</si>
  <si>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</si>
  <si>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</si>
  <si>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</si>
  <si>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</si>
  <si>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</si>
  <si>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</si>
  <si>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</si>
  <si>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</si>
  <si>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</si>
  <si>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</si>
  <si>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</si>
  <si>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</si>
  <si>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</si>
  <si>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</si>
  <si>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</si>
  <si>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</si>
  <si>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</si>
  <si>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</si>
  <si>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</si>
  <si>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</si>
  <si>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</si>
  <si>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</si>
  <si>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</si>
  <si>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</si>
  <si>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</si>
  <si>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</si>
  <si>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</si>
  <si>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</si>
  <si>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</si>
  <si>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</si>
  <si>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</si>
  <si>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</si>
  <si>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</si>
  <si>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</si>
  <si>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</si>
  <si>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</si>
  <si>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</si>
  <si>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</si>
  <si>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</si>
  <si>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</si>
  <si>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</si>
  <si>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</si>
  <si>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</si>
  <si>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</si>
  <si>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</si>
  <si>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</si>
  <si>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</si>
  <si>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</si>
  <si>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</si>
  <si>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</si>
  <si>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</si>
  <si>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</si>
  <si>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</si>
  <si>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</si>
  <si>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</si>
  <si>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</si>
  <si>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</si>
  <si>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</si>
  <si>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</si>
  <si>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</si>
  <si>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</si>
  <si>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</si>
  <si>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</si>
  <si>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</si>
  <si>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</si>
  <si>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</si>
  <si>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</si>
  <si>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</si>
  <si>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</si>
  <si>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</si>
  <si>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</si>
  <si>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</si>
  <si>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</si>
  <si>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</si>
  <si>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</si>
  <si>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</si>
  <si>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</si>
  <si>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</si>
  <si>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</si>
  <si>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</si>
  <si>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</si>
  <si>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</si>
  <si>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</si>
  <si>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</si>
  <si>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</si>
  <si>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</si>
  <si>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</si>
  <si>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</si>
  <si>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</si>
  <si>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</si>
  <si>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</si>
  <si>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</si>
  <si>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</si>
  <si>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</si>
  <si>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</si>
  <si>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</si>
  <si>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</si>
  <si>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</si>
  <si>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</si>
  <si>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</si>
  <si>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</si>
  <si>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</si>
  <si>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</si>
  <si>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</si>
  <si>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</si>
  <si>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</si>
  <si>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</si>
  <si>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</si>
  <si>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</si>
  <si>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</si>
  <si>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</si>
  <si>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</si>
  <si>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</si>
  <si>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</si>
  <si>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</si>
  <si>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</si>
  <si>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</si>
  <si>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</si>
  <si>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</si>
  <si>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</si>
  <si>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</si>
  <si>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</si>
  <si>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</si>
  <si>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</si>
  <si>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</si>
  <si>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</si>
  <si>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</si>
  <si>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</si>
  <si>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</si>
  <si>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</si>
  <si>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</si>
  <si>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</si>
  <si>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</si>
  <si>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</si>
  <si>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</si>
  <si>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</si>
  <si>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</si>
  <si>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</si>
  <si>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</si>
  <si>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</si>
  <si>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</si>
  <si>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</si>
  <si>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</si>
  <si>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</si>
  <si>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</si>
  <si>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</si>
  <si>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</si>
  <si>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</si>
  <si>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</si>
  <si>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</si>
  <si>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</si>
  <si>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</si>
  <si>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</si>
  <si>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</si>
  <si>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</si>
  <si>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</si>
  <si>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</si>
  <si>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</si>
  <si>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</si>
  <si>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</si>
  <si>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</si>
  <si>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</si>
  <si>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</si>
  <si>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</si>
  <si>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</si>
  <si>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</si>
  <si>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</si>
  <si>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</si>
  <si>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</si>
  <si>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</si>
  <si>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</si>
  <si>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</si>
  <si>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</si>
  <si>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</si>
  <si>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</si>
  <si>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</si>
  <si>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</si>
  <si>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</si>
  <si>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</si>
  <si>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</si>
  <si>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</si>
  <si>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</si>
  <si>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</si>
  <si>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</si>
  <si>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</si>
  <si>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</si>
  <si>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</si>
  <si>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</si>
  <si>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</si>
  <si>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</si>
  <si>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</si>
  <si>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</si>
  <si>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</si>
  <si>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</si>
  <si>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</si>
  <si>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</si>
  <si>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</si>
  <si>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</si>
  <si>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</si>
  <si>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</si>
  <si>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</si>
  <si>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</si>
  <si>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</si>
  <si>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</si>
  <si>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</si>
  <si>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</si>
  <si>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</si>
  <si>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</si>
  <si>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</si>
  <si>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</si>
  <si>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</si>
  <si>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</si>
  <si>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</si>
  <si>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</si>
  <si>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</si>
  <si>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</si>
  <si>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</si>
  <si>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</si>
  <si>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</si>
  <si>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</si>
  <si>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</si>
  <si>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</si>
  <si>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</si>
  <si>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</si>
  <si>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</si>
  <si>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</si>
  <si>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</si>
  <si>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</si>
  <si>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</si>
  <si>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</si>
  <si>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</si>
  <si>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</si>
  <si>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</si>
  <si>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</si>
  <si>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</si>
  <si>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</si>
  <si>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</si>
  <si>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</si>
  <si>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</si>
  <si>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</si>
  <si>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</si>
  <si>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</si>
  <si>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</si>
  <si>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</si>
  <si>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</si>
  <si>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</si>
  <si>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</si>
  <si>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</si>
  <si>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</si>
  <si>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</si>
  <si>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</si>
  <si>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</si>
  <si>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</si>
  <si>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</si>
  <si>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</si>
  <si>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</si>
  <si>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</si>
  <si>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</si>
  <si>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</si>
  <si>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</si>
  <si>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</si>
  <si>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</si>
  <si>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</si>
  <si>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</si>
  <si>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</si>
  <si>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</si>
  <si>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</si>
  <si>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</si>
  <si>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</si>
  <si>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</si>
  <si>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</si>
  <si>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</si>
  <si>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</si>
  <si>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</si>
  <si>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</si>
  <si>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</si>
  <si>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</si>
  <si>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</si>
  <si>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</si>
  <si>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</si>
  <si>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</si>
  <si>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</si>
  <si>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</si>
  <si>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</si>
  <si>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</si>
  <si>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</si>
  <si>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</si>
  <si>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</si>
  <si>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</si>
  <si>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</si>
  <si>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</si>
  <si>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</si>
  <si>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</si>
  <si>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</si>
  <si>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</si>
  <si>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</si>
  <si>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</si>
  <si>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</si>
  <si>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</si>
  <si>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</si>
  <si>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</si>
  <si>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</si>
  <si>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</si>
  <si>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</si>
  <si>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</si>
  <si>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</si>
  <si>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</si>
  <si>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</si>
  <si>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</si>
  <si>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</si>
  <si>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</si>
  <si>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</si>
  <si>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</si>
  <si>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</si>
  <si>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</si>
  <si>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</si>
  <si>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</si>
  <si>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</si>
  <si>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</si>
  <si>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</si>
  <si>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</si>
  <si>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</si>
  <si>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</si>
  <si>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</si>
  <si>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</si>
  <si>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</si>
  <si>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</si>
  <si>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</si>
  <si>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</si>
  <si>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</si>
  <si>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</si>
  <si>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</si>
  <si>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</si>
  <si>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</si>
  <si>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</si>
  <si>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</si>
  <si>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</si>
  <si>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</si>
  <si>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</si>
  <si>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</si>
  <si>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</si>
  <si>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</si>
  <si>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</si>
  <si>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</si>
  <si>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</si>
  <si>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</si>
  <si>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</si>
  <si>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</si>
  <si>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</si>
  <si>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</si>
  <si>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</si>
  <si>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</si>
  <si>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</si>
  <si>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</si>
  <si>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</si>
  <si>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</si>
  <si>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</si>
  <si>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</si>
  <si>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</si>
  <si>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</si>
  <si>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</si>
  <si>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</si>
  <si>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</si>
  <si>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</si>
  <si>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</si>
  <si>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</si>
  <si>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</si>
  <si>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</si>
  <si>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</si>
  <si>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</si>
  <si>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</si>
  <si>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</si>
  <si>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</si>
  <si>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</si>
  <si>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</si>
  <si>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</si>
  <si>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</si>
  <si>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</si>
  <si>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</si>
  <si>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</si>
  <si>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</si>
  <si>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</si>
  <si>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</si>
  <si>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</si>
  <si>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</si>
  <si>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</si>
  <si>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</si>
  <si>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</si>
  <si>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</si>
  <si>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</si>
  <si>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</si>
  <si>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</si>
  <si>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</si>
  <si>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</si>
  <si>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</si>
  <si>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</si>
  <si>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</si>
  <si>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</si>
  <si>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</si>
  <si>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</si>
  <si>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</si>
  <si>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</si>
  <si>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</si>
  <si>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</si>
  <si>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</si>
  <si>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</si>
  <si>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</si>
  <si>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</si>
  <si>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</si>
  <si>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</si>
  <si>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</si>
  <si>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</si>
  <si>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</si>
  <si>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</si>
  <si>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</si>
  <si>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</si>
  <si>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</si>
  <si>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</si>
  <si>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</si>
  <si>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</si>
  <si>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</si>
  <si>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</si>
  <si>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</si>
  <si>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</si>
  <si>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</si>
  <si>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</si>
  <si>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</si>
  <si>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</si>
  <si>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</si>
  <si>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</si>
  <si>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</si>
  <si>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</si>
  <si>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</si>
  <si>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</si>
  <si>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</si>
  <si>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</si>
  <si>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</si>
  <si>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</si>
  <si>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</si>
  <si>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</si>
  <si>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</si>
  <si>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</si>
  <si>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</si>
  <si>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</si>
  <si>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</si>
  <si>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</si>
  <si>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</si>
  <si>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</si>
  <si>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</si>
  <si>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</si>
  <si>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</si>
  <si>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</si>
  <si>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</si>
  <si>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</si>
  <si>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</si>
  <si>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</si>
  <si>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</si>
  <si>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</si>
  <si>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</si>
  <si>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</si>
  <si>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</si>
  <si>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</si>
  <si>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</si>
  <si>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</si>
  <si>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</si>
  <si>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</si>
  <si>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</si>
  <si>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</si>
  <si>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</si>
  <si>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</si>
  <si>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</si>
  <si>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</si>
  <si>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</si>
  <si>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</si>
  <si>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</si>
  <si>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</si>
  <si>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</si>
  <si>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</si>
  <si>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</si>
  <si>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</si>
  <si>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</si>
  <si>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</si>
  <si>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</si>
  <si>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</si>
  <si>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</si>
  <si>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</si>
  <si>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</si>
  <si>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</si>
  <si>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</si>
  <si>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</si>
  <si>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</si>
  <si>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</si>
  <si>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</si>
  <si>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</si>
  <si>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</si>
  <si>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</si>
  <si>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</si>
  <si>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</si>
  <si>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</si>
  <si>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</si>
  <si>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</si>
  <si>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</si>
  <si>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</si>
  <si>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</si>
  <si>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</si>
  <si>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</si>
  <si>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</si>
  <si>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</si>
  <si>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</si>
  <si>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</si>
  <si>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</si>
  <si>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</si>
  <si>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</si>
  <si>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</si>
  <si>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</si>
  <si>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</si>
  <si>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</si>
  <si>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</si>
  <si>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</si>
  <si>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</si>
  <si>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</si>
  <si>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</si>
  <si>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</si>
  <si>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</si>
  <si>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</si>
  <si>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</si>
  <si>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</si>
  <si>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</si>
  <si>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</si>
  <si>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</si>
  <si>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</si>
  <si>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</si>
  <si>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</si>
  <si>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</si>
  <si>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</si>
  <si>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</si>
  <si>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</si>
  <si>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</si>
  <si>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</si>
  <si>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</si>
  <si>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</si>
  <si>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</si>
  <si>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</si>
  <si>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</si>
  <si>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</si>
  <si>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</si>
  <si>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</si>
  <si>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</si>
  <si>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</si>
  <si>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</si>
  <si>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</si>
  <si>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</si>
  <si>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</si>
  <si>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</si>
  <si>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</si>
  <si>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</si>
  <si>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</si>
  <si>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</si>
  <si>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</si>
  <si>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</si>
  <si>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</si>
  <si>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</si>
  <si>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</si>
  <si>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</si>
  <si>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</si>
  <si>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</si>
  <si>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</si>
  <si>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</si>
  <si>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</si>
  <si>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</si>
  <si>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</si>
  <si>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</si>
  <si>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</si>
  <si>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</si>
  <si>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</si>
  <si>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</si>
  <si>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</si>
  <si>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</si>
  <si>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</si>
  <si>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</si>
  <si>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</si>
  <si>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</si>
  <si>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</si>
  <si>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</si>
  <si>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</si>
  <si>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</si>
  <si>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</si>
  <si>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</si>
  <si>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</si>
  <si>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</si>
  <si>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</si>
  <si>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</si>
  <si>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</si>
  <si>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</si>
  <si>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</si>
  <si>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</si>
  <si>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</si>
  <si>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</si>
  <si>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</si>
  <si>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</si>
  <si>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</si>
  <si>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</si>
  <si>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</si>
  <si>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</si>
  <si>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</si>
  <si>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</si>
  <si>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</si>
  <si>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</si>
  <si>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</si>
  <si>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</si>
  <si>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</si>
  <si>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</si>
  <si>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</si>
  <si>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</si>
  <si>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</si>
  <si>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</si>
  <si>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</si>
  <si>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</si>
  <si>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</si>
  <si>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</si>
  <si>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</si>
  <si>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</si>
  <si>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</si>
  <si>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</si>
  <si>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</si>
  <si>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</si>
  <si>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</si>
  <si>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</si>
  <si>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</si>
  <si>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</si>
  <si>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</si>
  <si>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</si>
  <si>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</si>
  <si>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</si>
  <si>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</si>
  <si>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</si>
  <si>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</si>
  <si>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</si>
  <si>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</si>
  <si>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</si>
  <si>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</si>
  <si>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</si>
  <si>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</si>
  <si>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</si>
  <si>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</si>
  <si>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</si>
  <si>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</si>
  <si>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</si>
  <si>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</si>
  <si>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</si>
  <si>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</si>
  <si>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</si>
  <si>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</si>
  <si>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</si>
  <si>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</si>
  <si>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</si>
  <si>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</si>
  <si>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</si>
  <si>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</si>
  <si>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</si>
  <si>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</si>
  <si>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</si>
  <si>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</si>
  <si>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</si>
  <si>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</si>
  <si>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</si>
  <si>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</si>
  <si>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</si>
  <si>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</si>
  <si>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</si>
  <si>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</si>
  <si>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</si>
  <si>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</si>
  <si>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</si>
  <si>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</si>
  <si>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</si>
  <si>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</si>
  <si>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</si>
  <si>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</si>
  <si>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</si>
  <si>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</si>
  <si>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</si>
  <si>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</si>
  <si>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</si>
  <si>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</si>
  <si>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</si>
  <si>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</si>
  <si>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</si>
  <si>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</si>
  <si>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</si>
  <si>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</si>
  <si>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</si>
  <si>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</si>
  <si>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</si>
  <si>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</si>
  <si>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</si>
  <si>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</si>
  <si>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</si>
  <si>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</si>
  <si>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</si>
  <si>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</si>
  <si>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</si>
  <si>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</si>
  <si>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</si>
  <si>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</si>
  <si>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</si>
  <si>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</si>
  <si>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</si>
  <si>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</si>
  <si>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</si>
  <si>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</si>
  <si>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</si>
  <si>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</si>
  <si>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</si>
  <si>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</si>
  <si>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</si>
  <si>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</si>
  <si>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</si>
  <si>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</si>
  <si>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</si>
  <si>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</si>
  <si>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</si>
  <si>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</si>
  <si>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</si>
  <si>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</si>
  <si>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</si>
  <si>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</si>
  <si>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</si>
  <si>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</si>
  <si>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</si>
  <si>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</si>
  <si>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</si>
  <si>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</si>
  <si>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</si>
  <si>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</si>
  <si>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</si>
  <si>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</si>
  <si>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</si>
  <si>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</si>
  <si>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</si>
  <si>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</si>
  <si>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</si>
  <si>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</si>
  <si>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</si>
  <si>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</si>
  <si>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</si>
  <si>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</si>
  <si>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</si>
  <si>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</si>
  <si>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</si>
  <si>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</si>
  <si>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</si>
  <si>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</si>
  <si>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</si>
  <si>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</si>
  <si>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</si>
  <si>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</si>
  <si>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</si>
  <si>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</si>
  <si>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</si>
  <si>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</si>
  <si>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</si>
  <si>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</si>
  <si>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</si>
  <si>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</si>
  <si>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</si>
  <si>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</si>
  <si>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</si>
  <si>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</si>
  <si>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</si>
  <si>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</si>
  <si>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</si>
  <si>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</si>
  <si>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</si>
  <si>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</si>
  <si>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</si>
  <si>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</si>
  <si>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</si>
  <si>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</si>
  <si>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</si>
  <si>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</si>
  <si>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</si>
  <si>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</si>
  <si>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</si>
  <si>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</si>
  <si>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</si>
  <si>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</si>
  <si>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</si>
  <si>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</si>
  <si>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</si>
  <si>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</si>
  <si>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</si>
  <si>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</si>
  <si>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</si>
  <si>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</si>
  <si>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</si>
  <si>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</si>
  <si>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</si>
  <si>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</si>
  <si>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</si>
  <si>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</si>
  <si>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</si>
  <si>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</si>
  <si>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</si>
  <si>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</si>
  <si>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</si>
  <si>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</si>
  <si>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</si>
  <si>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</si>
  <si>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</si>
  <si>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</si>
  <si>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</si>
  <si>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</si>
  <si>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</si>
  <si>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</si>
  <si>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</si>
  <si>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</si>
  <si>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</si>
  <si>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</si>
  <si>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</si>
  <si>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</si>
  <si>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</si>
  <si>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</si>
  <si>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</si>
  <si>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</si>
  <si>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</si>
  <si>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</si>
  <si>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</si>
  <si>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</si>
  <si>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</si>
  <si>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</si>
  <si>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</si>
  <si>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</si>
  <si>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</si>
  <si>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</si>
  <si>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</si>
  <si>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</si>
  <si>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</si>
  <si>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</si>
  <si>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</si>
  <si>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</si>
  <si>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</si>
  <si>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</si>
  <si>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</si>
  <si>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</si>
  <si>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</si>
  <si>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</si>
  <si>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</si>
  <si>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</si>
  <si>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</si>
  <si>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</si>
  <si>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</si>
  <si>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</si>
  <si>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</si>
  <si>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</si>
  <si>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</si>
  <si>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</si>
  <si>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</si>
  <si>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</si>
  <si>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</si>
  <si>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</si>
  <si>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</si>
  <si>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</si>
  <si>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</si>
  <si>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</si>
  <si>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</si>
  <si>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</si>
  <si>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</si>
  <si>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</si>
  <si>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</si>
  <si>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</si>
  <si>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</si>
  <si>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</si>
  <si>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</si>
  <si>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</si>
  <si>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</si>
  <si>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</si>
  <si>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</si>
  <si>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</si>
  <si>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</si>
  <si>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</si>
  <si>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</si>
  <si>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</si>
  <si>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</si>
  <si>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</si>
  <si>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</si>
  <si>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</si>
  <si>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</si>
  <si>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</si>
  <si>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</si>
  <si>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</si>
  <si>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</si>
  <si>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</si>
  <si>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</si>
  <si>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</si>
  <si>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</si>
  <si>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</si>
  <si>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</si>
  <si>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</si>
  <si>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</si>
  <si>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</si>
  <si>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</si>
  <si>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</si>
  <si>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</si>
  <si>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</si>
  <si>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</si>
  <si>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</si>
  <si>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</si>
  <si>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</si>
  <si>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</si>
  <si>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</si>
  <si>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</si>
  <si>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</si>
  <si>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</si>
  <si>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</si>
  <si>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</si>
  <si>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</si>
  <si>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</si>
  <si>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</si>
  <si>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</si>
  <si>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</si>
  <si>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</si>
  <si>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</si>
  <si>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</si>
  <si>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</si>
  <si>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</si>
  <si>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</si>
  <si>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</si>
  <si>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</si>
  <si>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</si>
  <si>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</si>
  <si>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</si>
  <si>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</si>
  <si>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</si>
  <si>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</si>
  <si>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</si>
  <si>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</si>
  <si>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</si>
  <si>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</si>
  <si>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</si>
  <si>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</si>
  <si>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</si>
  <si>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</si>
  <si>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</si>
  <si>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</si>
  <si>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</si>
  <si>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</si>
  <si>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</si>
  <si>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</si>
  <si>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</si>
  <si>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</si>
  <si>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</si>
  <si>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</si>
  <si>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</si>
  <si>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</si>
  <si>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</si>
  <si>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</si>
  <si>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</si>
  <si>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</si>
  <si>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</si>
  <si>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</si>
  <si>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</si>
  <si>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</si>
  <si>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</si>
  <si>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</si>
  <si>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</si>
  <si>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</si>
  <si>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</si>
  <si>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</si>
  <si>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</si>
  <si>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</si>
  <si>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</si>
  <si>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</si>
  <si>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</si>
  <si>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</si>
  <si>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</si>
  <si>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</si>
  <si>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</si>
  <si>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</si>
  <si>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</si>
  <si>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</si>
  <si>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</si>
  <si>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</si>
  <si>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</si>
  <si>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</si>
  <si>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</si>
  <si>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</si>
  <si>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</si>
  <si>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</si>
  <si>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</si>
  <si>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</si>
  <si>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</si>
  <si>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</si>
  <si>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</si>
  <si>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</si>
  <si>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</si>
  <si>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</si>
  <si>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</si>
  <si>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</si>
  <si>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</si>
  <si>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</si>
  <si>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</si>
  <si>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</si>
  <si>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</si>
  <si>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</si>
  <si>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</si>
  <si>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</si>
  <si>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</si>
  <si>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</si>
  <si>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</si>
  <si>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</si>
  <si>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</si>
  <si>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</si>
  <si>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</si>
  <si>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</si>
  <si>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</si>
  <si>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</si>
  <si>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</si>
  <si>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</si>
  <si>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</si>
  <si>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</si>
  <si>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</si>
  <si>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</si>
  <si>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</si>
  <si>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</si>
  <si>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</si>
  <si>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</si>
  <si>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</si>
  <si>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</si>
  <si>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</si>
  <si>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</si>
  <si>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</si>
  <si>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</si>
  <si>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</si>
  <si>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</si>
  <si>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</si>
  <si>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</si>
  <si>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</si>
  <si>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</si>
  <si>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</si>
  <si>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</si>
  <si>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</si>
  <si>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</si>
  <si>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</si>
  <si>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</si>
  <si>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</si>
  <si>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</si>
  <si>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</si>
  <si>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</si>
  <si>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</si>
  <si>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</si>
  <si>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</si>
  <si>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</si>
  <si>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</si>
  <si>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</si>
  <si>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</si>
  <si>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</si>
  <si>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</si>
  <si>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</si>
  <si>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</si>
  <si>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</si>
  <si>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</si>
  <si>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</si>
  <si>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</si>
  <si>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</si>
  <si>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</si>
  <si>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</si>
  <si>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</si>
  <si>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</si>
  <si>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</si>
  <si>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</si>
  <si>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</si>
  <si>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</si>
  <si>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</si>
  <si>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</si>
  <si>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</si>
  <si>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</si>
  <si>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</si>
  <si>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</si>
  <si>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</si>
  <si>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</si>
  <si>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</si>
  <si>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</si>
  <si>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</si>
  <si>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</si>
  <si>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</si>
  <si>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</si>
  <si>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</si>
  <si>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</si>
  <si>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</si>
  <si>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</si>
  <si>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</si>
  <si>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</si>
  <si>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</si>
  <si>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</si>
  <si>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</si>
  <si>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</si>
  <si>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</si>
  <si>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</si>
  <si>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</si>
  <si>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</si>
  <si>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</si>
  <si>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</si>
  <si>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</si>
  <si>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</si>
  <si>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</si>
  <si>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</si>
  <si>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</si>
  <si>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</si>
  <si>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</si>
  <si>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</si>
  <si>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</si>
  <si>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</si>
  <si>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</si>
  <si>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</si>
  <si>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</si>
  <si>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</si>
  <si>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</si>
  <si>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</si>
  <si>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</si>
  <si>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</si>
  <si>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</si>
  <si>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</si>
  <si>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</si>
  <si>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</si>
  <si>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</si>
  <si>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</si>
  <si>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</si>
  <si>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</si>
  <si>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</si>
  <si>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</si>
  <si>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</si>
  <si>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</si>
  <si>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</si>
  <si>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</si>
  <si>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</si>
  <si>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</si>
  <si>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</si>
  <si>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</si>
  <si>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</si>
  <si>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</si>
  <si>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</si>
  <si>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</si>
  <si>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</si>
  <si>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</si>
  <si>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</si>
  <si>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</si>
  <si>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</si>
  <si>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</si>
  <si>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</si>
  <si>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</si>
  <si>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</si>
  <si>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</si>
  <si>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</si>
  <si>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</si>
  <si>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</si>
  <si>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</si>
  <si>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</si>
  <si>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</si>
  <si>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</si>
  <si>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</si>
  <si>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</si>
  <si>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</si>
  <si>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</si>
  <si>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</si>
  <si>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</si>
  <si>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</si>
  <si>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</si>
  <si>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</si>
  <si>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</si>
  <si>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</si>
  <si>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</si>
  <si>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</si>
  <si>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</si>
  <si>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</si>
  <si>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</si>
  <si>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</si>
  <si>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</si>
  <si>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</si>
  <si>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</si>
  <si>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</si>
  <si>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</si>
  <si>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</si>
  <si>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</si>
  <si>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</si>
  <si>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</si>
  <si>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</si>
  <si>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</si>
  <si>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</si>
  <si>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</si>
  <si>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</si>
  <si>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</si>
  <si>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</si>
  <si>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</si>
  <si>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</si>
  <si>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</si>
  <si>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</si>
  <si>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</si>
  <si>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</si>
  <si>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</si>
  <si>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</si>
  <si>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</si>
  <si>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</si>
  <si>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</si>
  <si>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</si>
  <si>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</si>
  <si>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</si>
  <si>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</si>
  <si>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</si>
  <si>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</si>
  <si>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</si>
  <si>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</si>
  <si>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</si>
  <si>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</si>
  <si>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</si>
  <si>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</si>
  <si>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</si>
  <si>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</si>
  <si>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</si>
  <si>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</si>
  <si>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</si>
  <si>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</si>
  <si>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</si>
  <si>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</si>
  <si>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</si>
  <si>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</si>
  <si>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</si>
  <si>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</si>
  <si>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</si>
  <si>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</si>
  <si>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</si>
  <si>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</si>
  <si>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</si>
  <si>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</si>
  <si>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</si>
  <si>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</si>
  <si>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</si>
  <si>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</si>
  <si>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</si>
  <si>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</si>
  <si>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</si>
  <si>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</si>
  <si>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</si>
  <si>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</si>
  <si>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</si>
  <si>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</si>
  <si>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</si>
  <si>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</si>
  <si>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</si>
  <si>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</si>
  <si>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</si>
  <si>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</si>
  <si>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</si>
  <si>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</si>
  <si>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</si>
  <si>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</si>
  <si>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</si>
  <si>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</si>
  <si>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</si>
  <si>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</si>
  <si>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</si>
  <si>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</si>
  <si>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</si>
  <si>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</si>
  <si>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</si>
  <si>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</si>
  <si>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</si>
  <si>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</si>
  <si>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</si>
  <si>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</si>
  <si>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</si>
  <si>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</si>
  <si>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</si>
  <si>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</si>
  <si>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</si>
  <si>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</si>
  <si>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</si>
  <si>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</si>
  <si>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</si>
  <si>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</si>
  <si>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</si>
  <si>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</si>
  <si>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</si>
  <si>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</si>
  <si>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</si>
  <si>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</si>
  <si>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</si>
  <si>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</si>
  <si>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</si>
  <si>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</si>
  <si>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</si>
  <si>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</si>
  <si>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</si>
  <si>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</si>
  <si>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</si>
  <si>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</si>
  <si>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</si>
  <si>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</si>
  <si>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</si>
  <si>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</si>
  <si>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</si>
  <si>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</si>
  <si>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</si>
  <si>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</si>
  <si>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</si>
  <si>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</si>
  <si>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</si>
  <si>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</si>
  <si>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</si>
  <si>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</si>
  <si>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</si>
  <si>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</si>
  <si>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</si>
  <si>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</si>
  <si>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</si>
  <si>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</si>
  <si>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</si>
  <si>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</si>
  <si>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</si>
  <si>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</si>
  <si>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</si>
  <si>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</si>
  <si>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</si>
  <si>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</si>
  <si>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</si>
  <si>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</si>
  <si>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</si>
  <si>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</si>
  <si>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</si>
  <si>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</si>
  <si>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</si>
  <si>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</si>
  <si>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</si>
  <si>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</si>
  <si>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</si>
  <si>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</si>
  <si>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</si>
  <si>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</si>
  <si>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</si>
  <si>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</si>
  <si>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</si>
  <si>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</si>
  <si>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</si>
  <si>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</si>
  <si>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</si>
  <si>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</si>
  <si>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</si>
  <si>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</si>
  <si>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</si>
  <si>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</si>
  <si>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</si>
  <si>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</si>
  <si>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</si>
  <si>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</si>
  <si>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</si>
  <si>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</si>
  <si>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</si>
  <si>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</si>
  <si>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</si>
  <si>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</si>
  <si>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</si>
  <si>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</si>
  <si>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</si>
  <si>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</si>
  <si>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</si>
  <si>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</si>
  <si>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</si>
  <si>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</si>
  <si>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</si>
  <si>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</si>
  <si>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</si>
  <si>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</si>
  <si>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</si>
  <si>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</si>
  <si>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</si>
  <si>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</si>
  <si>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</si>
  <si>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</si>
  <si>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</si>
  <si>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</si>
  <si>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</si>
  <si>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</si>
  <si>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</si>
  <si>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</si>
  <si>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</si>
  <si>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</si>
  <si>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</si>
  <si>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</si>
  <si>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</si>
  <si>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</si>
  <si>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</si>
  <si>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</si>
  <si>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</si>
  <si>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</si>
  <si>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</si>
  <si>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</si>
  <si>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</si>
  <si>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</si>
  <si>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</si>
  <si>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</si>
  <si>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</si>
  <si>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</si>
  <si>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</si>
  <si>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</si>
  <si>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</si>
  <si>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</si>
  <si>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</si>
  <si>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</si>
  <si>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</si>
  <si>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</si>
  <si>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</si>
  <si>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</si>
  <si>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</si>
  <si>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</si>
  <si>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</si>
  <si>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</si>
  <si>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</si>
  <si>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</si>
  <si>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</si>
  <si>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</si>
  <si>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</si>
  <si>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</si>
  <si>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</si>
  <si>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</si>
  <si>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</si>
  <si>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</si>
  <si>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</si>
  <si>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</si>
  <si>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</si>
  <si>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</si>
  <si>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</si>
  <si>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</si>
  <si>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</si>
  <si>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</si>
  <si>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</si>
  <si>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</si>
  <si>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</si>
  <si>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</si>
  <si>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</si>
  <si>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</si>
  <si>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</si>
  <si>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</si>
  <si>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</si>
  <si>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</si>
  <si>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</si>
  <si>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</si>
  <si>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</si>
  <si>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</si>
  <si>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</si>
  <si>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</si>
  <si>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</si>
  <si>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</si>
  <si>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</si>
  <si>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</si>
  <si>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</si>
  <si>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</si>
  <si>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</si>
  <si>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</si>
  <si>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</si>
  <si>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</si>
  <si>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</si>
  <si>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</si>
  <si>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</si>
  <si>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</si>
  <si>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</si>
  <si>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</si>
  <si>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</si>
  <si>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</si>
  <si>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</si>
  <si>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</si>
  <si>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</si>
  <si>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</si>
  <si>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</si>
  <si>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</si>
  <si>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</si>
  <si>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</si>
  <si>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</si>
  <si>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</si>
  <si>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</si>
  <si>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</si>
  <si>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</si>
  <si>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</si>
  <si>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</si>
  <si>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</si>
  <si>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</si>
  <si>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</si>
  <si>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</si>
  <si>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</si>
  <si>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</si>
  <si>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</si>
  <si>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</si>
  <si>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</si>
  <si>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</si>
  <si>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</si>
  <si>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</si>
  <si>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</si>
  <si>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</si>
  <si>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</si>
  <si>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</si>
  <si>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</si>
  <si>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</si>
  <si>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</si>
  <si>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</si>
  <si>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</si>
  <si>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</si>
  <si>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</si>
  <si>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</si>
  <si>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</si>
  <si>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</si>
  <si>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</si>
  <si>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</si>
  <si>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</si>
  <si>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</si>
  <si>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</si>
  <si>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</si>
  <si>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</si>
  <si>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</si>
  <si>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</si>
  <si>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</si>
  <si>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</si>
  <si>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</si>
  <si>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</si>
  <si>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</si>
  <si>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</si>
  <si>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</si>
  <si>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</si>
  <si>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</si>
  <si>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</si>
  <si>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</si>
  <si>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</si>
  <si>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</si>
  <si>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</si>
  <si>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</si>
  <si>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</si>
  <si>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</si>
  <si>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</si>
  <si>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</si>
  <si>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</si>
  <si>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</si>
  <si>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</si>
  <si>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</si>
  <si>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</si>
  <si>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</si>
  <si>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</si>
  <si>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</si>
  <si>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</si>
  <si>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</si>
  <si>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</si>
  <si>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</si>
  <si>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</si>
  <si>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</si>
  <si>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</si>
  <si>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</si>
  <si>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</si>
  <si>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</si>
  <si>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</si>
  <si>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</si>
  <si>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</si>
  <si>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</si>
  <si>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</si>
  <si>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</si>
  <si>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</si>
  <si>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</si>
  <si>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</si>
  <si>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</si>
  <si>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</si>
  <si>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</si>
  <si>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</si>
  <si>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</si>
  <si>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</si>
  <si>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</si>
  <si>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</si>
  <si>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</si>
  <si>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</si>
  <si>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</si>
  <si>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</si>
  <si>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</si>
  <si>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</si>
  <si>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</si>
  <si>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</si>
  <si>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</si>
  <si>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</si>
  <si>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</si>
  <si>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</si>
  <si>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</si>
  <si>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</si>
  <si>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</si>
  <si>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</si>
  <si>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</si>
  <si>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</si>
  <si>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</si>
  <si>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</si>
  <si>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</si>
  <si>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</si>
  <si>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</si>
  <si>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</si>
  <si>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</si>
  <si>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</si>
  <si>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</si>
  <si>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</si>
  <si>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</si>
  <si>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</si>
  <si>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</si>
  <si>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</si>
  <si>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</si>
  <si>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</si>
  <si>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</si>
  <si>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</si>
  <si>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</si>
  <si>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</si>
  <si>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</si>
  <si>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</si>
  <si>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</si>
  <si>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</si>
  <si>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</si>
  <si>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</si>
  <si>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</si>
  <si>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</si>
  <si>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</si>
  <si>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</si>
  <si>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</si>
  <si>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</si>
  <si>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</si>
  <si>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</si>
  <si>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</si>
  <si>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</si>
  <si>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</si>
  <si>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</si>
  <si>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</si>
  <si>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</si>
  <si>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</si>
  <si>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</si>
  <si>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</si>
  <si>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</si>
  <si>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</si>
  <si>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</si>
  <si>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</si>
  <si>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</si>
  <si>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</si>
  <si>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</si>
  <si>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</si>
  <si>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05/02</t>
  </si>
  <si>
    <t>07/22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</si>
</sst>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25" zoomScaleNormal="125"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1113</v>
      </c>
      <c r="B2">
        <f>INDEX('School Tables'!$AH$3:$AH$209,MATCH('DOE25'!A2,'School Tables'!$AJ$3:$AJ$209,0))</f>
        <v>261</v>
      </c>
      <c r="C2">
        <f>INDEX('School Tables'!$AI$3:$AI$209,MATCH('DOE25'!A2,'School Tables'!$AJ$3:$AJ$209,0))</f>
        <v>261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1960385.33</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335926.04</v>
      </c>
      <c r="G12" s="18">
        <v>123913.98</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4945.47</v>
      </c>
      <c r="G13" s="18">
        <v>47464.9</v>
      </c>
      <c r="H13" s="18">
        <v>267164.15999999997</v>
      </c>
      <c r="I13" s="18"/>
      <c r="J13" s="13">
        <f>SUM(I443)</f>
        <v>679957.52</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23246.75</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2301256.8400000003</v>
      </c>
      <c r="G19" s="38">
        <f>SUM(G9:G18)</f>
        <v>194625.63</v>
      </c>
      <c r="H19" s="38">
        <f>SUM(H9:H18)</f>
        <v>267164.15999999997</v>
      </c>
      <c r="I19" s="38">
        <f>SUM(I9:I18)</f>
        <v>0</v>
      </c>
      <c r="J19" s="38">
        <f>SUM(J9:J18)</f>
        <v>679957.52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123913.98</v>
      </c>
      <c r="G22" s="18"/>
      <c r="H22" s="18">
        <v>225987.58</v>
      </c>
      <c r="I22" s="18"/>
      <c r="J22" s="13">
        <f>SUM(I449)</f>
        <v>109938.46</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405204.6</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51226.95</v>
      </c>
      <c r="G28" s="18">
        <v>4176.08</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24738.45</v>
      </c>
      <c r="H30" s="18">
        <v>41176.58</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580345.52999999991</v>
      </c>
      <c r="G32" s="38">
        <f>SUM(G22:G31)</f>
        <v>28914.53</v>
      </c>
      <c r="H32" s="38">
        <f>SUM(H22:H31)</f>
        <v>267164.15999999997</v>
      </c>
      <c r="I32" s="38">
        <f>SUM(I22:I31)</f>
        <v>0</v>
      </c>
      <c r="J32" s="38">
        <f>SUM(J22:J31)</f>
        <v>109938.46</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23246.75</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194625.63-28914.53-23246.75</f>
        <v>142464.35</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175000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200000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570019.06000000006</v>
      </c>
      <c r="K48" s="23" t="s">
        <v>288</v>
      </c>
      <c r="L48" s="23" t="s">
        <v>288</v>
      </c>
      <c r="M48" s="8"/>
      <c r="N48" s="165"/>
    </row>
    <row r="49" spans="1:14" s="3" customFormat="1" ht="12.2" customHeight="1" x14ac:dyDescent="0.15">
      <c r="A49" s="1" t="s">
        <v>858</v>
      </c>
      <c r="B49" s="2" t="s">
        <v>289</v>
      </c>
      <c r="C49" s="6">
        <v>34</v>
      </c>
      <c r="D49" s="2"/>
      <c r="E49" s="6">
        <v>753</v>
      </c>
      <c r="F49" s="18">
        <v>608758.4</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-200000+937152.91</f>
        <v>737152.91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1720911.31</v>
      </c>
      <c r="G51" s="38">
        <f>SUM(G35:G50)</f>
        <v>165711.1</v>
      </c>
      <c r="H51" s="38">
        <f>SUM(H35:H50)</f>
        <v>0</v>
      </c>
      <c r="I51" s="38">
        <f>SUM(I35:I50)</f>
        <v>0</v>
      </c>
      <c r="J51" s="38">
        <f>SUM(J35:J50)</f>
        <v>570019.06000000006</v>
      </c>
      <c r="K51" s="42" t="s">
        <v>288</v>
      </c>
      <c r="L51" s="42" t="s">
        <v>288</v>
      </c>
      <c r="N51" s="131"/>
    </row>
    <row r="52" spans="1:14" s="3" customFormat="1" ht="12.2" customHeight="1" thickTop="1" x14ac:dyDescent="0.15">
      <c r="A52" s="35" t="s">
        <v>455</v>
      </c>
      <c r="B52" s="36" t="s">
        <v>289</v>
      </c>
      <c r="C52" s="6">
        <v>37</v>
      </c>
      <c r="D52" s="36" t="s">
        <v>653</v>
      </c>
      <c r="E52" s="36"/>
      <c r="F52" s="38">
        <f>F51+F32</f>
        <v>2301256.84</v>
      </c>
      <c r="G52" s="38">
        <f>G51+G32</f>
        <v>194625.63</v>
      </c>
      <c r="H52" s="38">
        <f>H51+H32</f>
        <v>267164.15999999997</v>
      </c>
      <c r="I52" s="38">
        <f>I51+I32</f>
        <v>0</v>
      </c>
      <c r="J52" s="38">
        <f>J51+J32</f>
        <v>679957.52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27337055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27337055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68700.28</v>
      </c>
      <c r="G96" s="18"/>
      <c r="H96" s="18"/>
      <c r="I96" s="18"/>
      <c r="J96" s="18">
        <v>3146.11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478427.65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f>15500+1993.75</f>
        <v>17493.75</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2000</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124643.39</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0.23+318112.47</f>
        <v>318112.69999999995</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528950.11999999988</v>
      </c>
      <c r="G111" s="38">
        <f>SUM(G96:G110)</f>
        <v>478427.65</v>
      </c>
      <c r="H111" s="38">
        <f>SUM(H96:H110)</f>
        <v>2000</v>
      </c>
      <c r="I111" s="38">
        <f>SUM(I96:I110)</f>
        <v>0</v>
      </c>
      <c r="J111" s="38">
        <f>SUM(J96:J110)</f>
        <v>3146.11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27866005.120000001</v>
      </c>
      <c r="G112" s="38">
        <f>G60+G111</f>
        <v>478427.65</v>
      </c>
      <c r="H112" s="38">
        <f>H60+H79+H94+H111</f>
        <v>2000</v>
      </c>
      <c r="I112" s="38">
        <f>I60+I111</f>
        <v>0</v>
      </c>
      <c r="J112" s="38">
        <f>J60+J111</f>
        <v>3146.11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5347163.42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2758167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15148.15</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8120478.5700000003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328672.46999999997</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v>195012.99</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646497.76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8010.98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1170183.22</v>
      </c>
      <c r="G136" s="38">
        <f>SUM(G123:G135)</f>
        <v>8010.98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9290661.790000001</v>
      </c>
      <c r="G140" s="38">
        <f>G121+SUM(G136:G137)</f>
        <v>8010.98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193782.06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84988.52+30384.96</f>
        <v>115373.48000000001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256909.65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12967.68+468020.77</f>
        <v>480988.45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17152.97</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137306.99</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278504.95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17152.97</v>
      </c>
      <c r="G163" s="38">
        <f>SUM(G150:G162)</f>
        <v>256909.65</v>
      </c>
      <c r="H163" s="38">
        <f>SUM(H150:H162)</f>
        <v>1205955.93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v>1198.1600000000001</v>
      </c>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17152.97</v>
      </c>
      <c r="G170" s="38">
        <f>G147+G163+SUM(G164:G169)</f>
        <v>256909.65</v>
      </c>
      <c r="H170" s="38">
        <f>H147+H163+SUM(H164:H169)</f>
        <v>1207154.0899999999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225000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225000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225000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37173819.880000003</v>
      </c>
      <c r="G194" s="38">
        <f>G112+G140+G170+G193</f>
        <v>743348.28</v>
      </c>
      <c r="H194" s="38">
        <f>H112+H140+H170+H193</f>
        <v>1209154.0899999999</v>
      </c>
      <c r="I194" s="38">
        <f>I112+I140+I170+I193</f>
        <v>0</v>
      </c>
      <c r="J194" s="38">
        <f>J112+J140+J193</f>
        <v>228146.11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3378193.58</v>
      </c>
      <c r="G198" s="18">
        <v>1894306.9</v>
      </c>
      <c r="H198" s="18">
        <v>33517.879999999997</v>
      </c>
      <c r="I198" s="18">
        <v>100945.42</v>
      </c>
      <c r="J198" s="18">
        <v>42249.69</v>
      </c>
      <c r="K198" s="18">
        <v>0</v>
      </c>
      <c r="L198" s="13">
        <f>SUM(F198:K198)</f>
        <v>5449213.4700000007</v>
      </c>
      <c r="M198" s="8"/>
      <c r="N198" s="165"/>
    </row>
    <row r="199" spans="1:14" s="3" customFormat="1" ht="12.2" customHeight="1" x14ac:dyDescent="0.15">
      <c r="A199" s="1" t="s">
        <v>439</v>
      </c>
      <c r="B199" s="2" t="s">
        <v>341</v>
      </c>
      <c r="C199" s="2" t="s">
        <v>291</v>
      </c>
      <c r="D199" s="2" t="s">
        <v>431</v>
      </c>
      <c r="E199" s="6">
        <v>1200</v>
      </c>
      <c r="F199" s="18">
        <v>818689.49</v>
      </c>
      <c r="G199" s="18">
        <v>489485.67</v>
      </c>
      <c r="H199" s="18">
        <v>780994.07</v>
      </c>
      <c r="I199" s="18">
        <v>2761.32</v>
      </c>
      <c r="J199" s="18">
        <v>1059.6199999999999</v>
      </c>
      <c r="K199" s="18">
        <v>855</v>
      </c>
      <c r="L199" s="13">
        <f>SUM(F199:K199)</f>
        <v>2093845.1700000002</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5638</v>
      </c>
      <c r="G201" s="18">
        <v>1260.5</v>
      </c>
      <c r="H201" s="18">
        <v>0</v>
      </c>
      <c r="I201" s="18">
        <v>323.31</v>
      </c>
      <c r="J201" s="18">
        <v>0</v>
      </c>
      <c r="K201" s="18">
        <v>0</v>
      </c>
      <c r="L201" s="13">
        <f>SUM(F201:K201)</f>
        <v>7221.81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488888.67</v>
      </c>
      <c r="G203" s="18">
        <v>259823.26</v>
      </c>
      <c r="H203" s="18">
        <v>553988.91</v>
      </c>
      <c r="I203" s="18">
        <v>10412.56</v>
      </c>
      <c r="J203" s="18">
        <v>0</v>
      </c>
      <c r="K203" s="18">
        <v>0</v>
      </c>
      <c r="L203" s="13">
        <f t="shared" ref="L203:L209" si="0">SUM(F203:K203)</f>
        <v>1313113.3999999999</v>
      </c>
      <c r="M203" s="8"/>
      <c r="N203" s="165"/>
    </row>
    <row r="204" spans="1:14" s="3" customFormat="1" ht="12.2" customHeight="1" x14ac:dyDescent="0.15">
      <c r="A204" s="1" t="s">
        <v>443</v>
      </c>
      <c r="B204" s="2" t="s">
        <v>341</v>
      </c>
      <c r="C204" s="2" t="s">
        <v>295</v>
      </c>
      <c r="D204" s="2" t="s">
        <v>431</v>
      </c>
      <c r="E204" s="6">
        <v>2200</v>
      </c>
      <c r="F204" s="18">
        <v>233268.32</v>
      </c>
      <c r="G204" s="18">
        <v>143079.54999999999</v>
      </c>
      <c r="H204" s="18">
        <v>9560.19</v>
      </c>
      <c r="I204" s="18">
        <v>22676.07</v>
      </c>
      <c r="J204" s="18">
        <v>1586.71</v>
      </c>
      <c r="K204" s="18">
        <v>262</v>
      </c>
      <c r="L204" s="13">
        <f t="shared" si="0"/>
        <v>410432.84</v>
      </c>
      <c r="M204" s="8"/>
      <c r="N204" s="165"/>
    </row>
    <row r="205" spans="1:14" s="3" customFormat="1" ht="12.2" customHeight="1" x14ac:dyDescent="0.15">
      <c r="A205" s="1" t="s">
        <v>444</v>
      </c>
      <c r="B205" s="2" t="s">
        <v>341</v>
      </c>
      <c r="C205" s="2" t="s">
        <v>296</v>
      </c>
      <c r="D205" s="2" t="s">
        <v>431</v>
      </c>
      <c r="E205" s="6">
        <v>2300</v>
      </c>
      <c r="F205" s="18">
        <v>5380.5</v>
      </c>
      <c r="G205" s="18">
        <v>515.61</v>
      </c>
      <c r="H205" s="18">
        <v>305081.53000000003</v>
      </c>
      <c r="I205" s="18">
        <v>1633.12</v>
      </c>
      <c r="J205" s="18">
        <v>0</v>
      </c>
      <c r="K205" s="18">
        <v>2217.9899999999998</v>
      </c>
      <c r="L205" s="13">
        <f t="shared" si="0"/>
        <v>314828.75</v>
      </c>
      <c r="M205" s="8"/>
      <c r="N205" s="165"/>
    </row>
    <row r="206" spans="1:14" s="3" customFormat="1" ht="12.2" customHeight="1" x14ac:dyDescent="0.15">
      <c r="A206" s="1" t="s">
        <v>445</v>
      </c>
      <c r="B206" s="2" t="s">
        <v>341</v>
      </c>
      <c r="C206" s="2" t="s">
        <v>297</v>
      </c>
      <c r="D206" s="2" t="s">
        <v>431</v>
      </c>
      <c r="E206" s="6">
        <v>2400</v>
      </c>
      <c r="F206" s="18">
        <v>517009.52</v>
      </c>
      <c r="G206" s="18">
        <v>334673.68</v>
      </c>
      <c r="H206" s="18">
        <v>39673.449999999997</v>
      </c>
      <c r="I206" s="18">
        <v>6708.4</v>
      </c>
      <c r="J206" s="18">
        <v>0</v>
      </c>
      <c r="K206" s="18">
        <v>3136</v>
      </c>
      <c r="L206" s="13">
        <f t="shared" si="0"/>
        <v>901201.04999999993</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295316</v>
      </c>
      <c r="G208" s="18">
        <v>178935.46</v>
      </c>
      <c r="H208" s="18">
        <v>563650.82999999996</v>
      </c>
      <c r="I208" s="18">
        <v>235929.2</v>
      </c>
      <c r="J208" s="18">
        <v>17226.91</v>
      </c>
      <c r="K208" s="18">
        <v>0</v>
      </c>
      <c r="L208" s="13">
        <f t="shared" si="0"/>
        <v>1291058.3999999999</v>
      </c>
      <c r="M208" s="8"/>
      <c r="N208" s="165"/>
    </row>
    <row r="209" spans="1:14" s="3" customFormat="1" ht="12.2" customHeight="1" x14ac:dyDescent="0.15">
      <c r="A209" s="1" t="s">
        <v>448</v>
      </c>
      <c r="B209" s="2" t="s">
        <v>341</v>
      </c>
      <c r="C209" s="2" t="s">
        <v>300</v>
      </c>
      <c r="D209" s="2" t="s">
        <v>431</v>
      </c>
      <c r="E209" s="6">
        <v>2700</v>
      </c>
      <c r="F209" s="18">
        <v>0</v>
      </c>
      <c r="G209" s="18">
        <v>0</v>
      </c>
      <c r="H209" s="18">
        <v>879659.82</v>
      </c>
      <c r="I209" s="18">
        <v>0</v>
      </c>
      <c r="J209" s="18">
        <v>0</v>
      </c>
      <c r="K209" s="18">
        <v>0</v>
      </c>
      <c r="L209" s="13">
        <f t="shared" si="0"/>
        <v>879659.82</v>
      </c>
      <c r="M209" s="8"/>
      <c r="N209" s="165"/>
    </row>
    <row r="210" spans="1:14" s="3" customFormat="1" ht="12.2" customHeight="1" x14ac:dyDescent="0.15">
      <c r="A210" s="1" t="s">
        <v>449</v>
      </c>
      <c r="B210" s="2" t="s">
        <v>341</v>
      </c>
      <c r="C210" s="2" t="s">
        <v>343</v>
      </c>
      <c r="D210" s="2" t="s">
        <v>431</v>
      </c>
      <c r="E210" s="6">
        <v>2800</v>
      </c>
      <c r="F210" s="18">
        <v>169163.4</v>
      </c>
      <c r="G210" s="18">
        <v>90914.12</v>
      </c>
      <c r="H210" s="18">
        <v>1928.95</v>
      </c>
      <c r="I210" s="18">
        <v>32680.15</v>
      </c>
      <c r="J210" s="18">
        <v>0</v>
      </c>
      <c r="K210" s="18">
        <v>587.35</v>
      </c>
      <c r="L210" s="13">
        <f>SUM(F210:K210)</f>
        <v>295273.96999999997</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5911547.4800000004</v>
      </c>
      <c r="G212" s="38">
        <f t="shared" si="1"/>
        <v>3392994.75</v>
      </c>
      <c r="H212" s="38">
        <f t="shared" si="1"/>
        <v>3168055.63</v>
      </c>
      <c r="I212" s="38">
        <f t="shared" si="1"/>
        <v>414069.55000000005</v>
      </c>
      <c r="J212" s="38">
        <f t="shared" si="1"/>
        <v>62122.930000000008</v>
      </c>
      <c r="K212" s="38">
        <f t="shared" si="1"/>
        <v>7058.34</v>
      </c>
      <c r="L212" s="38">
        <f t="shared" si="1"/>
        <v>12955848.680000002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2228397.62</v>
      </c>
      <c r="G216" s="18">
        <v>1233109.3600000001</v>
      </c>
      <c r="H216" s="18">
        <v>18192.41</v>
      </c>
      <c r="I216" s="18">
        <v>111820.88</v>
      </c>
      <c r="J216" s="18">
        <v>991.36</v>
      </c>
      <c r="K216" s="18">
        <v>0</v>
      </c>
      <c r="L216" s="13">
        <f>SUM(F216:K216)</f>
        <v>3592511.6300000004</v>
      </c>
      <c r="M216" s="8"/>
      <c r="N216" s="165"/>
    </row>
    <row r="217" spans="1:14" s="3" customFormat="1" ht="12.2" customHeight="1" x14ac:dyDescent="0.15">
      <c r="A217" s="1" t="s">
        <v>439</v>
      </c>
      <c r="B217" s="2" t="s">
        <v>346</v>
      </c>
      <c r="C217" s="2" t="s">
        <v>291</v>
      </c>
      <c r="D217" s="2" t="s">
        <v>431</v>
      </c>
      <c r="E217" s="6">
        <v>1200</v>
      </c>
      <c r="F217" s="18">
        <v>574400.84</v>
      </c>
      <c r="G217" s="18">
        <v>415197.3</v>
      </c>
      <c r="H217" s="18">
        <v>471278.55</v>
      </c>
      <c r="I217" s="18">
        <v>1249.8800000000001</v>
      </c>
      <c r="J217" s="18">
        <v>532.32000000000005</v>
      </c>
      <c r="K217" s="18">
        <v>0</v>
      </c>
      <c r="L217" s="13">
        <f>SUM(F217:K217)</f>
        <v>1462658.89</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57107</v>
      </c>
      <c r="G219" s="18">
        <v>12633.48</v>
      </c>
      <c r="H219" s="18">
        <v>9203.91</v>
      </c>
      <c r="I219" s="18">
        <v>7464.09</v>
      </c>
      <c r="J219" s="18">
        <v>2950</v>
      </c>
      <c r="K219" s="18">
        <v>5165</v>
      </c>
      <c r="L219" s="13">
        <f>SUM(F219:K219)</f>
        <v>94523.48</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214966.77</v>
      </c>
      <c r="G221" s="18">
        <v>159492.56</v>
      </c>
      <c r="H221" s="18">
        <v>488475.01</v>
      </c>
      <c r="I221" s="18">
        <v>6133.99</v>
      </c>
      <c r="J221" s="18">
        <v>0</v>
      </c>
      <c r="K221" s="18">
        <v>180</v>
      </c>
      <c r="L221" s="13">
        <f t="shared" ref="L221:L227" si="2">SUM(F221:K221)</f>
        <v>869248.33</v>
      </c>
      <c r="M221" s="8"/>
      <c r="N221" s="165"/>
    </row>
    <row r="222" spans="1:14" s="3" customFormat="1" ht="12.2" customHeight="1" x14ac:dyDescent="0.15">
      <c r="A222" s="1" t="s">
        <v>443</v>
      </c>
      <c r="B222" s="2" t="s">
        <v>346</v>
      </c>
      <c r="C222" s="2" t="s">
        <v>295</v>
      </c>
      <c r="D222" s="2" t="s">
        <v>431</v>
      </c>
      <c r="E222" s="6">
        <v>2200</v>
      </c>
      <c r="F222" s="18">
        <v>50222.39</v>
      </c>
      <c r="G222" s="18">
        <v>25359.24</v>
      </c>
      <c r="H222" s="18">
        <v>4764.8900000000003</v>
      </c>
      <c r="I222" s="18">
        <v>19171.939999999999</v>
      </c>
      <c r="J222" s="18">
        <v>349.99</v>
      </c>
      <c r="K222" s="18">
        <v>312</v>
      </c>
      <c r="L222" s="13">
        <f t="shared" si="2"/>
        <v>100180.45000000001</v>
      </c>
      <c r="M222" s="8"/>
      <c r="N222" s="165"/>
    </row>
    <row r="223" spans="1:14" s="3" customFormat="1" ht="12.2" customHeight="1" x14ac:dyDescent="0.15">
      <c r="A223" s="1" t="s">
        <v>444</v>
      </c>
      <c r="B223" s="2" t="s">
        <v>346</v>
      </c>
      <c r="C223" s="2" t="s">
        <v>296</v>
      </c>
      <c r="D223" s="2" t="s">
        <v>431</v>
      </c>
      <c r="E223" s="6">
        <v>2300</v>
      </c>
      <c r="F223" s="18">
        <v>5222.25</v>
      </c>
      <c r="G223" s="18">
        <v>500.45</v>
      </c>
      <c r="H223" s="18">
        <v>296108.53999999998</v>
      </c>
      <c r="I223" s="18">
        <v>1585.08</v>
      </c>
      <c r="J223" s="18">
        <v>0</v>
      </c>
      <c r="K223" s="18">
        <v>2152.75</v>
      </c>
      <c r="L223" s="13">
        <f t="shared" si="2"/>
        <v>305569.07</v>
      </c>
      <c r="M223" s="8"/>
      <c r="N223" s="165"/>
    </row>
    <row r="224" spans="1:14" s="3" customFormat="1" ht="12.2" customHeight="1" x14ac:dyDescent="0.15">
      <c r="A224" s="1" t="s">
        <v>445</v>
      </c>
      <c r="B224" s="2" t="s">
        <v>346</v>
      </c>
      <c r="C224" s="2" t="s">
        <v>297</v>
      </c>
      <c r="D224" s="2" t="s">
        <v>431</v>
      </c>
      <c r="E224" s="6">
        <v>2400</v>
      </c>
      <c r="F224" s="18">
        <v>256435.77</v>
      </c>
      <c r="G224" s="18">
        <v>156573.78</v>
      </c>
      <c r="H224" s="18">
        <v>43768.68</v>
      </c>
      <c r="I224" s="18">
        <v>7121.8</v>
      </c>
      <c r="J224" s="18">
        <v>0</v>
      </c>
      <c r="K224" s="18">
        <v>1933</v>
      </c>
      <c r="L224" s="13">
        <f t="shared" si="2"/>
        <v>465833.02999999997</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143277.5</v>
      </c>
      <c r="G226" s="18">
        <v>94638.48</v>
      </c>
      <c r="H226" s="18">
        <v>247293.3</v>
      </c>
      <c r="I226" s="18">
        <v>190898.4</v>
      </c>
      <c r="J226" s="18">
        <v>1210.9000000000001</v>
      </c>
      <c r="K226" s="18">
        <v>0</v>
      </c>
      <c r="L226" s="13">
        <f t="shared" si="2"/>
        <v>677318.58</v>
      </c>
      <c r="M226" s="8"/>
      <c r="N226" s="165"/>
    </row>
    <row r="227" spans="1:14" s="3" customFormat="1" ht="12.2" customHeight="1" x14ac:dyDescent="0.15">
      <c r="A227" s="1" t="s">
        <v>448</v>
      </c>
      <c r="B227" s="2" t="s">
        <v>346</v>
      </c>
      <c r="C227" s="2" t="s">
        <v>300</v>
      </c>
      <c r="D227" s="2" t="s">
        <v>431</v>
      </c>
      <c r="E227" s="6">
        <v>2700</v>
      </c>
      <c r="F227" s="18">
        <v>0</v>
      </c>
      <c r="G227" s="18">
        <v>0</v>
      </c>
      <c r="H227" s="18">
        <v>892480.35</v>
      </c>
      <c r="I227" s="18">
        <v>0</v>
      </c>
      <c r="J227" s="18">
        <v>0</v>
      </c>
      <c r="K227" s="18">
        <v>0</v>
      </c>
      <c r="L227" s="13">
        <f t="shared" si="2"/>
        <v>892480.35</v>
      </c>
      <c r="M227" s="8"/>
      <c r="N227" s="165"/>
    </row>
    <row r="228" spans="1:14" s="3" customFormat="1" ht="12.2" customHeight="1" x14ac:dyDescent="0.15">
      <c r="A228" s="1" t="s">
        <v>449</v>
      </c>
      <c r="B228" s="2" t="s">
        <v>346</v>
      </c>
      <c r="C228" s="2" t="s">
        <v>343</v>
      </c>
      <c r="D228" s="2" t="s">
        <v>431</v>
      </c>
      <c r="E228" s="6">
        <v>2800</v>
      </c>
      <c r="F228" s="18">
        <v>29941.360000000001</v>
      </c>
      <c r="G228" s="18">
        <v>18174.79</v>
      </c>
      <c r="H228" s="18">
        <v>969.05</v>
      </c>
      <c r="I228" s="18">
        <v>17129.669999999998</v>
      </c>
      <c r="J228" s="18">
        <v>0</v>
      </c>
      <c r="K228" s="18">
        <v>295.06</v>
      </c>
      <c r="L228" s="13">
        <f>SUM(F228:K228)</f>
        <v>66509.929999999993</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3559971.5</v>
      </c>
      <c r="G230" s="38">
        <f>SUM(G216:G229)</f>
        <v>2115679.4400000004</v>
      </c>
      <c r="H230" s="38">
        <f>SUM(H216:H229)</f>
        <v>2472534.6899999995</v>
      </c>
      <c r="I230" s="38">
        <f>SUM(I216:I229)</f>
        <v>362575.72999999992</v>
      </c>
      <c r="J230" s="38">
        <f>SUM(J216:J229)</f>
        <v>6034.57</v>
      </c>
      <c r="K230" s="38">
        <f t="shared" si="3"/>
        <v>10037.81</v>
      </c>
      <c r="L230" s="38">
        <f t="shared" si="3"/>
        <v>8526833.7400000021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7140035.3300000001</v>
      </c>
      <c r="I234" s="18">
        <v>0</v>
      </c>
      <c r="J234" s="18">
        <v>0</v>
      </c>
      <c r="K234" s="18">
        <v>0</v>
      </c>
      <c r="L234" s="13">
        <f>SUM(F234:K234)</f>
        <v>7140035.3300000001</v>
      </c>
      <c r="M234" s="8"/>
      <c r="N234" s="165"/>
    </row>
    <row r="235" spans="1:14" s="3" customFormat="1" ht="12.2" customHeight="1" x14ac:dyDescent="0.15">
      <c r="A235" s="1" t="s">
        <v>439</v>
      </c>
      <c r="B235" s="2" t="s">
        <v>350</v>
      </c>
      <c r="C235" s="2" t="s">
        <v>291</v>
      </c>
      <c r="D235" s="2" t="s">
        <v>431</v>
      </c>
      <c r="E235" s="6">
        <v>1200</v>
      </c>
      <c r="F235" s="18">
        <v>138475.64000000001</v>
      </c>
      <c r="G235" s="18">
        <v>68076.81</v>
      </c>
      <c r="H235" s="18">
        <v>4978046.43</v>
      </c>
      <c r="I235" s="18">
        <v>0</v>
      </c>
      <c r="J235" s="18">
        <v>0</v>
      </c>
      <c r="K235" s="18">
        <v>0</v>
      </c>
      <c r="L235" s="13">
        <f>SUM(F235:K235)</f>
        <v>5184598.88</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249402.91</v>
      </c>
      <c r="I239" s="18">
        <v>0</v>
      </c>
      <c r="J239" s="18">
        <v>0</v>
      </c>
      <c r="K239" s="18">
        <v>0</v>
      </c>
      <c r="L239" s="13">
        <f t="shared" ref="L239:L245" si="4">SUM(F239:K239)</f>
        <v>249402.91</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5222.25</v>
      </c>
      <c r="G241" s="18">
        <v>500.45</v>
      </c>
      <c r="H241" s="18">
        <v>296108.53999999998</v>
      </c>
      <c r="I241" s="18">
        <v>1585.08</v>
      </c>
      <c r="J241" s="18">
        <v>0</v>
      </c>
      <c r="K241" s="18">
        <v>2152.75</v>
      </c>
      <c r="L241" s="13">
        <f t="shared" si="4"/>
        <v>305569.07</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849504.31</v>
      </c>
      <c r="I245" s="18">
        <v>0</v>
      </c>
      <c r="J245" s="18">
        <v>0</v>
      </c>
      <c r="K245" s="18">
        <v>0</v>
      </c>
      <c r="L245" s="13">
        <f t="shared" si="4"/>
        <v>849504.31</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143697.89000000001</v>
      </c>
      <c r="G248" s="38">
        <f t="shared" si="5"/>
        <v>68577.259999999995</v>
      </c>
      <c r="H248" s="38">
        <f t="shared" si="5"/>
        <v>13513097.52</v>
      </c>
      <c r="I248" s="38">
        <f t="shared" si="5"/>
        <v>1585.08</v>
      </c>
      <c r="J248" s="38">
        <f t="shared" si="5"/>
        <v>0</v>
      </c>
      <c r="K248" s="38">
        <f t="shared" si="5"/>
        <v>2152.75</v>
      </c>
      <c r="L248" s="38">
        <f t="shared" si="5"/>
        <v>13729110.500000002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9615216.870000001</v>
      </c>
      <c r="G258" s="38">
        <f t="shared" si="8"/>
        <v>5577251.4500000002</v>
      </c>
      <c r="H258" s="38">
        <f t="shared" si="8"/>
        <v>19153687.84</v>
      </c>
      <c r="I258" s="38">
        <f t="shared" si="8"/>
        <v>778230.36</v>
      </c>
      <c r="J258" s="38">
        <f t="shared" si="8"/>
        <v>68157.5</v>
      </c>
      <c r="K258" s="38">
        <f t="shared" si="8"/>
        <v>19248.900000000001</v>
      </c>
      <c r="L258" s="38">
        <f t="shared" si="8"/>
        <v>35211792.920000002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1030000</v>
      </c>
      <c r="L261" s="13">
        <f>SUM(F261:K261)</f>
        <v>1030000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25750</v>
      </c>
      <c r="L262" s="13">
        <f>SUM(F262:K262)</f>
        <v>25750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225000</v>
      </c>
      <c r="L267" s="13">
        <f t="shared" si="9"/>
        <v>225000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74436.05</v>
      </c>
      <c r="L269" s="13">
        <f t="shared" si="9"/>
        <v>74436.05</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1355186.05</v>
      </c>
      <c r="L271" s="38">
        <f t="shared" si="9"/>
        <v>1355186.05</v>
      </c>
      <c r="M271" s="8"/>
      <c r="N271" s="165"/>
    </row>
    <row r="272" spans="1:14" s="33" customFormat="1" ht="12.2" customHeight="1" thickTop="1" x14ac:dyDescent="0.2">
      <c r="A272" s="40" t="s">
        <v>464</v>
      </c>
      <c r="B272" s="37">
        <v>10</v>
      </c>
      <c r="C272" s="37">
        <v>18</v>
      </c>
      <c r="D272" s="36" t="s">
        <v>431</v>
      </c>
      <c r="E272" s="37"/>
      <c r="F272" s="39">
        <f t="shared" ref="F272:L272" si="11">F258+F271</f>
        <v>9615216.870000001</v>
      </c>
      <c r="G272" s="39">
        <f t="shared" si="11"/>
        <v>5577251.4500000002</v>
      </c>
      <c r="H272" s="39">
        <f t="shared" si="11"/>
        <v>19153687.84</v>
      </c>
      <c r="I272" s="39">
        <f t="shared" si="11"/>
        <v>778230.36</v>
      </c>
      <c r="J272" s="39">
        <f t="shared" si="11"/>
        <v>68157.5</v>
      </c>
      <c r="K272" s="39">
        <f t="shared" si="11"/>
        <v>1374434.95</v>
      </c>
      <c r="L272" s="39">
        <f t="shared" si="11"/>
        <v>36566978.969999999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142365.48000000001</v>
      </c>
      <c r="G277" s="18">
        <v>107801.61</v>
      </c>
      <c r="H277" s="18">
        <v>0</v>
      </c>
      <c r="I277" s="18">
        <v>52274.14</v>
      </c>
      <c r="J277" s="18">
        <v>0</v>
      </c>
      <c r="K277" s="18">
        <v>0</v>
      </c>
      <c r="L277" s="13">
        <f>SUM(F277:K277)</f>
        <v>302441.23000000004</v>
      </c>
      <c r="M277" s="8"/>
      <c r="N277" s="165"/>
    </row>
    <row r="278" spans="1:14" s="3" customFormat="1" ht="12.2" customHeight="1" x14ac:dyDescent="0.15">
      <c r="A278" s="1" t="s">
        <v>439</v>
      </c>
      <c r="B278" s="2" t="s">
        <v>357</v>
      </c>
      <c r="C278" s="2" t="s">
        <v>291</v>
      </c>
      <c r="D278" s="2" t="s">
        <v>431</v>
      </c>
      <c r="E278" s="6">
        <v>1200</v>
      </c>
      <c r="F278" s="18">
        <v>28106.76</v>
      </c>
      <c r="G278" s="18">
        <v>8052.62</v>
      </c>
      <c r="H278" s="18">
        <v>248937.62</v>
      </c>
      <c r="I278" s="18">
        <v>41085.379999999997</v>
      </c>
      <c r="J278" s="18">
        <v>0</v>
      </c>
      <c r="K278" s="18">
        <v>0</v>
      </c>
      <c r="L278" s="13">
        <f>SUM(F278:K278)</f>
        <v>326182.38</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12055.95</v>
      </c>
      <c r="G283" s="18">
        <v>3403.26</v>
      </c>
      <c r="H283" s="18">
        <v>58294.27</v>
      </c>
      <c r="I283" s="18">
        <v>8297.56</v>
      </c>
      <c r="J283" s="18">
        <v>0</v>
      </c>
      <c r="K283" s="18">
        <v>0</v>
      </c>
      <c r="L283" s="13">
        <f t="shared" si="12"/>
        <v>82051.039999999994</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6029.65</v>
      </c>
      <c r="L286" s="13">
        <f t="shared" si="12"/>
        <v>6029.65</v>
      </c>
      <c r="M286" s="8"/>
      <c r="N286" s="165"/>
    </row>
    <row r="287" spans="1:14" s="3" customFormat="1" ht="12.2" customHeight="1" x14ac:dyDescent="0.15">
      <c r="A287" s="1" t="s">
        <v>447</v>
      </c>
      <c r="B287" s="2" t="s">
        <v>357</v>
      </c>
      <c r="C287" s="2" t="s">
        <v>299</v>
      </c>
      <c r="D287" s="2" t="s">
        <v>431</v>
      </c>
      <c r="E287" s="6">
        <v>2600</v>
      </c>
      <c r="F287" s="18">
        <v>0</v>
      </c>
      <c r="G287" s="18">
        <v>0</v>
      </c>
      <c r="H287" s="18">
        <v>16282.61</v>
      </c>
      <c r="I287" s="18">
        <v>83183.38</v>
      </c>
      <c r="J287" s="18">
        <v>0</v>
      </c>
      <c r="K287" s="18">
        <v>0</v>
      </c>
      <c r="L287" s="13">
        <f t="shared" si="12"/>
        <v>99465.99</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797.51</v>
      </c>
      <c r="I289" s="18">
        <v>0</v>
      </c>
      <c r="J289" s="18">
        <v>0</v>
      </c>
      <c r="K289" s="18">
        <v>0</v>
      </c>
      <c r="L289" s="13">
        <f>SUM(F289:K289)</f>
        <v>797.51</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182528.19000000003</v>
      </c>
      <c r="G291" s="39">
        <f t="shared" si="13"/>
        <v>119257.48999999999</v>
      </c>
      <c r="H291" s="39">
        <f t="shared" si="13"/>
        <v>324312.01</v>
      </c>
      <c r="I291" s="39">
        <f t="shared" si="13"/>
        <v>184840.46</v>
      </c>
      <c r="J291" s="39">
        <f t="shared" si="13"/>
        <v>0</v>
      </c>
      <c r="K291" s="39">
        <f t="shared" si="13"/>
        <v>6029.65</v>
      </c>
      <c r="L291" s="38">
        <f t="shared" si="13"/>
        <v>816967.80000000016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44676.91</v>
      </c>
      <c r="G296" s="18">
        <v>21288.54</v>
      </c>
      <c r="H296" s="18">
        <v>268.56</v>
      </c>
      <c r="I296" s="18">
        <v>62655.87</v>
      </c>
      <c r="J296" s="18">
        <v>0</v>
      </c>
      <c r="K296" s="18">
        <v>0</v>
      </c>
      <c r="L296" s="13">
        <f>SUM(F296:K296)</f>
        <v>128889.88</v>
      </c>
      <c r="M296" s="8"/>
      <c r="N296" s="165"/>
    </row>
    <row r="297" spans="1:14" s="3" customFormat="1" ht="12.2" customHeight="1" x14ac:dyDescent="0.15">
      <c r="A297" s="1" t="s">
        <v>439</v>
      </c>
      <c r="B297" s="2" t="s">
        <v>358</v>
      </c>
      <c r="C297" s="2" t="s">
        <v>291</v>
      </c>
      <c r="D297" s="2" t="s">
        <v>431</v>
      </c>
      <c r="E297" s="6">
        <v>1200</v>
      </c>
      <c r="F297" s="18">
        <v>14119.99</v>
      </c>
      <c r="G297" s="18">
        <v>4045.39</v>
      </c>
      <c r="H297" s="18">
        <v>123150.71</v>
      </c>
      <c r="I297" s="18">
        <v>8902.1299999999992</v>
      </c>
      <c r="J297" s="18">
        <v>0</v>
      </c>
      <c r="K297" s="18">
        <v>0</v>
      </c>
      <c r="L297" s="13">
        <f>SUM(F297:K297)</f>
        <v>150218.22</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7781.55</v>
      </c>
      <c r="G302" s="18">
        <v>2196.41</v>
      </c>
      <c r="H302" s="18">
        <v>32285.27</v>
      </c>
      <c r="I302" s="18">
        <v>4168.4399999999996</v>
      </c>
      <c r="J302" s="18">
        <v>0</v>
      </c>
      <c r="K302" s="18">
        <v>0</v>
      </c>
      <c r="L302" s="13">
        <f t="shared" si="14"/>
        <v>46431.67</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3029.11</v>
      </c>
      <c r="L305" s="13">
        <f t="shared" si="14"/>
        <v>3029.11</v>
      </c>
      <c r="M305" s="8"/>
      <c r="N305" s="165"/>
    </row>
    <row r="306" spans="1:14" s="3" customFormat="1" ht="12.2" customHeight="1" x14ac:dyDescent="0.15">
      <c r="A306" s="1" t="s">
        <v>447</v>
      </c>
      <c r="B306" s="2" t="s">
        <v>358</v>
      </c>
      <c r="C306" s="2" t="s">
        <v>299</v>
      </c>
      <c r="D306" s="2" t="s">
        <v>431</v>
      </c>
      <c r="E306" s="6">
        <v>2600</v>
      </c>
      <c r="F306" s="18">
        <v>0</v>
      </c>
      <c r="G306" s="18">
        <v>0</v>
      </c>
      <c r="H306" s="18">
        <v>8179.89</v>
      </c>
      <c r="I306" s="18">
        <v>55036.87</v>
      </c>
      <c r="J306" s="18">
        <v>0</v>
      </c>
      <c r="K306" s="18">
        <v>0</v>
      </c>
      <c r="L306" s="13">
        <f t="shared" si="14"/>
        <v>63216.76</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400.65</v>
      </c>
      <c r="I308" s="18">
        <v>0</v>
      </c>
      <c r="J308" s="18">
        <v>0</v>
      </c>
      <c r="K308" s="18">
        <v>0</v>
      </c>
      <c r="L308" s="13">
        <f>SUM(F308:K308)</f>
        <v>400.65</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66578.45</v>
      </c>
      <c r="G310" s="39">
        <f t="shared" si="15"/>
        <v>27530.34</v>
      </c>
      <c r="H310" s="39">
        <f t="shared" si="15"/>
        <v>164285.08000000002</v>
      </c>
      <c r="I310" s="39">
        <f t="shared" si="15"/>
        <v>130763.31</v>
      </c>
      <c r="J310" s="39">
        <f t="shared" si="15"/>
        <v>0</v>
      </c>
      <c r="K310" s="39">
        <f t="shared" si="15"/>
        <v>3029.11</v>
      </c>
      <c r="L310" s="38">
        <f t="shared" si="15"/>
        <v>392186.29</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249106.64</v>
      </c>
      <c r="G339" s="38">
        <f t="shared" si="20"/>
        <v>146787.82999999999</v>
      </c>
      <c r="H339" s="38">
        <f t="shared" si="20"/>
        <v>488597.09</v>
      </c>
      <c r="I339" s="38">
        <f t="shared" si="20"/>
        <v>315603.77</v>
      </c>
      <c r="J339" s="38">
        <f t="shared" si="20"/>
        <v>0</v>
      </c>
      <c r="K339" s="38">
        <f t="shared" si="20"/>
        <v>9058.76</v>
      </c>
      <c r="L339" s="38">
        <f t="shared" si="20"/>
        <v>1209154.0900000001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249106.64</v>
      </c>
      <c r="G353" s="38">
        <f>G339</f>
        <v>146787.82999999999</v>
      </c>
      <c r="H353" s="38">
        <f>H339</f>
        <v>488597.09</v>
      </c>
      <c r="I353" s="38">
        <f>I339</f>
        <v>315603.77</v>
      </c>
      <c r="J353" s="38">
        <f>J339</f>
        <v>0</v>
      </c>
      <c r="K353" s="38">
        <f>K339+K352</f>
        <v>9058.76</v>
      </c>
      <c r="L353" s="38">
        <f>L339+L352</f>
        <v>1209154.0900000001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166388.98000000001</v>
      </c>
      <c r="G359" s="18">
        <v>81761.25</v>
      </c>
      <c r="H359" s="18">
        <v>3834.23</v>
      </c>
      <c r="I359" s="18">
        <v>254110.58</v>
      </c>
      <c r="J359" s="18">
        <v>14018.6</v>
      </c>
      <c r="K359" s="18">
        <v>532.49</v>
      </c>
      <c r="L359" s="13">
        <f>SUM(F359:K359)</f>
        <v>520646.13</v>
      </c>
      <c r="M359" s="8"/>
      <c r="N359" s="165"/>
    </row>
    <row r="360" spans="1:22" s="3" customFormat="1" ht="12.2" customHeight="1" x14ac:dyDescent="0.15">
      <c r="A360" s="1" t="s">
        <v>542</v>
      </c>
      <c r="B360" s="2" t="s">
        <v>366</v>
      </c>
      <c r="C360" s="6">
        <v>2</v>
      </c>
      <c r="D360" s="2" t="s">
        <v>431</v>
      </c>
      <c r="E360" s="6"/>
      <c r="F360" s="18">
        <v>73648.75</v>
      </c>
      <c r="G360" s="18">
        <v>50185.96</v>
      </c>
      <c r="H360" s="18">
        <v>2804.49</v>
      </c>
      <c r="I360" s="18">
        <v>127657.45</v>
      </c>
      <c r="J360" s="18">
        <v>0</v>
      </c>
      <c r="K360" s="18">
        <v>267.51</v>
      </c>
      <c r="L360" s="13">
        <f>SUM(F360:K360)</f>
        <v>254564.16</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240037.73</v>
      </c>
      <c r="G363" s="38">
        <f t="shared" si="22"/>
        <v>131947.21</v>
      </c>
      <c r="H363" s="38">
        <f t="shared" si="22"/>
        <v>6638.7199999999993</v>
      </c>
      <c r="I363" s="38">
        <f t="shared" si="22"/>
        <v>381768.02999999997</v>
      </c>
      <c r="J363" s="38">
        <f t="shared" si="22"/>
        <v>14018.6</v>
      </c>
      <c r="K363" s="38">
        <f t="shared" si="22"/>
        <v>800</v>
      </c>
      <c r="L363" s="38">
        <f t="shared" si="22"/>
        <v>775210.29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200456.19+30489.62</f>
        <v>230945.81</v>
      </c>
      <c r="G368" s="18">
        <f>100703.11+15317.06</f>
        <v>116020.17</v>
      </c>
      <c r="H368" s="18">
        <v>0</v>
      </c>
      <c r="I368" s="13">
        <f>SUM(F368:H368)</f>
        <v>346965.98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254110.58-230945.81</f>
        <v>23164.76999999999</v>
      </c>
      <c r="G369" s="53">
        <f>127657.45-116020.17</f>
        <v>11637.279999999999</v>
      </c>
      <c r="H369" s="53">
        <v>0</v>
      </c>
      <c r="I369" s="13">
        <f>SUM(F369:H369)</f>
        <v>34802.049999999988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254110.58</v>
      </c>
      <c r="G370" s="38">
        <f>SUM(G368:G369)</f>
        <v>127657.45</v>
      </c>
      <c r="H370" s="38">
        <f>SUM(H368:H369)</f>
        <v>0</v>
      </c>
      <c r="I370" s="38">
        <f>SUM(I368:I369)</f>
        <v>381768.02999999997</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75000</v>
      </c>
      <c r="H397" s="18">
        <v>-1560.12</v>
      </c>
      <c r="I397" s="18"/>
      <c r="J397" s="23" t="s">
        <v>288</v>
      </c>
      <c r="K397" s="23" t="s">
        <v>288</v>
      </c>
      <c r="L397" s="13">
        <f t="shared" si="26"/>
        <v>73439.88</v>
      </c>
      <c r="M397" s="8"/>
      <c r="N397" s="165"/>
    </row>
    <row r="398" spans="1:14" s="3" customFormat="1" ht="12.2" customHeight="1" x14ac:dyDescent="0.15">
      <c r="A398" s="62" t="s">
        <v>515</v>
      </c>
      <c r="B398" s="2" t="s">
        <v>381</v>
      </c>
      <c r="C398" s="6">
        <v>10</v>
      </c>
      <c r="D398" s="2" t="s">
        <v>432</v>
      </c>
      <c r="E398" s="6"/>
      <c r="F398" s="18"/>
      <c r="G398" s="18">
        <v>100000</v>
      </c>
      <c r="H398" s="18">
        <v>2201.7399999999998</v>
      </c>
      <c r="I398" s="18"/>
      <c r="J398" s="23" t="s">
        <v>288</v>
      </c>
      <c r="K398" s="23" t="s">
        <v>288</v>
      </c>
      <c r="L398" s="13">
        <f t="shared" si="26"/>
        <v>102201.74</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50000</v>
      </c>
      <c r="H400" s="18">
        <v>2504.4899999999998</v>
      </c>
      <c r="I400" s="18"/>
      <c r="J400" s="23" t="s">
        <v>288</v>
      </c>
      <c r="K400" s="23" t="s">
        <v>288</v>
      </c>
      <c r="L400" s="13">
        <f t="shared" si="26"/>
        <v>52504.49</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225000</v>
      </c>
      <c r="H402" s="38">
        <f>SUM(H396:H401)</f>
        <v>3146.1099999999997</v>
      </c>
      <c r="I402" s="38">
        <f>SUM(I396:I401)</f>
        <v>0</v>
      </c>
      <c r="J402" s="42" t="s">
        <v>288</v>
      </c>
      <c r="K402" s="42" t="s">
        <v>288</v>
      </c>
      <c r="L402" s="38">
        <f>SUM(L396:L401)</f>
        <v>228146.11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225000</v>
      </c>
      <c r="H409" s="38">
        <f>H394+H402+H408</f>
        <v>3146.1099999999997</v>
      </c>
      <c r="I409" s="38">
        <f>I394+I402+I408</f>
        <v>0</v>
      </c>
      <c r="J409" s="23" t="s">
        <v>288</v>
      </c>
      <c r="K409" s="23" t="s">
        <v>288</v>
      </c>
      <c r="L409" s="38">
        <f>L394+L402+L408</f>
        <v>228146.11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v>109938.46</v>
      </c>
      <c r="I424" s="18"/>
      <c r="J424" s="18"/>
      <c r="K424" s="18"/>
      <c r="L424" s="13">
        <f t="shared" si="29"/>
        <v>109938.46</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v>49910</v>
      </c>
      <c r="K426" s="18"/>
      <c r="L426" s="13">
        <f t="shared" si="29"/>
        <v>49910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109938.46</v>
      </c>
      <c r="I428" s="38">
        <f t="shared" si="30"/>
        <v>0</v>
      </c>
      <c r="J428" s="38">
        <f t="shared" si="30"/>
        <v>49910</v>
      </c>
      <c r="K428" s="38">
        <f t="shared" si="30"/>
        <v>0</v>
      </c>
      <c r="L428" s="38">
        <f t="shared" si="30"/>
        <v>159848.46000000002</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109938.46</v>
      </c>
      <c r="I435" s="38">
        <f t="shared" si="32"/>
        <v>0</v>
      </c>
      <c r="J435" s="38">
        <f t="shared" si="32"/>
        <v>49910</v>
      </c>
      <c r="K435" s="38">
        <f t="shared" si="32"/>
        <v>0</v>
      </c>
      <c r="L435" s="38">
        <f t="shared" si="32"/>
        <v>159848.46000000002</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679957.52</v>
      </c>
      <c r="H443" s="18"/>
      <c r="I443" s="13">
        <f t="shared" si="33"/>
        <v>679957.52</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679957.52</v>
      </c>
      <c r="H447" s="13">
        <f>SUM(H440:H446)</f>
        <v>0</v>
      </c>
      <c r="I447" s="13">
        <f>SUM(I440:I446)</f>
        <v>679957.52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v>109938.46</v>
      </c>
      <c r="H449" s="18"/>
      <c r="I449" s="13">
        <f>SUM(F449:H449)</f>
        <v>109938.46</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109938.46</v>
      </c>
      <c r="H453" s="57">
        <f>SUM(H449:H452)</f>
        <v>0</v>
      </c>
      <c r="I453" s="57">
        <f>SUM(I449:I452)</f>
        <v>109938.46</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G443-G449</f>
        <v>570019.06000000006</v>
      </c>
      <c r="H460" s="18"/>
      <c r="I460" s="13">
        <f t="shared" si="34"/>
        <v>570019.06000000006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570019.06000000006</v>
      </c>
      <c r="H461" s="65">
        <f>SUM(H455:H460)</f>
        <v>0</v>
      </c>
      <c r="I461" s="65">
        <f>SUM(I455:I460)</f>
        <v>570019.06000000006</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679957.52</v>
      </c>
      <c r="H462" s="39">
        <f>H453+H461</f>
        <v>0</v>
      </c>
      <c r="I462" s="39">
        <f>I453+I461</f>
        <v>679957.52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1114070.3999999999</v>
      </c>
      <c r="G466" s="18">
        <v>197573.11</v>
      </c>
      <c r="H466" s="18">
        <v>0</v>
      </c>
      <c r="I466" s="18">
        <v>0</v>
      </c>
      <c r="J466" s="18">
        <v>501721.41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37173819.880000003</v>
      </c>
      <c r="G469" s="18">
        <f>G194</f>
        <v>743348.28</v>
      </c>
      <c r="H469" s="18">
        <f>H194</f>
        <v>1209154.0899999999</v>
      </c>
      <c r="I469" s="18">
        <v>0</v>
      </c>
      <c r="J469" s="18">
        <f>L409</f>
        <v>228146.11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37173819.880000003</v>
      </c>
      <c r="G471" s="19">
        <f>SUM(G469:G470)</f>
        <v>743348.28</v>
      </c>
      <c r="H471" s="19">
        <f>SUM(H469:H470)</f>
        <v>1209154.0899999999</v>
      </c>
      <c r="I471" s="19">
        <f>SUM(I469:I470)</f>
        <v>0</v>
      </c>
      <c r="J471" s="19">
        <f>SUM(J469:J470)</f>
        <v>228146.11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36566978.969999999</v>
      </c>
      <c r="G473" s="18">
        <f>L363</f>
        <v>775210.29</v>
      </c>
      <c r="H473" s="18">
        <f>L353</f>
        <v>1209154.0900000001</v>
      </c>
      <c r="I473" s="18">
        <v>0</v>
      </c>
      <c r="J473" s="18">
        <f>L435</f>
        <v>159848.46000000002</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36566978.969999999</v>
      </c>
      <c r="G475" s="19">
        <f>SUM(G473:G474)</f>
        <v>775210.29</v>
      </c>
      <c r="H475" s="19">
        <f>SUM(H473:H474)</f>
        <v>1209154.0900000001</v>
      </c>
      <c r="I475" s="19">
        <f>SUM(I473:I474)</f>
        <v>0</v>
      </c>
      <c r="J475" s="19">
        <f>SUM(J473:J474)</f>
        <v>159848.46000000002</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1720911.3100000024</v>
      </c>
      <c r="G477" s="19">
        <f>(G466+G471)- G475</f>
        <v>165711.09999999998</v>
      </c>
      <c r="H477" s="19">
        <f>(H466+H471)- H475</f>
        <v>0</v>
      </c>
      <c r="I477" s="19">
        <f>(I466+I471)- I475</f>
        <v>0</v>
      </c>
      <c r="J477" s="19">
        <f>(J466+J471)- J475</f>
        <v>570019.06000000006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30732213.059999999</v>
      </c>
      <c r="G494" s="18"/>
      <c r="H494" s="18"/>
      <c r="I494" s="18"/>
      <c r="J494" s="18"/>
      <c r="K494" s="23" t="s">
        <v>288</v>
      </c>
      <c r="L494" s="23" t="s">
        <v>288</v>
      </c>
      <c r="N494" s="131"/>
    </row>
    <row r="495" spans="1:14" ht="12.2" customHeight="1" x14ac:dyDescent="0.2">
      <c r="A495" s="21" t="s">
        <v>618</v>
      </c>
      <c r="B495" s="22">
        <v>20</v>
      </c>
      <c r="C495" s="22">
        <v>5</v>
      </c>
      <c r="D495" s="2" t="s">
        <v>432</v>
      </c>
      <c r="E495" s="22"/>
      <c r="F495" s="18">
        <v>4.51</v>
      </c>
      <c r="G495" s="18"/>
      <c r="H495" s="18"/>
      <c r="I495" s="18"/>
      <c r="J495" s="18"/>
      <c r="K495" s="23" t="s">
        <v>288</v>
      </c>
      <c r="L495" s="23" t="s">
        <v>288</v>
      </c>
      <c r="N495" s="131"/>
    </row>
    <row r="496" spans="1:14" ht="12.2" customHeight="1" x14ac:dyDescent="0.2">
      <c r="A496" s="21" t="s">
        <v>619</v>
      </c>
      <c r="B496" s="22">
        <v>20</v>
      </c>
      <c r="C496" s="22">
        <v>6</v>
      </c>
      <c r="D496" s="2" t="s">
        <v>432</v>
      </c>
      <c r="E496" s="22"/>
      <c r="F496" s="18">
        <v>1030000</v>
      </c>
      <c r="G496" s="18"/>
      <c r="H496" s="18"/>
      <c r="I496" s="18"/>
      <c r="J496" s="18"/>
      <c r="K496" s="19">
        <f>SUM(F496:J496)</f>
        <v>1030000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0</v>
      </c>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0</v>
      </c>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v>0</v>
      </c>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v>0</v>
      </c>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v>0</v>
      </c>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466468.02</v>
      </c>
      <c r="G522" s="18">
        <v>234555.61</v>
      </c>
      <c r="H522" s="18">
        <v>1089089.1499999999</v>
      </c>
      <c r="I522" s="18">
        <v>34204.36</v>
      </c>
      <c r="J522" s="18">
        <v>0</v>
      </c>
      <c r="K522" s="18">
        <v>855</v>
      </c>
      <c r="L522" s="69">
        <f>SUM(F522:K522)</f>
        <v>1825172.14</v>
      </c>
      <c r="N522" s="131"/>
    </row>
    <row r="523" spans="1:14" ht="12.2" customHeight="1" x14ac:dyDescent="0.2">
      <c r="A523" s="21" t="s">
        <v>634</v>
      </c>
      <c r="B523" s="22">
        <v>21</v>
      </c>
      <c r="C523" s="22">
        <v>2</v>
      </c>
      <c r="D523" s="2" t="s">
        <v>432</v>
      </c>
      <c r="E523" s="22"/>
      <c r="F523" s="18">
        <v>347198.42</v>
      </c>
      <c r="G523" s="18">
        <v>280631.63</v>
      </c>
      <c r="H523" s="18">
        <v>608380.78</v>
      </c>
      <c r="I523" s="18">
        <v>17266.36</v>
      </c>
      <c r="J523" s="18">
        <v>0</v>
      </c>
      <c r="K523" s="18">
        <v>0</v>
      </c>
      <c r="L523" s="69">
        <f>SUM(F523:K523)</f>
        <v>1253477.1900000002</v>
      </c>
      <c r="N523" s="131"/>
    </row>
    <row r="524" spans="1:14" ht="12.2" customHeight="1" thickBot="1" x14ac:dyDescent="0.25">
      <c r="A524" s="21" t="s">
        <v>635</v>
      </c>
      <c r="B524" s="22">
        <v>21</v>
      </c>
      <c r="C524" s="22">
        <v>3</v>
      </c>
      <c r="D524" s="2" t="s">
        <v>432</v>
      </c>
      <c r="E524" s="22"/>
      <c r="F524" s="18">
        <v>138475.63</v>
      </c>
      <c r="G524" s="18">
        <v>68076.81</v>
      </c>
      <c r="H524" s="18">
        <v>4996240.62</v>
      </c>
      <c r="I524" s="18">
        <v>0</v>
      </c>
      <c r="J524" s="18">
        <v>0</v>
      </c>
      <c r="K524" s="18">
        <v>0</v>
      </c>
      <c r="L524" s="69">
        <f>SUM(F524:K524)</f>
        <v>5202793.0600000005</v>
      </c>
      <c r="N524" s="131"/>
    </row>
    <row r="525" spans="1:14" ht="12.2" customHeight="1" thickTop="1" x14ac:dyDescent="0.2">
      <c r="A525" s="97" t="s">
        <v>63</v>
      </c>
      <c r="B525" s="41">
        <v>21</v>
      </c>
      <c r="C525" s="41">
        <v>4</v>
      </c>
      <c r="D525" s="115" t="s">
        <v>432</v>
      </c>
      <c r="E525" s="41"/>
      <c r="F525" s="81">
        <f>SUM(F522:F524)</f>
        <v>952142.07</v>
      </c>
      <c r="G525" s="81">
        <f t="shared" ref="G525:L525" si="36">SUM(G522:G524)</f>
        <v>583264.05000000005</v>
      </c>
      <c r="H525" s="81">
        <f t="shared" si="36"/>
        <v>6693710.5499999998</v>
      </c>
      <c r="I525" s="81">
        <f t="shared" si="36"/>
        <v>51470.720000000001</v>
      </c>
      <c r="J525" s="81">
        <f t="shared" si="36"/>
        <v>0</v>
      </c>
      <c r="K525" s="81">
        <f t="shared" si="36"/>
        <v>855</v>
      </c>
      <c r="L525" s="70">
        <f t="shared" si="36"/>
        <v>8281442.3900000006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173189.69</v>
      </c>
      <c r="G527" s="18">
        <v>117679.16</v>
      </c>
      <c r="H527" s="18">
        <v>534972.59</v>
      </c>
      <c r="I527" s="18">
        <v>709.61</v>
      </c>
      <c r="J527" s="18">
        <v>0</v>
      </c>
      <c r="K527" s="18">
        <v>0</v>
      </c>
      <c r="L527" s="69">
        <f>SUM(F527:K527)</f>
        <v>826551.04999999993</v>
      </c>
      <c r="M527" s="8"/>
      <c r="N527" s="165"/>
    </row>
    <row r="528" spans="1:14" s="3" customFormat="1" ht="12.2" customHeight="1" x14ac:dyDescent="0.15">
      <c r="A528" s="21" t="s">
        <v>634</v>
      </c>
      <c r="B528" s="22">
        <v>21</v>
      </c>
      <c r="C528" s="22">
        <v>6</v>
      </c>
      <c r="D528" s="2" t="s">
        <v>432</v>
      </c>
      <c r="E528" s="22"/>
      <c r="F528" s="18">
        <v>22606.639999999999</v>
      </c>
      <c r="G528" s="18">
        <v>16491.8</v>
      </c>
      <c r="H528" s="18">
        <v>315967.71999999997</v>
      </c>
      <c r="I528" s="18">
        <v>132.58000000000001</v>
      </c>
      <c r="J528" s="18">
        <v>0</v>
      </c>
      <c r="K528" s="18">
        <v>0</v>
      </c>
      <c r="L528" s="69">
        <f>SUM(F528:K528)</f>
        <v>355198.74</v>
      </c>
      <c r="M528" s="8"/>
      <c r="N528" s="165"/>
    </row>
    <row r="529" spans="1:14" s="3" customFormat="1" ht="12.2" customHeight="1" thickBot="1" x14ac:dyDescent="0.2">
      <c r="A529" s="21" t="s">
        <v>635</v>
      </c>
      <c r="B529" s="22">
        <v>21</v>
      </c>
      <c r="C529" s="22">
        <v>7</v>
      </c>
      <c r="D529" s="2" t="s">
        <v>432</v>
      </c>
      <c r="E529" s="22"/>
      <c r="F529" s="18">
        <v>22606.639999999999</v>
      </c>
      <c r="G529" s="18">
        <v>16050.37</v>
      </c>
      <c r="H529" s="18">
        <v>155462.57</v>
      </c>
      <c r="I529" s="18">
        <v>0</v>
      </c>
      <c r="J529" s="18">
        <v>0</v>
      </c>
      <c r="K529" s="18">
        <v>0</v>
      </c>
      <c r="L529" s="69">
        <f>SUM(F529:K529)</f>
        <v>194119.58000000002</v>
      </c>
      <c r="M529" s="8"/>
      <c r="N529" s="165"/>
    </row>
    <row r="530" spans="1:14" s="3" customFormat="1" ht="12.2" customHeight="1" thickTop="1" x14ac:dyDescent="0.15">
      <c r="A530" s="97" t="s">
        <v>65</v>
      </c>
      <c r="B530" s="41">
        <v>21</v>
      </c>
      <c r="C530" s="41">
        <v>8</v>
      </c>
      <c r="D530" s="115" t="s">
        <v>432</v>
      </c>
      <c r="E530" s="41"/>
      <c r="F530" s="70">
        <f>SUM(F527:F529)</f>
        <v>218402.97000000003</v>
      </c>
      <c r="G530" s="70">
        <f t="shared" ref="G530:L530" si="37">SUM(G527:G529)</f>
        <v>150221.32999999999</v>
      </c>
      <c r="H530" s="70">
        <f t="shared" si="37"/>
        <v>1006402.8799999999</v>
      </c>
      <c r="I530" s="70">
        <f t="shared" si="37"/>
        <v>842.19</v>
      </c>
      <c r="J530" s="70">
        <f t="shared" si="37"/>
        <v>0</v>
      </c>
      <c r="K530" s="70">
        <f t="shared" si="37"/>
        <v>0</v>
      </c>
      <c r="L530" s="70">
        <f t="shared" si="37"/>
        <v>1375869.37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89197.01</v>
      </c>
      <c r="G532" s="18">
        <v>63933.24</v>
      </c>
      <c r="H532" s="18">
        <v>1343.03</v>
      </c>
      <c r="I532" s="18">
        <v>124.41</v>
      </c>
      <c r="J532" s="18">
        <v>541.26</v>
      </c>
      <c r="K532" s="18">
        <v>0</v>
      </c>
      <c r="L532" s="69">
        <f>SUM(F532:K532)</f>
        <v>155138.95000000001</v>
      </c>
      <c r="M532" s="8"/>
      <c r="N532" s="165"/>
    </row>
    <row r="533" spans="1:14" s="3" customFormat="1" ht="12.2" customHeight="1" x14ac:dyDescent="0.15">
      <c r="A533" s="21" t="s">
        <v>634</v>
      </c>
      <c r="B533" s="22">
        <v>21</v>
      </c>
      <c r="C533" s="22">
        <v>10</v>
      </c>
      <c r="D533" s="2" t="s">
        <v>432</v>
      </c>
      <c r="E533" s="22"/>
      <c r="F533" s="18">
        <v>86573.57</v>
      </c>
      <c r="G533" s="18">
        <v>62052.85</v>
      </c>
      <c r="H533" s="18">
        <v>1303.79</v>
      </c>
      <c r="I533" s="18">
        <v>120.75</v>
      </c>
      <c r="J533" s="18">
        <v>525.34</v>
      </c>
      <c r="K533" s="18">
        <v>0</v>
      </c>
      <c r="L533" s="69">
        <f>SUM(F533:K533)</f>
        <v>150576.30000000002</v>
      </c>
      <c r="M533" s="8"/>
      <c r="N533" s="165"/>
    </row>
    <row r="534" spans="1:14" s="3" customFormat="1" ht="12.2" customHeight="1" thickBot="1" x14ac:dyDescent="0.2">
      <c r="A534" s="21" t="s">
        <v>635</v>
      </c>
      <c r="B534" s="22">
        <v>21</v>
      </c>
      <c r="C534" s="22">
        <v>11</v>
      </c>
      <c r="D534" s="2" t="s">
        <v>432</v>
      </c>
      <c r="E534" s="22"/>
      <c r="F534" s="18">
        <v>86573.57</v>
      </c>
      <c r="G534" s="18">
        <v>62052.85</v>
      </c>
      <c r="H534" s="18">
        <v>1303.79</v>
      </c>
      <c r="I534" s="18">
        <v>120.75</v>
      </c>
      <c r="J534" s="18">
        <v>525.34</v>
      </c>
      <c r="K534" s="18">
        <v>0</v>
      </c>
      <c r="L534" s="69">
        <f>SUM(F534:K534)</f>
        <v>150576.30000000002</v>
      </c>
      <c r="M534" s="8"/>
      <c r="N534" s="165"/>
    </row>
    <row r="535" spans="1:14" s="3" customFormat="1" ht="12.2" customHeight="1" thickTop="1" x14ac:dyDescent="0.15">
      <c r="A535" s="97" t="s">
        <v>67</v>
      </c>
      <c r="B535" s="41">
        <v>21</v>
      </c>
      <c r="C535" s="41">
        <v>12</v>
      </c>
      <c r="D535" s="115" t="s">
        <v>432</v>
      </c>
      <c r="E535" s="41"/>
      <c r="F535" s="70">
        <f>SUM(F532:F534)</f>
        <v>262344.15000000002</v>
      </c>
      <c r="G535" s="70">
        <f t="shared" ref="G535:L535" si="38">SUM(G532:G534)</f>
        <v>188038.94</v>
      </c>
      <c r="H535" s="70">
        <f t="shared" si="38"/>
        <v>3950.6099999999997</v>
      </c>
      <c r="I535" s="70">
        <f t="shared" si="38"/>
        <v>365.90999999999997</v>
      </c>
      <c r="J535" s="70">
        <f t="shared" si="38"/>
        <v>1591.94</v>
      </c>
      <c r="K535" s="70">
        <f t="shared" si="38"/>
        <v>0</v>
      </c>
      <c r="L535" s="70">
        <f t="shared" si="38"/>
        <v>456291.55000000005</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3753.4</v>
      </c>
      <c r="I537" s="18">
        <v>0</v>
      </c>
      <c r="J537" s="18">
        <v>0</v>
      </c>
      <c r="K537" s="18">
        <v>0</v>
      </c>
      <c r="L537" s="69">
        <f>SUM(F537:K537)</f>
        <v>3753.4</v>
      </c>
      <c r="M537" s="8"/>
      <c r="N537" s="165"/>
    </row>
    <row r="538" spans="1:14" s="3" customFormat="1" ht="12.2" customHeight="1" x14ac:dyDescent="0.15">
      <c r="A538" s="21" t="s">
        <v>634</v>
      </c>
      <c r="B538" s="22">
        <v>21</v>
      </c>
      <c r="C538" s="22">
        <v>14</v>
      </c>
      <c r="D538" s="2" t="s">
        <v>432</v>
      </c>
      <c r="E538" s="22"/>
      <c r="F538" s="18">
        <v>0</v>
      </c>
      <c r="G538" s="18">
        <v>0</v>
      </c>
      <c r="H538" s="18">
        <v>3765.73</v>
      </c>
      <c r="I538" s="18">
        <v>0</v>
      </c>
      <c r="J538" s="18">
        <v>0</v>
      </c>
      <c r="K538" s="18">
        <v>0</v>
      </c>
      <c r="L538" s="69">
        <f>SUM(F538:K538)</f>
        <v>3765.73</v>
      </c>
      <c r="M538" s="8"/>
      <c r="N538" s="165"/>
    </row>
    <row r="539" spans="1:14" s="3" customFormat="1" ht="12.2" customHeight="1" thickBot="1" x14ac:dyDescent="0.2">
      <c r="A539" s="21" t="s">
        <v>635</v>
      </c>
      <c r="B539" s="22">
        <v>21</v>
      </c>
      <c r="C539" s="22">
        <v>15</v>
      </c>
      <c r="D539" s="2" t="s">
        <v>432</v>
      </c>
      <c r="E539" s="22"/>
      <c r="F539" s="18">
        <v>0</v>
      </c>
      <c r="G539" s="18">
        <v>0</v>
      </c>
      <c r="H539" s="18">
        <v>3643.01</v>
      </c>
      <c r="I539" s="18">
        <v>0</v>
      </c>
      <c r="J539" s="18">
        <v>0</v>
      </c>
      <c r="K539" s="18">
        <v>0</v>
      </c>
      <c r="L539" s="69">
        <f>SUM(F539:K539)</f>
        <v>3643.01</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11162.14</v>
      </c>
      <c r="I540" s="70">
        <f t="shared" si="39"/>
        <v>0</v>
      </c>
      <c r="J540" s="70">
        <f t="shared" si="39"/>
        <v>0</v>
      </c>
      <c r="K540" s="70">
        <f t="shared" si="39"/>
        <v>0</v>
      </c>
      <c r="L540" s="70">
        <f t="shared" si="39"/>
        <v>11162.14</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560260.17000000004</v>
      </c>
      <c r="I542" s="18">
        <v>0</v>
      </c>
      <c r="J542" s="18">
        <v>0</v>
      </c>
      <c r="K542" s="18">
        <v>0</v>
      </c>
      <c r="L542" s="69">
        <f>SUM(F542:K542)</f>
        <v>560260.17000000004</v>
      </c>
      <c r="M542" s="8"/>
      <c r="N542" s="165"/>
    </row>
    <row r="543" spans="1:14" s="3" customFormat="1" ht="12.2" customHeight="1" x14ac:dyDescent="0.15">
      <c r="A543" s="21" t="s">
        <v>634</v>
      </c>
      <c r="B543" s="22">
        <v>21</v>
      </c>
      <c r="C543" s="22">
        <v>18</v>
      </c>
      <c r="D543" s="2" t="s">
        <v>432</v>
      </c>
      <c r="E543" s="22"/>
      <c r="F543" s="18">
        <v>0</v>
      </c>
      <c r="G543" s="18">
        <v>0</v>
      </c>
      <c r="H543" s="18">
        <v>543781.93000000005</v>
      </c>
      <c r="I543" s="18">
        <v>0</v>
      </c>
      <c r="J543" s="18">
        <v>0</v>
      </c>
      <c r="K543" s="18">
        <v>0</v>
      </c>
      <c r="L543" s="69">
        <f>SUM(F543:K543)</f>
        <v>543781.93000000005</v>
      </c>
      <c r="M543" s="8"/>
      <c r="N543" s="165"/>
    </row>
    <row r="544" spans="1:14" s="3" customFormat="1" ht="12.2" customHeight="1" thickBot="1" x14ac:dyDescent="0.2">
      <c r="A544" s="21" t="s">
        <v>635</v>
      </c>
      <c r="B544" s="22">
        <v>21</v>
      </c>
      <c r="C544" s="22">
        <v>19</v>
      </c>
      <c r="D544" s="2" t="s">
        <v>432</v>
      </c>
      <c r="E544" s="22"/>
      <c r="F544" s="18">
        <v>0</v>
      </c>
      <c r="G544" s="18">
        <v>0</v>
      </c>
      <c r="H544" s="18">
        <v>543781.93000000005</v>
      </c>
      <c r="I544" s="18">
        <v>0</v>
      </c>
      <c r="J544" s="18">
        <v>0</v>
      </c>
      <c r="K544" s="18">
        <v>0</v>
      </c>
      <c r="L544" s="69">
        <f>SUM(F544:K544)</f>
        <v>543781.93000000005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1647824.0300000003</v>
      </c>
      <c r="I545" s="141">
        <f t="shared" si="40"/>
        <v>0</v>
      </c>
      <c r="J545" s="141">
        <f t="shared" si="40"/>
        <v>0</v>
      </c>
      <c r="K545" s="141">
        <f t="shared" si="40"/>
        <v>0</v>
      </c>
      <c r="L545" s="141">
        <f t="shared" si="40"/>
        <v>1647824.0300000003</v>
      </c>
      <c r="M545" s="8"/>
      <c r="N545" s="165"/>
    </row>
    <row r="546" spans="1:14" s="3" customFormat="1" ht="12.2" customHeight="1" thickTop="1" x14ac:dyDescent="0.15">
      <c r="A546" s="75" t="s">
        <v>72</v>
      </c>
      <c r="B546" s="41">
        <v>21</v>
      </c>
      <c r="C546" s="41">
        <v>21</v>
      </c>
      <c r="D546" s="115" t="s">
        <v>432</v>
      </c>
      <c r="E546" s="41"/>
      <c r="F546" s="70">
        <f>F525+F530+F535+F540+F545</f>
        <v>1432889.19</v>
      </c>
      <c r="G546" s="70">
        <f t="shared" ref="G546:L546" si="41">G525+G530+G535+G540+G545</f>
        <v>921524.32000000007</v>
      </c>
      <c r="H546" s="70">
        <f t="shared" si="41"/>
        <v>9363050.2100000009</v>
      </c>
      <c r="I546" s="70">
        <f t="shared" si="41"/>
        <v>52678.820000000007</v>
      </c>
      <c r="J546" s="70">
        <f t="shared" si="41"/>
        <v>1591.94</v>
      </c>
      <c r="K546" s="70">
        <f t="shared" si="41"/>
        <v>855</v>
      </c>
      <c r="L546" s="70">
        <f t="shared" si="41"/>
        <v>11772589.480000004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1825172.14</v>
      </c>
      <c r="G550" s="69">
        <f>L527</f>
        <v>826551.04999999993</v>
      </c>
      <c r="H550" s="69">
        <f>L532</f>
        <v>155138.95000000001</v>
      </c>
      <c r="I550" s="69">
        <f>L537</f>
        <v>3753.4</v>
      </c>
      <c r="J550" s="69">
        <f>L542</f>
        <v>560260.17000000004</v>
      </c>
      <c r="K550" s="69">
        <f>SUM(F550:J550)</f>
        <v>3370875.71</v>
      </c>
      <c r="L550" s="23" t="s">
        <v>288</v>
      </c>
      <c r="M550" s="8"/>
      <c r="N550" s="165"/>
    </row>
    <row r="551" spans="1:14" s="3" customFormat="1" ht="12.2" customHeight="1" x14ac:dyDescent="0.15">
      <c r="A551" s="21" t="s">
        <v>634</v>
      </c>
      <c r="B551" s="22">
        <v>21</v>
      </c>
      <c r="C551" s="22">
        <v>23</v>
      </c>
      <c r="D551" s="2" t="s">
        <v>432</v>
      </c>
      <c r="E551" s="22"/>
      <c r="F551" s="69">
        <f>L523</f>
        <v>1253477.1900000002</v>
      </c>
      <c r="G551" s="69">
        <f>L528</f>
        <v>355198.74</v>
      </c>
      <c r="H551" s="69">
        <f>L533</f>
        <v>150576.30000000002</v>
      </c>
      <c r="I551" s="69">
        <f>L538</f>
        <v>3765.73</v>
      </c>
      <c r="J551" s="69">
        <f>L543</f>
        <v>543781.93000000005</v>
      </c>
      <c r="K551" s="69">
        <f>SUM(F551:J551)</f>
        <v>2306799.89</v>
      </c>
      <c r="L551" s="23" t="s">
        <v>288</v>
      </c>
      <c r="M551" s="8"/>
      <c r="N551" s="165"/>
    </row>
    <row r="552" spans="1:14" s="3" customFormat="1" ht="12.2" customHeight="1" thickBot="1" x14ac:dyDescent="0.2">
      <c r="A552" s="21" t="s">
        <v>635</v>
      </c>
      <c r="B552" s="22">
        <v>21</v>
      </c>
      <c r="C552" s="22">
        <v>24</v>
      </c>
      <c r="D552" s="2" t="s">
        <v>432</v>
      </c>
      <c r="E552" s="22"/>
      <c r="F552" s="69">
        <f>L524</f>
        <v>5202793.0600000005</v>
      </c>
      <c r="G552" s="69">
        <f>L529</f>
        <v>194119.58000000002</v>
      </c>
      <c r="H552" s="69">
        <f>L534</f>
        <v>150576.30000000002</v>
      </c>
      <c r="I552" s="69">
        <f>L539</f>
        <v>3643.01</v>
      </c>
      <c r="J552" s="69">
        <f>L544</f>
        <v>543781.93000000005</v>
      </c>
      <c r="K552" s="69">
        <f>SUM(F552:J552)</f>
        <v>6094913.8799999999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8281442.3900000006</v>
      </c>
      <c r="G553" s="70">
        <f t="shared" si="42"/>
        <v>1375869.37</v>
      </c>
      <c r="H553" s="70">
        <f t="shared" si="42"/>
        <v>456291.55000000005</v>
      </c>
      <c r="I553" s="70">
        <f t="shared" si="42"/>
        <v>11162.14</v>
      </c>
      <c r="J553" s="70">
        <f t="shared" si="42"/>
        <v>1647824.0300000003</v>
      </c>
      <c r="K553" s="70">
        <f t="shared" si="42"/>
        <v>11772589.48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123178</v>
      </c>
      <c r="G563" s="18">
        <v>89956.56</v>
      </c>
      <c r="H563" s="18">
        <v>441.71</v>
      </c>
      <c r="I563" s="18">
        <v>206.98</v>
      </c>
      <c r="J563" s="18"/>
      <c r="K563" s="18"/>
      <c r="L563" s="69">
        <f>SUM(F563:K563)</f>
        <v>213783.25</v>
      </c>
      <c r="M563" s="8"/>
      <c r="N563" s="165"/>
    </row>
    <row r="564" spans="1:14" s="3" customFormat="1" ht="12.2" customHeight="1" x14ac:dyDescent="0.15">
      <c r="A564" s="21" t="s">
        <v>634</v>
      </c>
      <c r="B564" s="22">
        <v>22</v>
      </c>
      <c r="C564" s="22">
        <v>6</v>
      </c>
      <c r="D564" s="2" t="s">
        <v>432</v>
      </c>
      <c r="E564" s="22"/>
      <c r="F564" s="18">
        <v>47956.5</v>
      </c>
      <c r="G564" s="18">
        <v>32891.599999999999</v>
      </c>
      <c r="H564" s="18">
        <v>1059.33</v>
      </c>
      <c r="I564" s="18"/>
      <c r="J564" s="18"/>
      <c r="K564" s="18"/>
      <c r="L564" s="69">
        <f>SUM(F564:K564)</f>
        <v>81907.430000000008</v>
      </c>
      <c r="M564" s="8"/>
      <c r="N564" s="165"/>
    </row>
    <row r="565" spans="1:14" s="3" customFormat="1" ht="12.2" customHeight="1" thickBot="1" x14ac:dyDescent="0.2">
      <c r="A565" s="21" t="s">
        <v>635</v>
      </c>
      <c r="B565" s="22">
        <v>22</v>
      </c>
      <c r="C565" s="22">
        <v>7</v>
      </c>
      <c r="D565" s="2" t="s">
        <v>432</v>
      </c>
      <c r="E565" s="22"/>
      <c r="F565" s="18">
        <v>0</v>
      </c>
      <c r="G565" s="18">
        <v>0</v>
      </c>
      <c r="H565" s="18">
        <v>271.25</v>
      </c>
      <c r="I565" s="18"/>
      <c r="J565" s="18"/>
      <c r="K565" s="18"/>
      <c r="L565" s="69">
        <f>SUM(F565:K565)</f>
        <v>271.25</v>
      </c>
      <c r="M565" s="8"/>
      <c r="N565" s="165"/>
    </row>
    <row r="566" spans="1:14" s="3" customFormat="1" ht="12.2" customHeight="1" thickTop="1" x14ac:dyDescent="0.15">
      <c r="A566" s="97" t="s">
        <v>65</v>
      </c>
      <c r="B566" s="41">
        <v>22</v>
      </c>
      <c r="C566" s="41">
        <v>8</v>
      </c>
      <c r="D566" s="115" t="s">
        <v>432</v>
      </c>
      <c r="E566" s="41"/>
      <c r="F566" s="70">
        <f t="shared" ref="F566:L566" si="44">SUM(F563:F565)</f>
        <v>171134.5</v>
      </c>
      <c r="G566" s="70">
        <f t="shared" si="44"/>
        <v>122848.16</v>
      </c>
      <c r="H566" s="70">
        <f t="shared" si="44"/>
        <v>1772.29</v>
      </c>
      <c r="I566" s="70">
        <f t="shared" si="44"/>
        <v>206.98</v>
      </c>
      <c r="J566" s="70">
        <f t="shared" si="44"/>
        <v>0</v>
      </c>
      <c r="K566" s="70">
        <f t="shared" si="44"/>
        <v>0</v>
      </c>
      <c r="L566" s="70">
        <f t="shared" si="44"/>
        <v>295961.93</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171134.5</v>
      </c>
      <c r="G572" s="70">
        <f t="shared" ref="G572:L572" si="46">G561+G566+G571</f>
        <v>122848.16</v>
      </c>
      <c r="H572" s="70">
        <f t="shared" si="46"/>
        <v>1772.29</v>
      </c>
      <c r="I572" s="70">
        <f t="shared" si="46"/>
        <v>206.98</v>
      </c>
      <c r="J572" s="70">
        <f t="shared" si="46"/>
        <v>0</v>
      </c>
      <c r="K572" s="70">
        <f t="shared" si="46"/>
        <v>0</v>
      </c>
      <c r="L572" s="70">
        <f t="shared" si="46"/>
        <v>295961.93</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1938478.48</v>
      </c>
      <c r="I576" s="69">
        <f>SUM(F576:H576)</f>
        <v>1938478.48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5201556.8499999996</v>
      </c>
      <c r="I578" s="69">
        <f t="shared" si="47"/>
        <v>5201556.8499999996</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475130.47</v>
      </c>
      <c r="I580" s="69">
        <f t="shared" si="47"/>
        <v>475130.47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v>745770</v>
      </c>
      <c r="I581" s="69">
        <f t="shared" si="47"/>
        <v>745770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2145070</v>
      </c>
      <c r="I582" s="69">
        <f t="shared" si="47"/>
        <v>2145070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120804.8+10858.32+5451+3976.64</f>
        <v>141090.76</v>
      </c>
      <c r="G583" s="18">
        <f>8785.68+146745.57</f>
        <v>155531.25</v>
      </c>
      <c r="H583" s="18">
        <f>34367.59+979854.69</f>
        <v>1014222.2799999999</v>
      </c>
      <c r="I583" s="69">
        <f t="shared" si="47"/>
        <v>1310844.29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314986.7</v>
      </c>
      <c r="I592" s="18">
        <v>305722.38</v>
      </c>
      <c r="J592" s="18">
        <v>305722.38</v>
      </c>
      <c r="K592" s="80">
        <f t="shared" ref="K592:K598" si="48">SUM(H592:J592)</f>
        <v>926431.46000000008</v>
      </c>
      <c r="L592" s="23" t="s">
        <v>288</v>
      </c>
      <c r="M592" s="8"/>
      <c r="N592" s="165"/>
    </row>
    <row r="593" spans="1:14" s="3" customFormat="1" ht="12.2" customHeight="1" x14ac:dyDescent="0.15">
      <c r="A593" s="3" t="s">
        <v>638</v>
      </c>
      <c r="B593" s="22">
        <v>23</v>
      </c>
      <c r="C593" s="22">
        <v>2</v>
      </c>
      <c r="D593" s="2" t="s">
        <v>432</v>
      </c>
      <c r="E593" s="22"/>
      <c r="F593" s="78">
        <v>2722</v>
      </c>
      <c r="G593" s="79" t="s">
        <v>97</v>
      </c>
      <c r="H593" s="18">
        <v>560260.17000000004</v>
      </c>
      <c r="I593" s="18">
        <v>543781.93000000005</v>
      </c>
      <c r="J593" s="18">
        <v>543781.93000000005</v>
      </c>
      <c r="K593" s="80">
        <f t="shared" si="48"/>
        <v>1647824.0300000003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39883.480000000003</v>
      </c>
      <c r="J595" s="18"/>
      <c r="K595" s="80">
        <f t="shared" si="48"/>
        <v>39883.480000000003</v>
      </c>
      <c r="L595" s="23" t="s">
        <v>288</v>
      </c>
      <c r="M595" s="8"/>
      <c r="N595" s="165"/>
    </row>
    <row r="596" spans="1:14" s="3" customFormat="1" ht="12.2" customHeight="1" x14ac:dyDescent="0.15">
      <c r="A596" s="103" t="s">
        <v>652</v>
      </c>
      <c r="B596" s="22">
        <v>23</v>
      </c>
      <c r="C596" s="22">
        <v>5</v>
      </c>
      <c r="D596" s="2" t="s">
        <v>432</v>
      </c>
      <c r="E596" s="22"/>
      <c r="F596" s="78">
        <v>2725</v>
      </c>
      <c r="G596" s="79" t="s">
        <v>97</v>
      </c>
      <c r="H596" s="18">
        <f>480.69+3932.26</f>
        <v>4412.95</v>
      </c>
      <c r="I596" s="18">
        <v>3092.56</v>
      </c>
      <c r="J596" s="18"/>
      <c r="K596" s="80">
        <f t="shared" si="48"/>
        <v>7505.51</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879659.82000000007</v>
      </c>
      <c r="I599" s="81">
        <f>SUM(I592:I598)</f>
        <v>892480.35000000009</v>
      </c>
      <c r="J599" s="81">
        <f>SUM(J592:J598)</f>
        <v>849504.31</v>
      </c>
      <c r="K599" s="81">
        <f>SUM(K592:K598)</f>
        <v>2621644.48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J212</f>
        <v>62122.930000000008</v>
      </c>
      <c r="I605" s="18">
        <f>J230</f>
        <v>6034.57</v>
      </c>
      <c r="J605" s="18">
        <v>0</v>
      </c>
      <c r="K605" s="80">
        <f>SUM(H605:J605)</f>
        <v>68157.5</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62122.930000000008</v>
      </c>
      <c r="I606" s="81">
        <f>SUM(I603:I605)</f>
        <v>6034.57</v>
      </c>
      <c r="J606" s="81">
        <f>SUM(J603:J605)</f>
        <v>0</v>
      </c>
      <c r="K606" s="81">
        <f>SUM(K603:K605)</f>
        <v>68157.5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2301256.8400000003</v>
      </c>
      <c r="H618" s="80">
        <f>SUM(F52)</f>
        <v>2301256.84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194625.63</v>
      </c>
      <c r="H619" s="80">
        <f>SUM(G52)</f>
        <v>194625.63</v>
      </c>
      <c r="I619" s="87" t="s">
        <v>875</v>
      </c>
      <c r="J619" s="80">
        <f>G619-H619</f>
        <v>0</v>
      </c>
      <c r="K619" s="80"/>
      <c r="L619" s="80"/>
      <c r="M619" s="8"/>
    </row>
    <row r="620" spans="1:14" s="3" customFormat="1" ht="12.2" customHeight="1" x14ac:dyDescent="0.15">
      <c r="A620" s="74"/>
      <c r="B620" s="22"/>
      <c r="C620" s="22"/>
      <c r="D620" s="22"/>
      <c r="E620" s="22"/>
      <c r="F620" s="87" t="s">
        <v>685</v>
      </c>
      <c r="G620" s="80">
        <f>SUM(H19)</f>
        <v>267164.15999999997</v>
      </c>
      <c r="H620" s="80">
        <f>SUM(H52)</f>
        <v>267164.15999999997</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679957.52</v>
      </c>
      <c r="H622" s="80">
        <f>SUM(J52)</f>
        <v>679957.52</v>
      </c>
      <c r="I622" s="87" t="s">
        <v>878</v>
      </c>
      <c r="J622" s="80">
        <f>G622-H622</f>
        <v>0</v>
      </c>
      <c r="K622" s="80"/>
      <c r="L622" s="80"/>
      <c r="M622" s="8"/>
    </row>
    <row r="623" spans="1:14" s="3" customFormat="1" ht="12.2" customHeight="1" x14ac:dyDescent="0.15">
      <c r="A623" s="74"/>
      <c r="B623" s="22"/>
      <c r="C623" s="22"/>
      <c r="D623" s="22"/>
      <c r="E623" s="22"/>
      <c r="F623" s="87" t="s">
        <v>864</v>
      </c>
      <c r="G623" s="80">
        <f>F51</f>
        <v>1720911.31</v>
      </c>
      <c r="H623" s="80">
        <f>F477</f>
        <v>1720911.3100000024</v>
      </c>
      <c r="I623" s="87" t="s">
        <v>101</v>
      </c>
      <c r="J623" s="80">
        <f t="shared" ref="J623:J656" si="50">G623-H623</f>
        <v>-2.3283064365386963E-9</v>
      </c>
      <c r="K623" s="80"/>
      <c r="L623" s="80"/>
      <c r="M623" s="8"/>
    </row>
    <row r="624" spans="1:14" s="3" customFormat="1" ht="12.2" customHeight="1" x14ac:dyDescent="0.15">
      <c r="A624" s="74"/>
      <c r="B624" s="22"/>
      <c r="C624" s="85"/>
      <c r="D624" s="85"/>
      <c r="E624" s="85"/>
      <c r="F624" s="85" t="s">
        <v>865</v>
      </c>
      <c r="G624" s="80">
        <f>G51</f>
        <v>165711.1</v>
      </c>
      <c r="H624" s="80">
        <f>G477</f>
        <v>165711.09999999998</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570019.06000000006</v>
      </c>
      <c r="H627" s="80">
        <f>J477</f>
        <v>570019.06000000006</v>
      </c>
      <c r="I627" s="87" t="s">
        <v>105</v>
      </c>
      <c r="J627" s="80">
        <f t="shared" si="50"/>
        <v>0</v>
      </c>
      <c r="K627" s="67"/>
      <c r="L627" s="69"/>
      <c r="M627" s="8"/>
    </row>
    <row r="628" spans="1:13" s="3" customFormat="1" ht="12.2" customHeight="1" x14ac:dyDescent="0.15">
      <c r="A628" s="21"/>
      <c r="B628" s="22"/>
      <c r="C628" s="22"/>
      <c r="D628" s="22"/>
      <c r="E628" s="22"/>
      <c r="F628" s="86" t="s">
        <v>658</v>
      </c>
      <c r="G628" s="80">
        <f>F194</f>
        <v>37173819.880000003</v>
      </c>
      <c r="H628" s="80">
        <f>SUM(F469)</f>
        <v>37173819.880000003</v>
      </c>
      <c r="I628" s="87" t="s">
        <v>106</v>
      </c>
      <c r="J628" s="80">
        <f>G628-H628</f>
        <v>0</v>
      </c>
      <c r="K628" s="67"/>
      <c r="L628" s="69"/>
      <c r="M628" s="8"/>
    </row>
    <row r="629" spans="1:13" s="3" customFormat="1" ht="12.2" customHeight="1" x14ac:dyDescent="0.15">
      <c r="A629" s="21"/>
      <c r="B629" s="22"/>
      <c r="C629" s="22"/>
      <c r="D629" s="22"/>
      <c r="E629" s="22"/>
      <c r="F629" s="86" t="s">
        <v>659</v>
      </c>
      <c r="G629" s="80">
        <f>G194</f>
        <v>743348.28</v>
      </c>
      <c r="H629" s="80">
        <f>SUM(G469)</f>
        <v>743348.28</v>
      </c>
      <c r="I629" s="87" t="s">
        <v>107</v>
      </c>
      <c r="J629" s="80">
        <f>G629-H629</f>
        <v>0</v>
      </c>
      <c r="K629" s="67"/>
      <c r="L629" s="69"/>
      <c r="M629" s="8"/>
    </row>
    <row r="630" spans="1:13" s="3" customFormat="1" ht="12.2" customHeight="1" x14ac:dyDescent="0.15">
      <c r="A630" s="21"/>
      <c r="B630" s="22"/>
      <c r="C630" s="22"/>
      <c r="D630" s="22"/>
      <c r="E630" s="22"/>
      <c r="F630" s="86" t="s">
        <v>660</v>
      </c>
      <c r="G630" s="80">
        <f>H194</f>
        <v>1209154.0899999999</v>
      </c>
      <c r="H630" s="80">
        <f>SUM(H469)</f>
        <v>1209154.0899999999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228146.11</v>
      </c>
      <c r="H632" s="80">
        <f>SUM(J469)</f>
        <v>228146.11</v>
      </c>
      <c r="I632" s="87" t="s">
        <v>110</v>
      </c>
      <c r="J632" s="80">
        <f>G632-H632</f>
        <v>0</v>
      </c>
      <c r="K632" s="67"/>
      <c r="L632" s="69"/>
      <c r="M632" s="8"/>
    </row>
    <row r="633" spans="1:13" s="3" customFormat="1" ht="12.2" customHeight="1" x14ac:dyDescent="0.15">
      <c r="A633" s="21"/>
      <c r="B633" s="22"/>
      <c r="C633" s="22"/>
      <c r="D633" s="22"/>
      <c r="E633" s="22"/>
      <c r="F633" s="86" t="s">
        <v>394</v>
      </c>
      <c r="G633" s="80">
        <f>SUM(L272)</f>
        <v>36566978.969999999</v>
      </c>
      <c r="H633" s="80">
        <f>SUM(F473)</f>
        <v>36566978.969999999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1209154.0900000001</v>
      </c>
      <c r="H634" s="80">
        <f>SUM(H473)</f>
        <v>1209154.0900000001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381768.02999999997</v>
      </c>
      <c r="H635" s="80">
        <f>I370</f>
        <v>381768.02999999997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775210.29</v>
      </c>
      <c r="H636" s="80">
        <f>SUM(G473)</f>
        <v>775210.29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228146.11</v>
      </c>
      <c r="H638" s="108">
        <f>SUM(J469)</f>
        <v>228146.11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159848.46000000002</v>
      </c>
      <c r="H639" s="108">
        <f>SUM(J473)</f>
        <v>159848.46000000002</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679957.52</v>
      </c>
      <c r="H641" s="80">
        <f>SUM(G462)</f>
        <v>679957.52</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679957.52</v>
      </c>
      <c r="H643" s="80">
        <f>SUM(I462)</f>
        <v>679957.52</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3146.11</v>
      </c>
      <c r="H645" s="80">
        <f>H409</f>
        <v>3146.1099999999997</v>
      </c>
      <c r="I645" s="87" t="s">
        <v>480</v>
      </c>
      <c r="J645" s="80">
        <f t="shared" si="50"/>
        <v>0</v>
      </c>
      <c r="K645" s="67"/>
      <c r="L645" s="69"/>
      <c r="M645" s="8"/>
    </row>
    <row r="646" spans="1:13" s="3" customFormat="1" ht="12.2" customHeight="1" x14ac:dyDescent="0.15">
      <c r="A646" s="21"/>
      <c r="B646" s="22"/>
      <c r="C646" s="22"/>
      <c r="D646" s="22"/>
      <c r="E646" s="22"/>
      <c r="F646" s="86" t="s">
        <v>664</v>
      </c>
      <c r="G646" s="80">
        <f>J184</f>
        <v>225000</v>
      </c>
      <c r="H646" s="80">
        <f>G409</f>
        <v>225000</v>
      </c>
      <c r="I646" s="87" t="s">
        <v>481</v>
      </c>
      <c r="J646" s="80">
        <f t="shared" si="50"/>
        <v>0</v>
      </c>
      <c r="K646" s="67"/>
      <c r="L646" s="69"/>
      <c r="M646" s="8"/>
    </row>
    <row r="647" spans="1:13" s="3" customFormat="1" ht="12.2" customHeight="1" x14ac:dyDescent="0.15">
      <c r="A647" s="21"/>
      <c r="B647" s="22"/>
      <c r="C647" s="22"/>
      <c r="D647" s="22"/>
      <c r="E647" s="22"/>
      <c r="F647" s="86" t="s">
        <v>662</v>
      </c>
      <c r="G647" s="80">
        <f>J194</f>
        <v>228146.11</v>
      </c>
      <c r="H647" s="80">
        <f>L409</f>
        <v>228146.11</v>
      </c>
      <c r="I647" s="87" t="s">
        <v>477</v>
      </c>
      <c r="J647" s="80">
        <f t="shared" si="50"/>
        <v>0</v>
      </c>
      <c r="K647" s="67"/>
      <c r="L647" s="69"/>
      <c r="M647" s="8"/>
    </row>
    <row r="648" spans="1:13" s="3" customFormat="1" ht="12.2" customHeight="1" x14ac:dyDescent="0.15">
      <c r="A648" s="21"/>
      <c r="B648" s="22"/>
      <c r="C648" s="22"/>
      <c r="D648" s="22"/>
      <c r="E648" s="22"/>
      <c r="F648" s="86" t="s">
        <v>51</v>
      </c>
      <c r="G648" s="80">
        <f>K599</f>
        <v>2621644.48</v>
      </c>
      <c r="H648" s="80">
        <f>L209+L227+L245</f>
        <v>2621644.48</v>
      </c>
      <c r="I648" s="87" t="s">
        <v>396</v>
      </c>
      <c r="J648" s="80">
        <f t="shared" si="50"/>
        <v>0</v>
      </c>
      <c r="K648" s="67"/>
      <c r="L648" s="69"/>
      <c r="M648" s="8"/>
    </row>
    <row r="649" spans="1:13" s="3" customFormat="1" ht="12.2" customHeight="1" x14ac:dyDescent="0.15">
      <c r="A649" s="21"/>
      <c r="B649" s="22"/>
      <c r="C649" s="22"/>
      <c r="D649" s="22"/>
      <c r="E649" s="22"/>
      <c r="F649" s="86" t="s">
        <v>52</v>
      </c>
      <c r="G649" s="80">
        <f>K606</f>
        <v>68157.5</v>
      </c>
      <c r="H649" s="80">
        <f>(J258+J339)-(J256+J337)</f>
        <v>68157.5</v>
      </c>
      <c r="I649" s="87" t="s">
        <v>699</v>
      </c>
      <c r="J649" s="80">
        <f t="shared" si="50"/>
        <v>0</v>
      </c>
      <c r="K649" s="67"/>
      <c r="L649" s="69"/>
      <c r="M649" s="8"/>
    </row>
    <row r="650" spans="1:13" s="3" customFormat="1" ht="12.2" customHeight="1" x14ac:dyDescent="0.15">
      <c r="A650" s="21"/>
      <c r="B650" s="22"/>
      <c r="C650" s="22"/>
      <c r="D650" s="22"/>
      <c r="E650" s="22"/>
      <c r="F650" s="86" t="s">
        <v>387</v>
      </c>
      <c r="G650" s="80">
        <f>L209</f>
        <v>879659.82</v>
      </c>
      <c r="H650" s="80">
        <f>H599</f>
        <v>879659.82000000007</v>
      </c>
      <c r="I650" s="87" t="s">
        <v>388</v>
      </c>
      <c r="J650" s="80">
        <f t="shared" si="50"/>
        <v>0</v>
      </c>
      <c r="K650" s="67"/>
      <c r="L650" s="69"/>
      <c r="M650" s="8"/>
    </row>
    <row r="651" spans="1:13" s="3" customFormat="1" ht="12.2" customHeight="1" x14ac:dyDescent="0.15">
      <c r="A651" s="21"/>
      <c r="B651" s="22"/>
      <c r="C651" s="22"/>
      <c r="D651" s="22"/>
      <c r="E651" s="22"/>
      <c r="F651" s="86" t="s">
        <v>392</v>
      </c>
      <c r="G651" s="80">
        <f>L227</f>
        <v>892480.35</v>
      </c>
      <c r="H651" s="80">
        <f>I599</f>
        <v>892480.35000000009</v>
      </c>
      <c r="I651" s="87" t="s">
        <v>389</v>
      </c>
      <c r="J651" s="80">
        <f t="shared" si="50"/>
        <v>0</v>
      </c>
      <c r="K651" s="67"/>
      <c r="L651" s="69"/>
      <c r="M651" s="8"/>
    </row>
    <row r="652" spans="1:13" s="3" customFormat="1" ht="12.2" customHeight="1" x14ac:dyDescent="0.15">
      <c r="A652" s="21"/>
      <c r="B652" s="22"/>
      <c r="C652" s="22"/>
      <c r="D652" s="22"/>
      <c r="E652" s="22"/>
      <c r="F652" s="86" t="s">
        <v>393</v>
      </c>
      <c r="G652" s="80">
        <f>L245</f>
        <v>849504.31</v>
      </c>
      <c r="H652" s="80">
        <f>J599</f>
        <v>849504.31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225000</v>
      </c>
      <c r="H656" s="80">
        <f>K267+K348</f>
        <v>225000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14293462.610000003</v>
      </c>
      <c r="G661" s="13">
        <f>(L230+L310+L360)</f>
        <v>9173584.1900000013</v>
      </c>
      <c r="H661" s="13">
        <f>(L248+L329+L361)</f>
        <v>13729110.500000002</v>
      </c>
      <c r="I661" s="13">
        <f>SUM(F661:H661)</f>
        <v>37196157.300000004</v>
      </c>
      <c r="J661" s="13"/>
      <c r="K661" s="13"/>
      <c r="L661" s="13"/>
      <c r="M661" s="9"/>
    </row>
    <row r="662" spans="1:13" s="3" customFormat="1" ht="12.2" customHeight="1" x14ac:dyDescent="0.2">
      <c r="A662" s="1" t="s">
        <v>127</v>
      </c>
      <c r="F662" s="13">
        <f>(L359/IF(SUM(L359:L361)=0,1,SUM(L359:L361))*(SUM(G97:G110)))</f>
        <v>321321.20493072207</v>
      </c>
      <c r="G662" s="13">
        <f>(L360/IF(SUM(L359:L361)=0,1,SUM(L359:L361))*(SUM(G97:G110)))</f>
        <v>157106.44506927792</v>
      </c>
      <c r="H662" s="13">
        <f>(L361/IF(SUM(L359:L361)=0,1,SUM(L359:L361))*(SUM(G97:G110)))</f>
        <v>0</v>
      </c>
      <c r="I662" s="13">
        <f>SUM(F662:H662)</f>
        <v>478427.65</v>
      </c>
      <c r="J662"/>
      <c r="K662" s="13"/>
      <c r="L662" s="13"/>
      <c r="M662" s="8"/>
    </row>
    <row r="663" spans="1:13" s="3" customFormat="1" ht="12.2" customHeight="1" x14ac:dyDescent="0.2">
      <c r="A663" s="1" t="s">
        <v>128</v>
      </c>
      <c r="F663" s="13">
        <f>(L209+L288)-(J209+J288)</f>
        <v>879659.82</v>
      </c>
      <c r="G663" s="13">
        <f>(L227+L307)-(J227+J307)</f>
        <v>892480.35</v>
      </c>
      <c r="H663" s="13">
        <f>(L245+L326)-(J245+J326)</f>
        <v>849504.31</v>
      </c>
      <c r="I663" s="13">
        <f>SUM(F663:H663)</f>
        <v>2621644.48</v>
      </c>
      <c r="J663"/>
      <c r="K663" s="13"/>
      <c r="L663" s="13"/>
      <c r="M663" s="9"/>
    </row>
    <row r="664" spans="1:13" s="3" customFormat="1" ht="12.2" customHeight="1" x14ac:dyDescent="0.15">
      <c r="A664" s="142" t="s">
        <v>129</v>
      </c>
      <c r="B664" s="124"/>
      <c r="C664" s="124"/>
      <c r="D664" s="124"/>
      <c r="E664" s="124"/>
      <c r="F664" s="143">
        <f>SUM(F576:F588)+SUM(H603:H605)+SUM(L612)</f>
        <v>203213.69</v>
      </c>
      <c r="G664" s="143">
        <f>SUM(G576:G588)+SUM(I603:I605)+L613</f>
        <v>161565.82</v>
      </c>
      <c r="H664" s="143">
        <f>SUM(H576:H588)+SUM(J603:J605)+L614</f>
        <v>11520228.08</v>
      </c>
      <c r="I664" s="13">
        <f>SUM(F664:H664)</f>
        <v>11885007.59</v>
      </c>
      <c r="J664" s="13"/>
      <c r="K664" s="13"/>
      <c r="L664" s="13"/>
      <c r="M664" s="9"/>
    </row>
    <row r="665" spans="1:13" s="3" customFormat="1" ht="12.2" customHeight="1" x14ac:dyDescent="0.15">
      <c r="A665" s="1" t="s">
        <v>130</v>
      </c>
      <c r="F665" s="13">
        <f>F661-SUM(F662:F664)</f>
        <v>12889267.895069281</v>
      </c>
      <c r="G665" s="13">
        <f>G661-SUM(G662:G664)</f>
        <v>7962431.5749307238</v>
      </c>
      <c r="H665" s="13">
        <f>H661-SUM(H662:H664)</f>
        <v>1359378.1100000013</v>
      </c>
      <c r="I665" s="13">
        <f>I661-SUM(I662:I664)</f>
        <v>22211077.580000006</v>
      </c>
      <c r="J665" s="13"/>
      <c r="K665" s="13"/>
      <c r="L665" s="13"/>
      <c r="M665" s="8"/>
    </row>
    <row r="666" spans="1:13" s="3" customFormat="1" ht="12.2" customHeight="1" x14ac:dyDescent="0.2">
      <c r="A666" s="1" t="s">
        <v>131</v>
      </c>
      <c r="F666" s="183">
        <v>821.92</v>
      </c>
      <c r="G666" s="184">
        <v>424.53</v>
      </c>
      <c r="H666" s="184"/>
      <c r="I666" s="13">
        <f>SUM(F666:H666)</f>
        <v>1246.4499999999998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15681.9</v>
      </c>
      <c r="G668" s="13">
        <f>ROUND(G665/G666,2)</f>
        <v>18755.87</v>
      </c>
      <c r="H668" s="13" t="e">
        <f>ROUND(H665/H666,2)</f>
        <v>#DIV/0!</v>
      </c>
      <c r="I668" s="13">
        <f>ROUND(I665/I666,2)</f>
        <v>17819.47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-1359378.1100000013</v>
      </c>
      <c r="I670" s="13">
        <f>SUM(F670:H670)</f>
        <v>-1359378.1100000013</v>
      </c>
      <c r="J670" s="13"/>
      <c r="K670" s="13"/>
      <c r="L670" s="13"/>
      <c r="M670" s="9"/>
    </row>
    <row r="671" spans="1:13" s="3" customFormat="1" ht="12.2" customHeight="1" x14ac:dyDescent="0.15">
      <c r="A671" s="1" t="s">
        <v>135</v>
      </c>
      <c r="F671" s="18"/>
      <c r="G671" s="18"/>
      <c r="H671" s="18">
        <v>-0.67</v>
      </c>
      <c r="I671" s="13">
        <f>SUM(F671:H671)</f>
        <v>-0.67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15681.9</v>
      </c>
      <c r="G673" s="13">
        <f>ROUND((G665+G670)/(G666+G671),2)</f>
        <v>18755.87</v>
      </c>
      <c r="H673" s="13">
        <f>ROUND((H665+H670)/(H666+H671),2)</f>
        <v>0</v>
      </c>
      <c r="I673" s="13">
        <f>ROUND((I665+I670)/(I666+I671),2)</f>
        <v>16737.87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I20" sqref="I2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115373.48000000001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84988.52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30384.959999999999</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Hooksett</v>
      </c>
      <c r="C5" s="317"/>
      <c r="D5" s="317"/>
      <c r="E5" s="317"/>
      <c r="F5" s="317"/>
    </row>
    <row r="8" spans="1:9" ht="18" x14ac:dyDescent="0.25">
      <c r="A8" s="240" t="s">
        <v>1560</v>
      </c>
      <c r="F8" s="247" t="s">
        <v>1578</v>
      </c>
    </row>
    <row r="9" spans="1:9" ht="15" x14ac:dyDescent="0.2">
      <c r="A9" s="238" t="s">
        <v>1561</v>
      </c>
      <c r="B9" s="241">
        <f>'DOE25'!G97</f>
        <v>478427.65</v>
      </c>
      <c r="F9" s="238" t="s">
        <v>1574</v>
      </c>
    </row>
    <row r="10" spans="1:9" ht="15" x14ac:dyDescent="0.2">
      <c r="A10" s="238" t="s">
        <v>1562</v>
      </c>
      <c r="B10" s="241">
        <f>'DOE25'!G112-'DOE25'!G97</f>
        <v>0</v>
      </c>
      <c r="F10" s="238" t="s">
        <v>1575</v>
      </c>
    </row>
    <row r="11" spans="1:9" ht="15" x14ac:dyDescent="0.2">
      <c r="A11" s="238" t="s">
        <v>1563</v>
      </c>
      <c r="B11" s="241">
        <f>'DOE25'!G140</f>
        <v>8010.98</v>
      </c>
      <c r="F11" s="238" t="s">
        <v>1576</v>
      </c>
    </row>
    <row r="12" spans="1:9" ht="15" x14ac:dyDescent="0.2">
      <c r="A12" s="238" t="s">
        <v>1564</v>
      </c>
      <c r="B12" s="241">
        <f>'DOE25'!G170</f>
        <v>256909.65</v>
      </c>
      <c r="F12" s="238" t="s">
        <v>1577</v>
      </c>
    </row>
    <row r="13" spans="1:9" ht="15" x14ac:dyDescent="0.2">
      <c r="A13" s="238" t="s">
        <v>1565</v>
      </c>
      <c r="B13" s="241">
        <f>'DOE25'!G193-'DOE25'!G180</f>
        <v>0</v>
      </c>
      <c r="F13" s="238" t="s">
        <v>1587</v>
      </c>
    </row>
    <row r="14" spans="1:9" ht="18" x14ac:dyDescent="0.25">
      <c r="A14" s="240" t="s">
        <v>732</v>
      </c>
      <c r="B14" s="242">
        <f>SUM(B9:B13)</f>
        <v>743348.28</v>
      </c>
    </row>
    <row r="16" spans="1:9" ht="18" x14ac:dyDescent="0.25">
      <c r="A16" s="240" t="s">
        <v>786</v>
      </c>
      <c r="F16" s="247" t="s">
        <v>1579</v>
      </c>
    </row>
    <row r="17" spans="1:6" ht="15" x14ac:dyDescent="0.2">
      <c r="A17" s="238" t="s">
        <v>1566</v>
      </c>
      <c r="B17" s="241">
        <f>'DOE25'!L363-'DOE25'!L362</f>
        <v>775210.29</v>
      </c>
      <c r="F17" s="238" t="s">
        <v>1580</v>
      </c>
    </row>
    <row r="18" spans="1:6" ht="15" x14ac:dyDescent="0.2">
      <c r="A18" s="238" t="s">
        <v>1567</v>
      </c>
      <c r="B18" s="251"/>
      <c r="F18" s="247" t="s">
        <v>1604</v>
      </c>
    </row>
    <row r="19" spans="1:6" ht="18" x14ac:dyDescent="0.25">
      <c r="A19" s="240" t="s">
        <v>725</v>
      </c>
      <c r="B19" s="242">
        <f>SUM(B17:B18)</f>
        <v>775210.29</v>
      </c>
    </row>
    <row r="21" spans="1:6" ht="18.75" thickBot="1" x14ac:dyDescent="0.3">
      <c r="A21" s="240" t="s">
        <v>1568</v>
      </c>
    </row>
    <row r="22" spans="1:6" ht="18.75" thickTop="1" x14ac:dyDescent="0.25">
      <c r="A22" s="240" t="s">
        <v>1569</v>
      </c>
      <c r="B22" s="246">
        <f>B14-B19</f>
        <v>-31862.010000000009</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197573.11</v>
      </c>
      <c r="F31" s="238" t="s">
        <v>1584</v>
      </c>
    </row>
    <row r="33" spans="1:6" ht="15" x14ac:dyDescent="0.2">
      <c r="A33" s="238" t="s">
        <v>1798</v>
      </c>
      <c r="B33" s="241">
        <f>'DOE25'!G477</f>
        <v>165711.09999999998</v>
      </c>
      <c r="F33" s="238" t="s">
        <v>1585</v>
      </c>
    </row>
    <row r="36" spans="1:6" ht="15" x14ac:dyDescent="0.2">
      <c r="A36" s="238" t="s">
        <v>1571</v>
      </c>
      <c r="B36" s="252">
        <v>45806.080000000002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25" zoomScaleNormal="125" workbookViewId="0">
      <selection activeCell="C22" sqref="C22"/>
    </sheetView>
  </sheetViews>
  <sheetFormatPr defaultRowHeight="11.25" x14ac:dyDescent="0.2"/>
  <cols>
    <col min="1" max="1" width="26.6640625" customWidth="1"/>
    <col min="2" max="2" width="33.6640625" customWidth="1"/>
    <col min="3" max="3" width="29.5" customWidth="1"/>
  </cols>
  <sheetData>
    <row r="1" spans="1:3" x14ac:dyDescent="0.2">
      <c r="A1" s="171" t="s">
        <v>781</v>
      </c>
      <c r="B1" s="170" t="str">
        <f>'DOE25'!A2</f>
        <v>Hooksett</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5793633.5900000008</v>
      </c>
      <c r="C9" s="167">
        <f>'DOE25'!G198+'DOE25'!G216+'DOE25'!G234+'DOE25'!G277+'DOE25'!G296+'DOE25'!G315</f>
        <v>3256506.4099999997</v>
      </c>
    </row>
    <row r="10" spans="1:3" x14ac:dyDescent="0.2">
      <c r="A10" t="s">
        <v>775</v>
      </c>
      <c r="B10" s="177">
        <v>5218818.42</v>
      </c>
      <c r="C10" s="177">
        <v>2933412.23</v>
      </c>
    </row>
    <row r="11" spans="1:3" x14ac:dyDescent="0.2">
      <c r="A11" t="s">
        <v>776</v>
      </c>
      <c r="B11" s="177">
        <v>139533.97</v>
      </c>
      <c r="C11" s="177">
        <v>78429.759999999995</v>
      </c>
    </row>
    <row r="12" spans="1:3" x14ac:dyDescent="0.2">
      <c r="A12" t="s">
        <v>777</v>
      </c>
      <c r="B12" s="177">
        <v>435281.2</v>
      </c>
      <c r="C12" s="177">
        <v>244664.42</v>
      </c>
    </row>
    <row r="13" spans="1:3" x14ac:dyDescent="0.2">
      <c r="A13" t="str">
        <f>IF(B9=B13,IF(C9=C13,"Check Total OK","Check Total Error"),"Check Total Error")</f>
        <v>Check Total OK</v>
      </c>
      <c r="B13" s="169">
        <f>SUM(B10:B12)</f>
        <v>5793633.5899999999</v>
      </c>
      <c r="C13" s="169">
        <f>SUM(C10:C12)</f>
        <v>3256506.4099999997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1573792.7200000002</v>
      </c>
      <c r="C18" s="167">
        <f>'DOE25'!G199+'DOE25'!G217+'DOE25'!G235+'DOE25'!G278+'DOE25'!G297+'DOE25'!G316</f>
        <v>984857.79</v>
      </c>
    </row>
    <row r="19" spans="1:3" x14ac:dyDescent="0.2">
      <c r="A19" t="s">
        <v>775</v>
      </c>
      <c r="B19" s="177">
        <v>968811.06</v>
      </c>
      <c r="C19" s="177">
        <v>606268.61</v>
      </c>
    </row>
    <row r="20" spans="1:3" x14ac:dyDescent="0.2">
      <c r="A20" t="s">
        <v>776</v>
      </c>
      <c r="B20" s="177">
        <v>222602.57</v>
      </c>
      <c r="C20" s="177">
        <v>139301.62</v>
      </c>
    </row>
    <row r="21" spans="1:3" x14ac:dyDescent="0.2">
      <c r="A21" t="s">
        <v>777</v>
      </c>
      <c r="B21" s="177">
        <v>382379.09</v>
      </c>
      <c r="C21" s="177">
        <v>239287.56</v>
      </c>
    </row>
    <row r="22" spans="1:3" x14ac:dyDescent="0.2">
      <c r="A22" t="str">
        <f>IF(B18=B22,IF(C18=C22,"Check Total OK","Check Total Error"),"Check Total Error")</f>
        <v>Check Total OK</v>
      </c>
      <c r="B22" s="169">
        <f>SUM(B19:B21)</f>
        <v>1573792.7200000002</v>
      </c>
      <c r="C22" s="169">
        <f>SUM(C19:C21)</f>
        <v>984857.79</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62745</v>
      </c>
      <c r="C36" s="173">
        <f>'DOE25'!G201+'DOE25'!G219+'DOE25'!G237+'DOE25'!G280+'DOE25'!G299+'DOE25'!G318</f>
        <v>13893.98</v>
      </c>
    </row>
    <row r="37" spans="1:3" x14ac:dyDescent="0.2">
      <c r="A37" t="s">
        <v>775</v>
      </c>
      <c r="B37" s="177"/>
      <c r="C37" s="177"/>
    </row>
    <row r="38" spans="1:3" x14ac:dyDescent="0.2">
      <c r="A38" t="s">
        <v>776</v>
      </c>
      <c r="B38" s="177"/>
      <c r="C38" s="177"/>
    </row>
    <row r="39" spans="1:3" x14ac:dyDescent="0.2">
      <c r="A39" t="s">
        <v>777</v>
      </c>
      <c r="B39" s="177">
        <v>62745</v>
      </c>
      <c r="C39" s="177">
        <v>13893.98</v>
      </c>
    </row>
    <row r="40" spans="1:3" x14ac:dyDescent="0.2">
      <c r="A40" t="str">
        <f>IF(B36=B40,IF(C36=C40,"Check Total OK","Check Total Error"),"Check Total Error")</f>
        <v>Check Total OK</v>
      </c>
      <c r="B40" s="169">
        <f>SUM(B37:B39)</f>
        <v>62745</v>
      </c>
      <c r="C40" s="169">
        <f>SUM(C37:C39)</f>
        <v>13893.98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43" sqref="F43"/>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0" t="s">
        <v>889</v>
      </c>
      <c r="B1" s="323"/>
      <c r="C1" s="323"/>
      <c r="D1" s="323"/>
      <c r="E1" s="323"/>
      <c r="F1" s="323"/>
      <c r="G1" s="323"/>
      <c r="H1" s="323"/>
      <c r="I1" s="131"/>
    </row>
    <row r="2" spans="1:9" x14ac:dyDescent="0.2">
      <c r="A2" s="32" t="s">
        <v>713</v>
      </c>
      <c r="B2" s="196" t="str">
        <f>'DOE25'!A2</f>
        <v>Hooksett</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25024608.660000004</v>
      </c>
      <c r="D5" s="19">
        <f>SUM('DOE25'!L198:L201)+SUM('DOE25'!L216:L219)+SUM('DOE25'!L234:L237)-F5-G5-H5</f>
        <v>24970805.670000006</v>
      </c>
      <c r="E5" s="180"/>
      <c r="F5" s="181"/>
      <c r="G5" s="19">
        <f>SUM('DOE25'!J198:J201)+SUM('DOE25'!J216:J219)+SUM('DOE25'!J234:J237)</f>
        <v>47782.990000000005</v>
      </c>
      <c r="H5" s="19">
        <f>SUM('DOE25'!K198:K201)+SUM('DOE25'!K216:K219)+SUM('DOE25'!K234:K237)</f>
        <v>6020</v>
      </c>
      <c r="I5" s="192"/>
    </row>
    <row r="6" spans="1:9" x14ac:dyDescent="0.2">
      <c r="A6" s="31">
        <v>2100</v>
      </c>
      <c r="B6" t="s">
        <v>796</v>
      </c>
      <c r="C6" s="206">
        <f t="shared" si="0"/>
        <v>2431764.64</v>
      </c>
      <c r="D6" s="19">
        <f>'DOE25'!L203+'DOE25'!L221+'DOE25'!L239-F6-G6-H6</f>
        <v>2431584.64</v>
      </c>
      <c r="E6" s="180"/>
      <c r="F6" s="181"/>
      <c r="G6" s="19">
        <f>'DOE25'!J203+'DOE25'!J221+'DOE25'!J239</f>
        <v>0</v>
      </c>
      <c r="H6" s="19">
        <f>'DOE25'!K203+'DOE25'!K221+'DOE25'!K239</f>
        <v>180</v>
      </c>
      <c r="I6" s="192"/>
    </row>
    <row r="7" spans="1:9" x14ac:dyDescent="0.2">
      <c r="A7" s="31">
        <v>2200</v>
      </c>
      <c r="B7" t="s">
        <v>820</v>
      </c>
      <c r="C7" s="206">
        <f t="shared" si="0"/>
        <v>510613.29000000004</v>
      </c>
      <c r="D7" s="19">
        <f>'DOE25'!L204+'DOE25'!L222+'DOE25'!L240-F7-G7-H7</f>
        <v>508102.59</v>
      </c>
      <c r="E7" s="180"/>
      <c r="F7" s="181"/>
      <c r="G7" s="19">
        <f>'DOE25'!J204+'DOE25'!J222+'DOE25'!J240</f>
        <v>1936.7</v>
      </c>
      <c r="H7" s="19">
        <f>'DOE25'!K204+'DOE25'!K222+'DOE25'!K240</f>
        <v>574</v>
      </c>
      <c r="I7" s="192"/>
    </row>
    <row r="8" spans="1:9" x14ac:dyDescent="0.2">
      <c r="A8" s="31">
        <v>2300</v>
      </c>
      <c r="B8" t="s">
        <v>797</v>
      </c>
      <c r="C8" s="206">
        <f t="shared" si="0"/>
        <v>819799.99000000011</v>
      </c>
      <c r="D8" s="180"/>
      <c r="E8" s="19">
        <f>'DOE25'!L205+'DOE25'!L223+'DOE25'!L241-F8-G8-H8-D9-D11</f>
        <v>813276.50000000012</v>
      </c>
      <c r="F8" s="181"/>
      <c r="G8" s="19">
        <f>'DOE25'!J205+'DOE25'!J223+'DOE25'!J241</f>
        <v>0</v>
      </c>
      <c r="H8" s="19">
        <f>'DOE25'!K205+'DOE25'!K223+'DOE25'!K241</f>
        <v>6523.49</v>
      </c>
      <c r="I8" s="192"/>
    </row>
    <row r="9" spans="1:9" ht="14.25" x14ac:dyDescent="0.2">
      <c r="A9" s="31">
        <v>2310</v>
      </c>
      <c r="B9" s="71" t="s">
        <v>887</v>
      </c>
      <c r="C9" s="206">
        <f t="shared" si="0"/>
        <v>106166.9</v>
      </c>
      <c r="D9" s="181">
        <v>106166.9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1367034.0799999998</v>
      </c>
      <c r="D12" s="19">
        <f>'DOE25'!L206+'DOE25'!L224+'DOE25'!L242-F12-G12-H12</f>
        <v>1361965.0799999998</v>
      </c>
      <c r="E12" s="180"/>
      <c r="F12" s="181"/>
      <c r="G12" s="19">
        <f>'DOE25'!J206+'DOE25'!J224+'DOE25'!J242</f>
        <v>0</v>
      </c>
      <c r="H12" s="19">
        <f>'DOE25'!K206+'DOE25'!K224+'DOE25'!K242</f>
        <v>5069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1968376.98</v>
      </c>
      <c r="D14" s="19">
        <f>'DOE25'!L208+'DOE25'!L226+'DOE25'!L244-F14-G14-H14</f>
        <v>1949939.17</v>
      </c>
      <c r="E14" s="180"/>
      <c r="F14" s="181"/>
      <c r="G14" s="19">
        <f>'DOE25'!J208+'DOE25'!J226+'DOE25'!J244</f>
        <v>18437.810000000001</v>
      </c>
      <c r="H14" s="19">
        <f>'DOE25'!K208+'DOE25'!K226+'DOE25'!K244</f>
        <v>0</v>
      </c>
      <c r="I14" s="192"/>
    </row>
    <row r="15" spans="1:9" x14ac:dyDescent="0.2">
      <c r="A15" s="31">
        <v>2700</v>
      </c>
      <c r="B15" t="s">
        <v>799</v>
      </c>
      <c r="C15" s="206">
        <f t="shared" si="0"/>
        <v>2621644.48</v>
      </c>
      <c r="D15" s="19">
        <f>'DOE25'!L209+'DOE25'!L227+'DOE25'!L245-F15-G15-H15</f>
        <v>1720213.02</v>
      </c>
      <c r="E15" s="180"/>
      <c r="F15" s="181">
        <v>901431.46</v>
      </c>
      <c r="G15" s="19">
        <f>'DOE25'!J209+'DOE25'!J227+'DOE25'!J245</f>
        <v>0</v>
      </c>
      <c r="H15" s="19">
        <f>'DOE25'!K209+'DOE25'!K227+'DOE25'!K245</f>
        <v>0</v>
      </c>
      <c r="I15" s="192"/>
    </row>
    <row r="16" spans="1:9" x14ac:dyDescent="0.2">
      <c r="A16" s="31">
        <v>2800</v>
      </c>
      <c r="B16" t="s">
        <v>800</v>
      </c>
      <c r="C16" s="206">
        <f t="shared" si="0"/>
        <v>361783.89999999997</v>
      </c>
      <c r="D16" s="180"/>
      <c r="E16" s="19">
        <f>'DOE25'!L210+'DOE25'!L228+'DOE25'!L246-F16-G16-H16</f>
        <v>360901.49</v>
      </c>
      <c r="F16" s="181"/>
      <c r="G16" s="19">
        <f>'DOE25'!J210+'DOE25'!J228+'DOE25'!J246</f>
        <v>0</v>
      </c>
      <c r="H16" s="19">
        <f>'DOE25'!K210+'DOE25'!K228+'DOE25'!K246</f>
        <v>882.41000000000008</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1055750</v>
      </c>
      <c r="D25" s="180"/>
      <c r="E25" s="180"/>
      <c r="F25" s="191"/>
      <c r="G25" s="180"/>
      <c r="H25" s="180"/>
      <c r="I25" s="190">
        <f>'DOE25'!L261+'DOE25'!L262+'DOE25'!L342+'DOE25'!L343</f>
        <v>1055750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428244.31000000006</v>
      </c>
      <c r="D29" s="212">
        <f>'DOE25'!L359+'DOE25'!L360+'DOE25'!L361-'DOE25'!I368-F29-G29-H29-F39</f>
        <v>413425.71000000008</v>
      </c>
      <c r="E29" s="180"/>
      <c r="F29" s="180"/>
      <c r="G29" s="19">
        <f>'DOE25'!J359+'DOE25'!J360+'DOE25'!J361</f>
        <v>14018.6</v>
      </c>
      <c r="H29" s="19">
        <f>'DOE25'!K359+'DOE25'!K360+'DOE25'!K361</f>
        <v>800</v>
      </c>
      <c r="I29" s="192"/>
    </row>
    <row r="30" spans="1:9" x14ac:dyDescent="0.2">
      <c r="A30" s="31"/>
      <c r="C30" s="207"/>
      <c r="D30" s="19"/>
      <c r="F30" s="201"/>
      <c r="G30" s="19"/>
      <c r="H30" s="19"/>
      <c r="I30" s="192"/>
    </row>
    <row r="31" spans="1:9" x14ac:dyDescent="0.2">
      <c r="A31" s="31" t="s">
        <v>817</v>
      </c>
      <c r="B31" t="s">
        <v>816</v>
      </c>
      <c r="C31" s="206">
        <f>SUM(D31:I31)</f>
        <v>1209154.0900000001</v>
      </c>
      <c r="D31" s="19">
        <f>'DOE25'!L291+'DOE25'!L310+'DOE25'!L329+'DOE25'!L334+'DOE25'!L335+'DOE25'!L336-F31-G31-H31</f>
        <v>1200095.33</v>
      </c>
      <c r="E31" s="180"/>
      <c r="F31" s="181"/>
      <c r="G31" s="19">
        <f>'DOE25'!J291+'DOE25'!J310+'DOE25'!J329+'DOE25'!J334+'DOE25'!J335+'DOE25'!J336</f>
        <v>0</v>
      </c>
      <c r="H31" s="19">
        <f>'DOE25'!K291+'DOE25'!K310+'DOE25'!K329+'DOE25'!K334+'DOE25'!K335+'DOE25'!K336</f>
        <v>9058.76</v>
      </c>
      <c r="I31" s="192"/>
    </row>
    <row r="32" spans="1:9" ht="12" thickBot="1" x14ac:dyDescent="0.25">
      <c r="C32" s="207"/>
      <c r="G32" s="188"/>
      <c r="H32" s="188"/>
      <c r="I32" s="194"/>
    </row>
    <row r="33" spans="1:9" ht="12" thickTop="1" x14ac:dyDescent="0.2">
      <c r="B33" t="s">
        <v>809</v>
      </c>
      <c r="D33" s="182">
        <f t="shared" ref="D33:I33" si="1">SUM(D5:D31)</f>
        <v>34662298.110000007</v>
      </c>
      <c r="E33" s="182">
        <f t="shared" si="1"/>
        <v>1174177.9900000002</v>
      </c>
      <c r="F33" s="182">
        <f t="shared" si="1"/>
        <v>901431.46</v>
      </c>
      <c r="G33" s="182">
        <f t="shared" si="1"/>
        <v>82176.100000000006</v>
      </c>
      <c r="H33" s="182">
        <f t="shared" si="1"/>
        <v>29107.659999999996</v>
      </c>
      <c r="I33" s="182">
        <f t="shared" si="1"/>
        <v>1055750</v>
      </c>
    </row>
    <row r="34" spans="1:9" ht="12" thickBot="1" x14ac:dyDescent="0.25"/>
    <row r="35" spans="1:9" ht="12" thickBot="1" x14ac:dyDescent="0.25">
      <c r="B35" s="188" t="s">
        <v>830</v>
      </c>
      <c r="D35" s="189">
        <f>E33</f>
        <v>1174177.9900000002</v>
      </c>
      <c r="E35" s="185"/>
      <c r="F35" s="295" t="s">
        <v>1608</v>
      </c>
      <c r="G35" s="296"/>
      <c r="H35" s="296"/>
      <c r="I35" s="297"/>
    </row>
    <row r="36" spans="1:9" ht="12" thickTop="1" x14ac:dyDescent="0.2">
      <c r="B36" t="s">
        <v>810</v>
      </c>
      <c r="D36" s="19">
        <f>D33</f>
        <v>34662298.110000007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1640625" customWidth="1"/>
    <col min="9" max="9" width="24.332031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Hooksett</v>
      </c>
      <c r="B2">
        <f>'DOE25'!B2</f>
        <v>261</v>
      </c>
      <c r="J2" s="224" t="s">
        <v>1808</v>
      </c>
      <c r="K2" s="309">
        <f>SUM('DOE25'!L198:L201)+SUM('DOE25'!L216:L219)+SUM('DOE25'!L234:L237)+SUM('DOE25'!L277:L280)+SUM('DOE25'!L296:L299)+SUM('DOE25'!L315:L318)</f>
        <v>25932340.370000005</v>
      </c>
      <c r="L2" s="309">
        <f>'DOE25'!L203+'DOE25'!L221+'DOE25'!L239+'DOE25'!L282+'DOE25'!L301+'DOE25'!L320</f>
        <v>2431764.64</v>
      </c>
      <c r="M2" s="309">
        <f>'DOE25'!L204+'DOE25'!L222+'DOE25'!L240+'DOE25'!L283+'DOE25'!L302+'DOE25'!L321</f>
        <v>639096.00000000012</v>
      </c>
      <c r="N2" s="309">
        <f>'DOE25'!L206+'DOE25'!L224+'DOE25'!L242+'DOE25'!L285+'DOE25'!L304+'DOE25'!L323</f>
        <v>1367034.0799999998</v>
      </c>
      <c r="O2" s="309">
        <f>'Salaries-Benefits'!B10+'Salaries-Benefits'!B12+'Salaries-Benefits'!B19+'Salaries-Benefits'!B21+'Salaries-Benefits'!B28+'Salaries-Benefits'!B30+'Salaries-Benefits'!B37+'Salaries-Benefits'!B39</f>
        <v>7068034.7699999996</v>
      </c>
      <c r="P2" s="309">
        <f>'Salaries-Benefits'!B11+'Salaries-Benefits'!B20+'Salaries-Benefits'!B29+'Salaries-Benefits'!B38</f>
        <v>362136.54000000004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-25932340.370000005</v>
      </c>
      <c r="L3" s="311">
        <f t="shared" ref="L3:P3" si="0">L21+L33+L43-L2</f>
        <v>-2431764.64</v>
      </c>
      <c r="M3" s="311">
        <f t="shared" si="0"/>
        <v>-639096.00000000012</v>
      </c>
      <c r="N3" s="311">
        <f t="shared" si="0"/>
        <v>-1367034.0799999998</v>
      </c>
      <c r="O3" s="311">
        <f t="shared" si="0"/>
        <v>-7068034.7699999996</v>
      </c>
      <c r="P3" s="311">
        <f t="shared" si="0"/>
        <v>-362136.54000000004</v>
      </c>
      <c r="Q3" s="310"/>
      <c r="R3" s="306"/>
      <c r="S3" s="215"/>
      <c r="T3" s="215"/>
      <c r="U3" s="216"/>
    </row>
    <row r="4" spans="1:21" ht="55.5" customHeight="1" thickBot="1" x14ac:dyDescent="0.25">
      <c r="A4" s="224" t="s">
        <v>1522</v>
      </c>
      <c r="B4" s="224" t="s">
        <v>1523</v>
      </c>
      <c r="C4" s="224" t="s">
        <v>896</v>
      </c>
      <c r="D4" s="224" t="s">
        <v>786</v>
      </c>
      <c r="E4" s="224" t="s">
        <v>786</v>
      </c>
      <c r="F4" s="228">
        <f>SUM(F5:F20)</f>
        <v>13772816.48</v>
      </c>
      <c r="G4" s="229">
        <f>'DOE25'!L212+'DOE25'!L291</f>
        <v>13772816.480000002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Fred C. Underhill School</v>
      </c>
      <c r="B6" s="230">
        <f>IFERROR(VLOOKUP(A6,'School Tables'!$C$3:$D$365,2,FALSE),"")</f>
        <v>20550</v>
      </c>
      <c r="C6" s="223" t="str">
        <f>IFERROR(INDEX('School Tables'!$B$3:$B$365,MATCH('School Level Expenditures'!B6,'School Tables'!$D$3:$D$365,0)),"")</f>
        <v>Hooksett</v>
      </c>
      <c r="D6" s="220">
        <v>6877038.1600000001</v>
      </c>
      <c r="E6" s="220">
        <v>433651.15</v>
      </c>
      <c r="F6" s="232">
        <f t="shared" ref="F6:F20" si="1">D6+E6</f>
        <v>7310689.3100000005</v>
      </c>
      <c r="G6" s="223"/>
      <c r="H6" s="223"/>
      <c r="J6" t="str">
        <f>A6</f>
        <v>Fred C. Underhill School</v>
      </c>
      <c r="K6" s="20"/>
      <c r="L6" s="20"/>
      <c r="M6" s="308"/>
      <c r="N6" s="20"/>
      <c r="O6" s="20"/>
      <c r="P6" s="20"/>
      <c r="Q6" s="20"/>
    </row>
    <row r="7" spans="1:21" x14ac:dyDescent="0.2">
      <c r="A7" t="str" cm="1">
        <f t="array" ref="A7">IFERROR(INDEX('School Tables'!$A$4:$G$325,'School Tables'!$J5,3),"")</f>
        <v>Hooksett Memorial School</v>
      </c>
      <c r="B7" s="230">
        <f>IFERROR(VLOOKUP(A7,'School Tables'!$C$3:$D$365,2,FALSE),"")</f>
        <v>20540</v>
      </c>
      <c r="C7" s="223" t="str">
        <f>IFERROR(INDEX('School Tables'!$B$3:$B$365,MATCH('School Level Expenditures'!B7,'School Tables'!$D$3:$D$365,0)),"")</f>
        <v>Hooksett</v>
      </c>
      <c r="D7" s="220">
        <v>6078810.5199999996</v>
      </c>
      <c r="E7" s="220">
        <v>383316.65</v>
      </c>
      <c r="F7" s="232">
        <f t="shared" si="1"/>
        <v>6462127.1699999999</v>
      </c>
      <c r="G7" s="223"/>
      <c r="H7" s="223"/>
      <c r="J7" t="str">
        <f t="shared" ref="J7:J20" si="2">A7</f>
        <v>Hooksett Memorial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12955848.68</v>
      </c>
      <c r="E21" s="262">
        <f>SUM(E5:E20)</f>
        <v>816967.8</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8919020.0299999993</v>
      </c>
      <c r="G24" s="229">
        <f>'DOE25'!L230+'DOE25'!L310</f>
        <v>8919020.0300000012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David R. Cawley Middle School</v>
      </c>
      <c r="B26" s="230">
        <f>IFERROR(VLOOKUP(A26,'School Tables'!$N$4:$O$75,2,FALSE),"")</f>
        <v>28050</v>
      </c>
      <c r="C26" s="223" t="str">
        <f>IFERROR(INDEX('School Tables'!$M$4:$M$75,MATCH('School Level Expenditures'!A26,'School Tables'!$N$4:$N$75,0)),"")</f>
        <v>Hooksett</v>
      </c>
      <c r="D26" s="220">
        <v>8526833.7400000002</v>
      </c>
      <c r="E26" s="220">
        <v>392186.29</v>
      </c>
      <c r="F26" s="232">
        <f t="shared" ref="F26:F32" si="4">D26+E26</f>
        <v>8919020.0299999993</v>
      </c>
      <c r="G26" s="223"/>
      <c r="H26" s="223"/>
      <c r="J26" t="str">
        <f t="shared" ref="J26:J32" si="5">A26</f>
        <v>David R. Cawley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8526833.7400000002</v>
      </c>
      <c r="E33" s="262">
        <f>SUM(E25:E32)</f>
        <v>392186.29</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13729110.5</v>
      </c>
      <c r="G36" s="229">
        <f>'DOE25'!L248+'DOE25'!L329</f>
        <v>13729110.500000002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13729110.5</v>
      </c>
      <c r="E37" s="220"/>
      <c r="F37" s="232">
        <f t="shared" ref="F37:F42" si="7">D37+E37</f>
        <v>13729110.5</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13729110.5</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E26" sqref="E26"/>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Hooksett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1960385.33</v>
      </c>
      <c r="D8" s="73">
        <f>'DOE25'!G9</f>
        <v>0</v>
      </c>
      <c r="E8" s="73">
        <f>'DOE25'!H9</f>
        <v>0</v>
      </c>
      <c r="F8" s="73">
        <f>'DOE25'!I9</f>
        <v>0</v>
      </c>
      <c r="G8" s="73">
        <f>'DOE25'!J9</f>
        <v>0</v>
      </c>
      <c r="H8" s="13">
        <f>SUM(C8:G8)</f>
        <v>1960385.33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335926.04</v>
      </c>
      <c r="D11" s="73">
        <f>'DOE25'!G12</f>
        <v>123913.98</v>
      </c>
      <c r="E11" s="73">
        <f>'DOE25'!H12</f>
        <v>0</v>
      </c>
      <c r="F11" s="73">
        <f>'DOE25'!I12</f>
        <v>0</v>
      </c>
      <c r="G11" s="73">
        <f>'DOE25'!J12</f>
        <v>0</v>
      </c>
      <c r="H11" s="13">
        <f t="shared" si="0"/>
        <v>459840.01999999996</v>
      </c>
      <c r="I11" s="90"/>
    </row>
    <row r="12" spans="1:9" x14ac:dyDescent="0.2">
      <c r="A12" s="1" t="s">
        <v>143</v>
      </c>
      <c r="B12" s="6">
        <v>140</v>
      </c>
      <c r="C12" s="73">
        <f>'DOE25'!F13</f>
        <v>4945.47</v>
      </c>
      <c r="D12" s="73">
        <f>'DOE25'!G13</f>
        <v>47464.9</v>
      </c>
      <c r="E12" s="73">
        <f>'DOE25'!H13</f>
        <v>267164.15999999997</v>
      </c>
      <c r="F12" s="73">
        <f>'DOE25'!I13</f>
        <v>0</v>
      </c>
      <c r="G12" s="73">
        <f>'DOE25'!J13</f>
        <v>679957.52</v>
      </c>
      <c r="H12" s="13">
        <f t="shared" si="0"/>
        <v>999532.05</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23246.75</v>
      </c>
      <c r="E15" s="73">
        <f>'DOE25'!H16</f>
        <v>0</v>
      </c>
      <c r="F15" s="73">
        <f>'DOE25'!I16</f>
        <v>0</v>
      </c>
      <c r="G15" s="23" t="s">
        <v>288</v>
      </c>
      <c r="H15" s="13">
        <f t="shared" si="0"/>
        <v>23246.75</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2301256.8400000003</v>
      </c>
      <c r="D18" s="38">
        <f>SUM(D8:D17)</f>
        <v>194625.63</v>
      </c>
      <c r="E18" s="38">
        <f>SUM(E8:E17)</f>
        <v>267164.15999999997</v>
      </c>
      <c r="F18" s="38">
        <f>SUM(F8:F17)</f>
        <v>0</v>
      </c>
      <c r="G18" s="38">
        <f>SUM(G8:G17)</f>
        <v>679957.52</v>
      </c>
      <c r="H18" s="38">
        <f t="shared" si="0"/>
        <v>3443004.1500000004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123913.98</v>
      </c>
      <c r="D21" s="73">
        <f>'DOE25'!G22</f>
        <v>0</v>
      </c>
      <c r="E21" s="73">
        <f>'DOE25'!H22</f>
        <v>225987.58</v>
      </c>
      <c r="F21" s="73">
        <f>'DOE25'!I22</f>
        <v>0</v>
      </c>
      <c r="G21" s="73">
        <f>'DOE25'!J22</f>
        <v>109938.46</v>
      </c>
      <c r="H21" s="13">
        <f t="shared" ref="H21:H31" si="1">SUM(C21:G21)</f>
        <v>459840.02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405204.6</v>
      </c>
      <c r="D23" s="73">
        <f>'DOE25'!G24</f>
        <v>0</v>
      </c>
      <c r="E23" s="73">
        <f>'DOE25'!H24</f>
        <v>0</v>
      </c>
      <c r="F23" s="73">
        <f>'DOE25'!I24</f>
        <v>0</v>
      </c>
      <c r="G23" s="73">
        <f>'DOE25'!J24</f>
        <v>0</v>
      </c>
      <c r="H23" s="13">
        <f t="shared" si="1"/>
        <v>405204.6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51226.95</v>
      </c>
      <c r="D27" s="73">
        <f>'DOE25'!G28</f>
        <v>4176.08</v>
      </c>
      <c r="E27" s="73">
        <f>'DOE25'!H28</f>
        <v>0</v>
      </c>
      <c r="F27" s="73">
        <f>'DOE25'!I28</f>
        <v>0</v>
      </c>
      <c r="G27" s="23" t="s">
        <v>288</v>
      </c>
      <c r="H27" s="13">
        <f t="shared" si="1"/>
        <v>55403.03</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24738.45</v>
      </c>
      <c r="E29" s="73">
        <f>'DOE25'!H30</f>
        <v>41176.58</v>
      </c>
      <c r="F29" s="73">
        <f>'DOE25'!I30</f>
        <v>0</v>
      </c>
      <c r="G29" s="23" t="s">
        <v>288</v>
      </c>
      <c r="H29" s="13">
        <f t="shared" si="1"/>
        <v>65915.03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580345.52999999991</v>
      </c>
      <c r="D31" s="38">
        <f>SUM(D21:D30)</f>
        <v>28914.53</v>
      </c>
      <c r="E31" s="38">
        <f>SUM(E21:E30)</f>
        <v>267164.15999999997</v>
      </c>
      <c r="F31" s="38">
        <f>SUM(F21:F30)</f>
        <v>0</v>
      </c>
      <c r="G31" s="38">
        <f>SUM(G21:G30)</f>
        <v>109938.46</v>
      </c>
      <c r="H31" s="38">
        <f t="shared" si="1"/>
        <v>986362.67999999993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23246.75</v>
      </c>
      <c r="E34" s="73">
        <f>'DOE25'!H35</f>
        <v>0</v>
      </c>
      <c r="F34" s="73">
        <f>'DOE25'!I35</f>
        <v>0</v>
      </c>
      <c r="G34" s="23" t="s">
        <v>288</v>
      </c>
      <c r="H34" s="13">
        <f t="shared" ref="H34:H51" si="2">SUM(C34:G34)</f>
        <v>23246.75</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142464.35</v>
      </c>
      <c r="E39" s="23" t="s">
        <v>288</v>
      </c>
      <c r="F39" s="23" t="s">
        <v>288</v>
      </c>
      <c r="G39" s="23" t="s">
        <v>288</v>
      </c>
      <c r="H39" s="13">
        <f t="shared" si="2"/>
        <v>142464.35</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175000</v>
      </c>
      <c r="D43" s="73">
        <f>'DOE25'!G44</f>
        <v>0</v>
      </c>
      <c r="E43" s="73">
        <f>'DOE25'!H44</f>
        <v>0</v>
      </c>
      <c r="F43" s="73">
        <f>'DOE25'!I44</f>
        <v>0</v>
      </c>
      <c r="G43" s="23" t="s">
        <v>288</v>
      </c>
      <c r="H43" s="13">
        <f t="shared" si="2"/>
        <v>175000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200000</v>
      </c>
      <c r="D45" s="23" t="s">
        <v>288</v>
      </c>
      <c r="E45" s="23" t="s">
        <v>288</v>
      </c>
      <c r="F45" s="23" t="s">
        <v>288</v>
      </c>
      <c r="G45" s="23" t="s">
        <v>288</v>
      </c>
      <c r="H45" s="13">
        <f t="shared" si="2"/>
        <v>200000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570019.06000000006</v>
      </c>
      <c r="H47" s="13">
        <f t="shared" si="2"/>
        <v>570019.06000000006</v>
      </c>
      <c r="I47" s="90"/>
    </row>
    <row r="48" spans="1:9" x14ac:dyDescent="0.2">
      <c r="A48" s="1" t="s">
        <v>881</v>
      </c>
      <c r="B48" s="6">
        <v>753</v>
      </c>
      <c r="C48" s="73">
        <f>'DOE25'!F49</f>
        <v>608758.4</v>
      </c>
      <c r="D48" s="73">
        <f>'DOE25'!G49</f>
        <v>0</v>
      </c>
      <c r="E48" s="73">
        <f>'DOE25'!H49</f>
        <v>0</v>
      </c>
      <c r="F48" s="73">
        <f>'DOE25'!I49</f>
        <v>0</v>
      </c>
      <c r="G48" s="73">
        <f>'DOE25'!J49</f>
        <v>0</v>
      </c>
      <c r="H48" s="13">
        <f t="shared" si="2"/>
        <v>608758.4</v>
      </c>
      <c r="I48" s="90"/>
    </row>
    <row r="49" spans="1:9" ht="12" thickBot="1" x14ac:dyDescent="0.25">
      <c r="A49" s="28" t="s">
        <v>882</v>
      </c>
      <c r="B49" s="56">
        <v>770</v>
      </c>
      <c r="C49" s="73">
        <f>'DOE25'!F50</f>
        <v>737152.91</v>
      </c>
      <c r="D49" s="23" t="s">
        <v>288</v>
      </c>
      <c r="E49" s="23" t="s">
        <v>288</v>
      </c>
      <c r="F49" s="23" t="s">
        <v>288</v>
      </c>
      <c r="G49" s="23" t="s">
        <v>288</v>
      </c>
      <c r="H49" s="13">
        <f t="shared" si="2"/>
        <v>737152.91</v>
      </c>
      <c r="I49" s="90"/>
    </row>
    <row r="50" spans="1:9" ht="12.75" thickTop="1" thickBot="1" x14ac:dyDescent="0.25">
      <c r="A50" s="35" t="s">
        <v>883</v>
      </c>
      <c r="B50" s="44"/>
      <c r="C50" s="38">
        <f>SUM(C34:C49)</f>
        <v>1720911.31</v>
      </c>
      <c r="D50" s="38">
        <f>SUM(D34:D49)</f>
        <v>165711.1</v>
      </c>
      <c r="E50" s="38">
        <f>SUM(E34:E49)</f>
        <v>0</v>
      </c>
      <c r="F50" s="38">
        <f>SUM(F34:F49)</f>
        <v>0</v>
      </c>
      <c r="G50" s="38">
        <f>SUM(G34:G49)</f>
        <v>570019.06000000006</v>
      </c>
      <c r="H50" s="38">
        <f t="shared" si="2"/>
        <v>2456641.4700000002</v>
      </c>
      <c r="I50" s="90"/>
    </row>
    <row r="51" spans="1:9" ht="12" thickTop="1" x14ac:dyDescent="0.2">
      <c r="A51" s="35" t="s">
        <v>884</v>
      </c>
      <c r="B51" s="2"/>
      <c r="C51" s="38">
        <f>C50+C31</f>
        <v>2301256.84</v>
      </c>
      <c r="D51" s="38">
        <f>D50+D31</f>
        <v>194625.63</v>
      </c>
      <c r="E51" s="38">
        <f>E50+E31</f>
        <v>267164.15999999997</v>
      </c>
      <c r="F51" s="38">
        <f>F50+F31</f>
        <v>0</v>
      </c>
      <c r="G51" s="38">
        <f>G50+G31</f>
        <v>679957.52</v>
      </c>
      <c r="H51" s="38">
        <f t="shared" si="2"/>
        <v>3443004.15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27337055</v>
      </c>
      <c r="D56" s="73">
        <f>'DOE25'!G60</f>
        <v>0</v>
      </c>
      <c r="E56" s="73">
        <f>'DOE25'!H60</f>
        <v>0</v>
      </c>
      <c r="F56" s="73">
        <f>'DOE25'!I60</f>
        <v>0</v>
      </c>
      <c r="G56" s="73">
        <f>'DOE25'!J60</f>
        <v>0</v>
      </c>
      <c r="H56" s="13">
        <f t="shared" ref="H56:H63" si="3">SUM(C56:G56)</f>
        <v>27337055</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68700.28</v>
      </c>
      <c r="D59" s="73">
        <f>'DOE25'!G96</f>
        <v>0</v>
      </c>
      <c r="E59" s="73">
        <f>'DOE25'!H96</f>
        <v>0</v>
      </c>
      <c r="F59" s="73">
        <f>'DOE25'!I96</f>
        <v>0</v>
      </c>
      <c r="G59" s="73">
        <f>'DOE25'!J96</f>
        <v>3146.11</v>
      </c>
      <c r="H59" s="13">
        <f t="shared" si="3"/>
        <v>71846.39</v>
      </c>
      <c r="I59"/>
    </row>
    <row r="60" spans="1:9" x14ac:dyDescent="0.2">
      <c r="A60" s="1" t="s">
        <v>170</v>
      </c>
      <c r="B60" s="22" t="s">
        <v>171</v>
      </c>
      <c r="C60" s="23" t="s">
        <v>288</v>
      </c>
      <c r="D60" s="73">
        <f>'DOE25'!G97</f>
        <v>478427.65</v>
      </c>
      <c r="E60" s="23" t="s">
        <v>288</v>
      </c>
      <c r="F60" s="23" t="s">
        <v>288</v>
      </c>
      <c r="G60" s="23" t="s">
        <v>288</v>
      </c>
      <c r="H60" s="13">
        <f t="shared" si="3"/>
        <v>478427.65</v>
      </c>
      <c r="I60"/>
    </row>
    <row r="61" spans="1:9" ht="12" thickBot="1" x14ac:dyDescent="0.25">
      <c r="A61" s="1" t="s">
        <v>172</v>
      </c>
      <c r="B61" s="22" t="s">
        <v>173</v>
      </c>
      <c r="C61" s="73">
        <f>SUM('DOE25'!F98:F110)</f>
        <v>460249.83999999997</v>
      </c>
      <c r="D61" s="73">
        <f>SUM('DOE25'!G98:G110)</f>
        <v>0</v>
      </c>
      <c r="E61" s="73">
        <f>SUM('DOE25'!H98:H110)</f>
        <v>2000</v>
      </c>
      <c r="F61" s="73">
        <f>SUM('DOE25'!I98:I110)</f>
        <v>0</v>
      </c>
      <c r="G61" s="73">
        <f>SUM('DOE25'!J98:J110)</f>
        <v>0</v>
      </c>
      <c r="H61" s="13">
        <f t="shared" si="3"/>
        <v>462249.83999999997</v>
      </c>
      <c r="I61"/>
    </row>
    <row r="62" spans="1:9" ht="12.75" thickTop="1" thickBot="1" x14ac:dyDescent="0.25">
      <c r="A62" s="28" t="s">
        <v>174</v>
      </c>
      <c r="B62" s="6"/>
      <c r="C62" s="93">
        <f>SUM(C57:C61)</f>
        <v>528950.12</v>
      </c>
      <c r="D62" s="93">
        <f>SUM(D57:D61)</f>
        <v>478427.65</v>
      </c>
      <c r="E62" s="93">
        <f>SUM(E57:E61)</f>
        <v>2000</v>
      </c>
      <c r="F62" s="93">
        <f>SUM(F57:F61)</f>
        <v>0</v>
      </c>
      <c r="G62" s="93">
        <f>SUM(G57:G61)</f>
        <v>3146.11</v>
      </c>
      <c r="H62" s="13">
        <f t="shared" si="3"/>
        <v>1012523.88</v>
      </c>
      <c r="I62"/>
    </row>
    <row r="63" spans="1:9" ht="12" thickTop="1" x14ac:dyDescent="0.2">
      <c r="A63" s="28" t="s">
        <v>175</v>
      </c>
      <c r="B63" s="6"/>
      <c r="C63" s="21">
        <f>C56+C62</f>
        <v>27866005.120000001</v>
      </c>
      <c r="D63" s="21">
        <f>D56+D62</f>
        <v>478427.65</v>
      </c>
      <c r="E63" s="21">
        <f>E56+E62</f>
        <v>2000</v>
      </c>
      <c r="F63" s="21">
        <f>F56+F62</f>
        <v>0</v>
      </c>
      <c r="G63" s="21">
        <f>G56+G62</f>
        <v>3146.11</v>
      </c>
      <c r="H63" s="13">
        <f t="shared" si="3"/>
        <v>28349578.879999999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5347163.42</v>
      </c>
      <c r="D66" s="23" t="s">
        <v>288</v>
      </c>
      <c r="E66" s="23" t="s">
        <v>288</v>
      </c>
      <c r="F66" s="23" t="s">
        <v>288</v>
      </c>
      <c r="G66" s="23" t="s">
        <v>288</v>
      </c>
      <c r="H66" s="13">
        <f t="shared" ref="H66:H81" si="4">SUM(C66:G66)</f>
        <v>5347163.42</v>
      </c>
      <c r="I66"/>
    </row>
    <row r="67" spans="1:9" x14ac:dyDescent="0.2">
      <c r="A67" s="1" t="s">
        <v>770</v>
      </c>
      <c r="B67" s="6">
        <v>3112</v>
      </c>
      <c r="C67" s="73">
        <f>'DOE25'!F118</f>
        <v>2758167</v>
      </c>
      <c r="D67" s="23"/>
      <c r="E67" s="23"/>
      <c r="F67" s="23"/>
      <c r="G67" s="23"/>
      <c r="H67" s="13">
        <f t="shared" si="4"/>
        <v>2758167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15148.15</v>
      </c>
      <c r="D69" s="73">
        <f>'DOE25'!G120</f>
        <v>0</v>
      </c>
      <c r="E69" s="73">
        <f>'DOE25'!H120</f>
        <v>0</v>
      </c>
      <c r="F69" s="73">
        <f>'DOE25'!I120</f>
        <v>0</v>
      </c>
      <c r="G69" s="73">
        <f>'DOE25'!J120</f>
        <v>0</v>
      </c>
      <c r="H69" s="13">
        <f t="shared" si="4"/>
        <v>15148.15</v>
      </c>
      <c r="I69"/>
    </row>
    <row r="70" spans="1:9" ht="12" thickTop="1" x14ac:dyDescent="0.2">
      <c r="A70" s="28" t="s">
        <v>252</v>
      </c>
      <c r="B70" s="2"/>
      <c r="C70" s="97">
        <f>SUM(C66:C69)</f>
        <v>8120478.5700000003</v>
      </c>
      <c r="D70" s="97">
        <f>D69</f>
        <v>0</v>
      </c>
      <c r="E70" s="97">
        <f>E69</f>
        <v>0</v>
      </c>
      <c r="F70" s="97">
        <f>F69</f>
        <v>0</v>
      </c>
      <c r="G70" s="97">
        <f>G69</f>
        <v>0</v>
      </c>
      <c r="H70" s="13">
        <f t="shared" si="4"/>
        <v>8120478.5700000003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328672.46999999997</v>
      </c>
      <c r="D72" s="23" t="s">
        <v>288</v>
      </c>
      <c r="E72" s="23" t="s">
        <v>288</v>
      </c>
      <c r="F72" s="73">
        <f>'DOE25'!I123</f>
        <v>0</v>
      </c>
      <c r="G72" s="23" t="s">
        <v>288</v>
      </c>
      <c r="H72" s="13">
        <f t="shared" si="4"/>
        <v>328672.46999999997</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195012.99</v>
      </c>
      <c r="D74" s="23"/>
      <c r="E74" s="23"/>
      <c r="F74" s="23"/>
      <c r="G74" s="23"/>
      <c r="H74" s="13">
        <f t="shared" si="4"/>
        <v>195012.99</v>
      </c>
      <c r="I74"/>
    </row>
    <row r="75" spans="1:9" x14ac:dyDescent="0.2">
      <c r="A75" s="1" t="s">
        <v>256</v>
      </c>
      <c r="B75" s="6">
        <v>3230</v>
      </c>
      <c r="C75" s="73">
        <f>'DOE25'!F126</f>
        <v>646497.76</v>
      </c>
      <c r="D75" s="23" t="s">
        <v>288</v>
      </c>
      <c r="E75" s="23" t="s">
        <v>288</v>
      </c>
      <c r="F75" s="23" t="s">
        <v>288</v>
      </c>
      <c r="G75" s="23" t="s">
        <v>288</v>
      </c>
      <c r="H75" s="13">
        <f t="shared" si="4"/>
        <v>646497.76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8010.98</v>
      </c>
      <c r="E77" s="73">
        <f>SUM('DOE25'!H131:H135)</f>
        <v>0</v>
      </c>
      <c r="F77" s="73">
        <f>SUM('DOE25'!I131:I135)</f>
        <v>0</v>
      </c>
      <c r="G77" s="73">
        <f>SUM('DOE25'!J131:J135)</f>
        <v>0</v>
      </c>
      <c r="H77" s="13">
        <f t="shared" si="4"/>
        <v>8010.98</v>
      </c>
      <c r="I77"/>
    </row>
    <row r="78" spans="1:9" ht="12.75" thickTop="1" thickBot="1" x14ac:dyDescent="0.25">
      <c r="A78" s="28" t="s">
        <v>259</v>
      </c>
      <c r="B78" s="6"/>
      <c r="C78" s="93">
        <f>SUM(C72:C77)</f>
        <v>1170183.22</v>
      </c>
      <c r="D78" s="93">
        <f>SUM(D72:D77)</f>
        <v>8010.98</v>
      </c>
      <c r="E78" s="93">
        <f>SUM(E72:E77)</f>
        <v>0</v>
      </c>
      <c r="F78" s="93">
        <f>SUM(F72:F77)</f>
        <v>0</v>
      </c>
      <c r="G78" s="93">
        <f>SUM(G72:G77)</f>
        <v>0</v>
      </c>
      <c r="H78" s="13">
        <f t="shared" si="4"/>
        <v>1178194.2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9290661.790000001</v>
      </c>
      <c r="D81" s="93">
        <f>SUM(D79:D80)+D78+D70</f>
        <v>8010.98</v>
      </c>
      <c r="E81" s="93">
        <f>SUM(E79:E80)+E78+E70</f>
        <v>0</v>
      </c>
      <c r="F81" s="93">
        <f>SUM(F79:F80)+F78+F70</f>
        <v>0</v>
      </c>
      <c r="G81" s="93">
        <f>SUM(G79:G80)+G78+G70</f>
        <v>0</v>
      </c>
      <c r="H81" s="93">
        <f t="shared" si="4"/>
        <v>9298672.7700000014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17152.97</v>
      </c>
      <c r="D88" s="253">
        <f>SUM('DOE25'!G153:G162)</f>
        <v>256909.65</v>
      </c>
      <c r="E88" s="253">
        <f>SUM('DOE25'!H153:H162)</f>
        <v>1205955.93</v>
      </c>
      <c r="F88" s="253">
        <f>SUM('DOE25'!I153:I162)</f>
        <v>0</v>
      </c>
      <c r="G88" s="23" t="s">
        <v>288</v>
      </c>
      <c r="H88" s="13">
        <f t="shared" si="5"/>
        <v>1480018.5499999998</v>
      </c>
    </row>
    <row r="89" spans="1:9" x14ac:dyDescent="0.2">
      <c r="A89" t="s">
        <v>748</v>
      </c>
      <c r="B89" s="31" t="s">
        <v>185</v>
      </c>
      <c r="C89" s="73">
        <f>'DOE25'!F164+'DOE25'!F167+'DOE25'!F169</f>
        <v>0</v>
      </c>
      <c r="D89" s="73">
        <f>'DOE25'!G164+'DOE25'!G169</f>
        <v>0</v>
      </c>
      <c r="E89" s="73">
        <f>'DOE25'!H164+'DOE25'!H169</f>
        <v>1198.1600000000001</v>
      </c>
      <c r="F89" s="73">
        <f>'DOE25'!I164</f>
        <v>0</v>
      </c>
      <c r="G89" s="23" t="s">
        <v>288</v>
      </c>
      <c r="H89" s="13">
        <f t="shared" si="5"/>
        <v>1198.1600000000001</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17152.97</v>
      </c>
      <c r="D91" s="94">
        <f>SUM(D85:D90)</f>
        <v>256909.65</v>
      </c>
      <c r="E91" s="94">
        <f>SUM(E85:E90)</f>
        <v>1207154.0899999999</v>
      </c>
      <c r="F91" s="94">
        <f>SUM(F85:F90)</f>
        <v>0</v>
      </c>
      <c r="G91" s="23" t="s">
        <v>288</v>
      </c>
      <c r="H91" s="13">
        <f t="shared" si="5"/>
        <v>1481216.71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225000</v>
      </c>
      <c r="H96" s="13">
        <f t="shared" si="5"/>
        <v>225000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225000</v>
      </c>
      <c r="H103" s="68">
        <f t="shared" si="5"/>
        <v>225000</v>
      </c>
    </row>
    <row r="104" spans="1:8" ht="12.75" thickTop="1" thickBot="1" x14ac:dyDescent="0.25">
      <c r="A104" s="32" t="s">
        <v>761</v>
      </c>
      <c r="C104" s="68">
        <f>C63+C81+C91+C103</f>
        <v>37173819.880000003</v>
      </c>
      <c r="D104" s="68">
        <f>D63+D81+D91+D103</f>
        <v>743348.28</v>
      </c>
      <c r="E104" s="68">
        <f>E63+E81+E91+E103</f>
        <v>1209154.0899999999</v>
      </c>
      <c r="F104" s="68">
        <f>F63+F81+F91+F103</f>
        <v>0</v>
      </c>
      <c r="G104" s="68">
        <f>G63+G81+G103</f>
        <v>228146.11</v>
      </c>
      <c r="H104" s="68">
        <f t="shared" si="5"/>
        <v>39354468.359999999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16181760.430000002</v>
      </c>
      <c r="D109" s="23" t="s">
        <v>288</v>
      </c>
      <c r="E109" s="73">
        <f>('DOE25'!L277)+('DOE25'!L296)+('DOE25'!L315)</f>
        <v>431331.11000000004</v>
      </c>
      <c r="F109" s="23" t="s">
        <v>288</v>
      </c>
      <c r="G109" s="23" t="s">
        <v>288</v>
      </c>
      <c r="H109" s="13">
        <f t="shared" ref="H109:H115" si="6">SUM(C109:G109)</f>
        <v>16613091.540000001</v>
      </c>
    </row>
    <row r="110" spans="1:8" x14ac:dyDescent="0.2">
      <c r="A110" t="s">
        <v>198</v>
      </c>
      <c r="B110" s="31" t="s">
        <v>199</v>
      </c>
      <c r="C110" s="73">
        <f>('DOE25'!L199)+('DOE25'!L217)+('DOE25'!L235)</f>
        <v>8741102.9399999995</v>
      </c>
      <c r="D110" s="23" t="s">
        <v>288</v>
      </c>
      <c r="E110" s="73">
        <f>('DOE25'!L278)+('DOE25'!L297)+('DOE25'!L316)</f>
        <v>476400.6</v>
      </c>
      <c r="F110" s="23" t="s">
        <v>288</v>
      </c>
      <c r="G110" s="23" t="s">
        <v>288</v>
      </c>
      <c r="H110" s="13">
        <f t="shared" si="6"/>
        <v>9217503.5399999991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101745.29</v>
      </c>
      <c r="D112" s="23" t="s">
        <v>288</v>
      </c>
      <c r="E112" s="73">
        <f>+('DOE25'!L280)+('DOE25'!L299)+('DOE25'!L318)</f>
        <v>0</v>
      </c>
      <c r="F112" s="23" t="s">
        <v>288</v>
      </c>
      <c r="G112" s="23" t="s">
        <v>288</v>
      </c>
      <c r="H112" s="13">
        <f t="shared" si="6"/>
        <v>101745.29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25024608.66</v>
      </c>
      <c r="D115" s="68">
        <f>SUM(D109:D114)</f>
        <v>0</v>
      </c>
      <c r="E115" s="68">
        <f>SUM(E109:E114)</f>
        <v>907731.71</v>
      </c>
      <c r="F115" s="68">
        <f>SUM(F109:F114)</f>
        <v>0</v>
      </c>
      <c r="G115" s="68">
        <f>SUM(G109:G114)</f>
        <v>0</v>
      </c>
      <c r="H115" s="68">
        <f t="shared" si="6"/>
        <v>25932340.370000001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2431764.64</v>
      </c>
      <c r="D118" s="23" t="s">
        <v>288</v>
      </c>
      <c r="E118" s="73">
        <f>+('DOE25'!L282)+('DOE25'!L301)+('DOE25'!L320)</f>
        <v>0</v>
      </c>
      <c r="F118" s="23" t="s">
        <v>288</v>
      </c>
      <c r="G118" s="23" t="s">
        <v>288</v>
      </c>
      <c r="H118" s="13">
        <f t="shared" ref="H118:H145" si="7">SUM(C118:G118)</f>
        <v>2431764.64</v>
      </c>
    </row>
    <row r="119" spans="1:8" x14ac:dyDescent="0.2">
      <c r="A119" t="s">
        <v>208</v>
      </c>
      <c r="B119" s="31" t="s">
        <v>209</v>
      </c>
      <c r="C119" s="73">
        <f>('DOE25'!L204)+('DOE25'!L222)+('DOE25'!L240)</f>
        <v>510613.29000000004</v>
      </c>
      <c r="D119" s="23" t="s">
        <v>288</v>
      </c>
      <c r="E119" s="73">
        <f>+('DOE25'!L283)+('DOE25'!L302)+('DOE25'!L321)</f>
        <v>128482.70999999999</v>
      </c>
      <c r="F119" s="23" t="s">
        <v>288</v>
      </c>
      <c r="G119" s="23" t="s">
        <v>288</v>
      </c>
      <c r="H119" s="13">
        <f t="shared" si="7"/>
        <v>639096</v>
      </c>
    </row>
    <row r="120" spans="1:8" x14ac:dyDescent="0.2">
      <c r="A120" t="s">
        <v>210</v>
      </c>
      <c r="B120" s="31" t="s">
        <v>211</v>
      </c>
      <c r="C120" s="73">
        <f>('DOE25'!L205)+('DOE25'!L223)+('DOE25'!L241)</f>
        <v>925966.89000000013</v>
      </c>
      <c r="D120" s="23" t="s">
        <v>288</v>
      </c>
      <c r="E120" s="73">
        <f>+('DOE25'!L284)+('DOE25'!L303)+('DOE25'!L322)</f>
        <v>0</v>
      </c>
      <c r="F120" s="23" t="s">
        <v>288</v>
      </c>
      <c r="G120" s="23" t="s">
        <v>288</v>
      </c>
      <c r="H120" s="13">
        <f t="shared" si="7"/>
        <v>925966.89000000013</v>
      </c>
    </row>
    <row r="121" spans="1:8" x14ac:dyDescent="0.2">
      <c r="A121" t="s">
        <v>212</v>
      </c>
      <c r="B121" s="31" t="s">
        <v>213</v>
      </c>
      <c r="C121" s="73">
        <f>('DOE25'!L206)+('DOE25'!L224)+('DOE25'!L242)</f>
        <v>1367034.0799999998</v>
      </c>
      <c r="D121" s="23" t="s">
        <v>288</v>
      </c>
      <c r="E121" s="73">
        <f>+('DOE25'!L285)+('DOE25'!L304)+('DOE25'!L323)</f>
        <v>0</v>
      </c>
      <c r="F121" s="23" t="s">
        <v>288</v>
      </c>
      <c r="G121" s="23" t="s">
        <v>288</v>
      </c>
      <c r="H121" s="13">
        <f t="shared" si="7"/>
        <v>1367034.0799999998</v>
      </c>
    </row>
    <row r="122" spans="1:8" x14ac:dyDescent="0.2">
      <c r="A122" t="s">
        <v>214</v>
      </c>
      <c r="B122" s="31" t="s">
        <v>215</v>
      </c>
      <c r="C122" s="73">
        <f>('DOE25'!L207)+('DOE25'!L225)+('DOE25'!L243)</f>
        <v>0</v>
      </c>
      <c r="D122" s="23" t="s">
        <v>288</v>
      </c>
      <c r="E122" s="73">
        <f>+('DOE25'!L286)+('DOE25'!L305)+('DOE25'!L324)</f>
        <v>9058.76</v>
      </c>
      <c r="F122" s="23" t="s">
        <v>288</v>
      </c>
      <c r="G122" s="23" t="s">
        <v>288</v>
      </c>
      <c r="H122" s="13">
        <f t="shared" si="7"/>
        <v>9058.76</v>
      </c>
    </row>
    <row r="123" spans="1:8" x14ac:dyDescent="0.2">
      <c r="A123" t="s">
        <v>216</v>
      </c>
      <c r="B123" s="31" t="s">
        <v>217</v>
      </c>
      <c r="C123" s="73">
        <f>('DOE25'!L208)+('DOE25'!L226)+('DOE25'!L244)</f>
        <v>1968376.98</v>
      </c>
      <c r="D123" s="23" t="s">
        <v>288</v>
      </c>
      <c r="E123" s="73">
        <f>+('DOE25'!L287)+('DOE25'!L306)+('DOE25'!L325)</f>
        <v>162682.75</v>
      </c>
      <c r="F123" s="23" t="s">
        <v>288</v>
      </c>
      <c r="G123" s="23" t="s">
        <v>288</v>
      </c>
      <c r="H123" s="13">
        <f t="shared" si="7"/>
        <v>2131059.73</v>
      </c>
    </row>
    <row r="124" spans="1:8" x14ac:dyDescent="0.2">
      <c r="A124" t="s">
        <v>218</v>
      </c>
      <c r="B124" s="31" t="s">
        <v>219</v>
      </c>
      <c r="C124" s="73">
        <f>('DOE25'!L209)+('DOE25'!L227)+('DOE25'!L245+'DOE25'!L255)</f>
        <v>2621644.48</v>
      </c>
      <c r="D124" s="23" t="s">
        <v>288</v>
      </c>
      <c r="E124" s="73">
        <f>+('DOE25'!L288)+('DOE25'!L307)+('DOE25'!L326)</f>
        <v>0</v>
      </c>
      <c r="F124" s="23" t="s">
        <v>288</v>
      </c>
      <c r="G124" s="23" t="s">
        <v>288</v>
      </c>
      <c r="H124" s="13">
        <f t="shared" si="7"/>
        <v>2621644.48</v>
      </c>
    </row>
    <row r="125" spans="1:8" x14ac:dyDescent="0.2">
      <c r="A125" t="s">
        <v>220</v>
      </c>
      <c r="B125" s="31" t="s">
        <v>221</v>
      </c>
      <c r="C125" s="73">
        <f>('DOE25'!L210)+('DOE25'!L228)+('DOE25'!L246)</f>
        <v>361783.89999999997</v>
      </c>
      <c r="D125" s="23" t="s">
        <v>288</v>
      </c>
      <c r="E125" s="73">
        <f>+('DOE25'!L289)+('DOE25'!L308)+('DOE25'!L327)</f>
        <v>1198.1599999999999</v>
      </c>
      <c r="F125" s="23" t="s">
        <v>288</v>
      </c>
      <c r="G125" s="23" t="s">
        <v>288</v>
      </c>
      <c r="H125" s="13">
        <f t="shared" si="7"/>
        <v>362982.05999999994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775210.29</v>
      </c>
      <c r="E127" s="23" t="s">
        <v>288</v>
      </c>
      <c r="F127" s="23" t="s">
        <v>288</v>
      </c>
      <c r="G127" s="23" t="s">
        <v>288</v>
      </c>
      <c r="H127" s="13">
        <f t="shared" si="7"/>
        <v>775210.29</v>
      </c>
    </row>
    <row r="128" spans="1:8" ht="12.75" thickTop="1" thickBot="1" x14ac:dyDescent="0.25">
      <c r="A128" s="32" t="s">
        <v>226</v>
      </c>
      <c r="C128" s="68">
        <f>SUM(C118:C127)</f>
        <v>10187184.260000002</v>
      </c>
      <c r="D128" s="68">
        <f>SUM(D118:D127)</f>
        <v>775210.29</v>
      </c>
      <c r="E128" s="68">
        <f>SUM(E118:E127)</f>
        <v>301422.37999999995</v>
      </c>
      <c r="F128" s="68">
        <f>SUM(F118:F127)</f>
        <v>0</v>
      </c>
      <c r="G128" s="68">
        <f>SUM(G118:G127)</f>
        <v>0</v>
      </c>
      <c r="H128" s="68">
        <f t="shared" si="7"/>
        <v>11263816.930000002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1030000</v>
      </c>
      <c r="D131" s="23" t="s">
        <v>288</v>
      </c>
      <c r="E131" s="92">
        <f>'DOE25'!L342</f>
        <v>0</v>
      </c>
      <c r="F131" s="23" t="s">
        <v>288</v>
      </c>
      <c r="G131" s="23" t="s">
        <v>288</v>
      </c>
      <c r="H131" s="13">
        <f t="shared" si="7"/>
        <v>1030000</v>
      </c>
    </row>
    <row r="132" spans="1:8" x14ac:dyDescent="0.2">
      <c r="A132" t="s">
        <v>230</v>
      </c>
      <c r="B132" s="31">
        <v>5120</v>
      </c>
      <c r="C132" s="73">
        <f>'DOE25'!L262</f>
        <v>25750</v>
      </c>
      <c r="D132" s="23" t="s">
        <v>288</v>
      </c>
      <c r="E132" s="92">
        <f>'DOE25'!L343</f>
        <v>0</v>
      </c>
      <c r="F132" s="23" t="s">
        <v>288</v>
      </c>
      <c r="G132" s="23" t="s">
        <v>288</v>
      </c>
      <c r="H132" s="13">
        <f t="shared" si="7"/>
        <v>25750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228146.11</v>
      </c>
      <c r="D139" s="23" t="s">
        <v>288</v>
      </c>
      <c r="E139" s="23" t="s">
        <v>288</v>
      </c>
      <c r="F139" s="23" t="s">
        <v>288</v>
      </c>
      <c r="G139" s="23" t="s">
        <v>288</v>
      </c>
      <c r="H139" s="13">
        <f t="shared" si="7"/>
        <v>228146.11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-3146.109999999986</v>
      </c>
      <c r="D141" s="23" t="s">
        <v>288</v>
      </c>
      <c r="E141" s="23" t="s">
        <v>288</v>
      </c>
      <c r="F141" s="23" t="s">
        <v>288</v>
      </c>
      <c r="G141" s="23" t="s">
        <v>288</v>
      </c>
      <c r="H141" s="13">
        <f t="shared" si="7"/>
        <v>-3146.109999999986</v>
      </c>
    </row>
    <row r="142" spans="1:8" x14ac:dyDescent="0.2">
      <c r="A142" t="s">
        <v>241</v>
      </c>
      <c r="B142" s="31">
        <v>5310</v>
      </c>
      <c r="C142" s="92">
        <f>'DOE25'!L269</f>
        <v>74436.05</v>
      </c>
      <c r="D142" s="23" t="s">
        <v>288</v>
      </c>
      <c r="E142" s="92">
        <f>'DOE25'!L350</f>
        <v>0</v>
      </c>
      <c r="F142" s="23" t="s">
        <v>288</v>
      </c>
      <c r="G142" s="23" t="s">
        <v>288</v>
      </c>
      <c r="H142" s="13">
        <f t="shared" si="7"/>
        <v>74436.05</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1355186.05</v>
      </c>
      <c r="D144" s="98">
        <f>SUM(D130:D143)</f>
        <v>0</v>
      </c>
      <c r="E144" s="98">
        <f>SUM(E130:E143)</f>
        <v>0</v>
      </c>
      <c r="F144" s="98">
        <f>SUM(F130:F143)</f>
        <v>0</v>
      </c>
      <c r="G144" s="98">
        <f>SUM(G130:G143)</f>
        <v>0</v>
      </c>
      <c r="H144" s="98">
        <f t="shared" si="7"/>
        <v>1355186.05</v>
      </c>
    </row>
    <row r="145" spans="1:9" ht="12.75" thickTop="1" thickBot="1" x14ac:dyDescent="0.25">
      <c r="A145" s="32" t="s">
        <v>244</v>
      </c>
      <c r="C145" s="68">
        <f>(C115+C128+C144)</f>
        <v>36566978.969999999</v>
      </c>
      <c r="D145" s="68">
        <f>(D115+D128+D144)</f>
        <v>775210.29</v>
      </c>
      <c r="E145" s="68">
        <f>(E115+E128+E144)</f>
        <v>1209154.0899999999</v>
      </c>
      <c r="F145" s="68">
        <f>(F115+F128+F144)</f>
        <v>0</v>
      </c>
      <c r="G145" s="68">
        <f>(G115+G128+G144)</f>
        <v>0</v>
      </c>
      <c r="H145" s="68">
        <f t="shared" si="7"/>
        <v>38551343.349999994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05/02</v>
      </c>
      <c r="C152" s="109">
        <f>'DOE25'!G492</f>
        <v>0</v>
      </c>
      <c r="D152" s="109">
        <f>'DOE25'!H492</f>
        <v>0</v>
      </c>
      <c r="E152" s="109">
        <f>'DOE25'!I492</f>
        <v>0</v>
      </c>
      <c r="F152" s="109">
        <f>'DOE25'!J492</f>
        <v>0</v>
      </c>
      <c r="G152" s="23" t="s">
        <v>288</v>
      </c>
    </row>
    <row r="153" spans="1:9" x14ac:dyDescent="0.2">
      <c r="A153" s="21" t="s">
        <v>29</v>
      </c>
      <c r="B153" s="109" t="str">
        <f>'DOE25'!F493</f>
        <v>07/22</v>
      </c>
      <c r="C153" s="109">
        <f>'DOE25'!G493</f>
        <v>0</v>
      </c>
      <c r="D153" s="109">
        <f>'DOE25'!H493</f>
        <v>0</v>
      </c>
      <c r="E153" s="109">
        <f>'DOE25'!I493</f>
        <v>0</v>
      </c>
      <c r="F153" s="109">
        <f>'DOE25'!J493</f>
        <v>0</v>
      </c>
      <c r="G153" s="23" t="s">
        <v>288</v>
      </c>
    </row>
    <row r="154" spans="1:9" x14ac:dyDescent="0.2">
      <c r="A154" s="21" t="s">
        <v>30</v>
      </c>
      <c r="B154" s="19">
        <f>'DOE25'!F494</f>
        <v>30732213.059999999</v>
      </c>
      <c r="C154" s="19">
        <f>'DOE25'!G494</f>
        <v>0</v>
      </c>
      <c r="D154" s="19">
        <f>'DOE25'!H494</f>
        <v>0</v>
      </c>
      <c r="E154" s="19">
        <f>'DOE25'!I494</f>
        <v>0</v>
      </c>
      <c r="F154" s="19">
        <f>'DOE25'!J494</f>
        <v>0</v>
      </c>
      <c r="G154" s="23" t="s">
        <v>288</v>
      </c>
    </row>
    <row r="155" spans="1:9" x14ac:dyDescent="0.2">
      <c r="A155" s="21" t="s">
        <v>31</v>
      </c>
      <c r="B155" s="19">
        <f>'DOE25'!F495</f>
        <v>4.51</v>
      </c>
      <c r="C155" s="19">
        <f>'DOE25'!G495</f>
        <v>0</v>
      </c>
      <c r="D155" s="19">
        <f>'DOE25'!H495</f>
        <v>0</v>
      </c>
      <c r="E155" s="19">
        <f>'DOE25'!I495</f>
        <v>0</v>
      </c>
      <c r="F155" s="19">
        <f>'DOE25'!J495</f>
        <v>0</v>
      </c>
      <c r="G155" s="23" t="s">
        <v>288</v>
      </c>
    </row>
    <row r="156" spans="1:9" x14ac:dyDescent="0.2">
      <c r="A156" s="21" t="s">
        <v>32</v>
      </c>
      <c r="B156" s="19">
        <f>'DOE25'!F496</f>
        <v>1030000</v>
      </c>
      <c r="C156" s="19">
        <f>'DOE25'!G496</f>
        <v>0</v>
      </c>
      <c r="D156" s="19">
        <f>'DOE25'!H496</f>
        <v>0</v>
      </c>
      <c r="E156" s="19">
        <f>'DOE25'!I496</f>
        <v>0</v>
      </c>
      <c r="F156" s="19">
        <f>'DOE25'!J496</f>
        <v>0</v>
      </c>
      <c r="G156" s="96">
        <f>SUM(B156:F156)</f>
        <v>1030000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5"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Hooksett</v>
      </c>
    </row>
    <row r="3" spans="1:4" x14ac:dyDescent="0.2">
      <c r="B3" s="137" t="s">
        <v>1799</v>
      </c>
    </row>
    <row r="4" spans="1:4" x14ac:dyDescent="0.2">
      <c r="B4" t="s">
        <v>61</v>
      </c>
      <c r="C4" s="129">
        <f>IF('DOE25'!F666+'DOE25'!F671=0,0,ROUND('DOE25'!F673,0))</f>
        <v>15682</v>
      </c>
    </row>
    <row r="5" spans="1:4" x14ac:dyDescent="0.2">
      <c r="B5" t="s">
        <v>700</v>
      </c>
      <c r="C5" s="129">
        <f>IF('DOE25'!G666+'DOE25'!G671=0,0,ROUND('DOE25'!G673,0))</f>
        <v>18756</v>
      </c>
    </row>
    <row r="6" spans="1:4" x14ac:dyDescent="0.2">
      <c r="B6" t="s">
        <v>62</v>
      </c>
      <c r="C6" s="129">
        <f>IF('DOE25'!H666+'DOE25'!H671=0,0,ROUND('DOE25'!H673,0))</f>
        <v>0</v>
      </c>
    </row>
    <row r="7" spans="1:4" x14ac:dyDescent="0.2">
      <c r="B7" t="s">
        <v>701</v>
      </c>
      <c r="C7" s="129">
        <f>IF('DOE25'!I666+'DOE25'!I671=0,0,ROUND('DOE25'!I673,0))</f>
        <v>16738</v>
      </c>
    </row>
    <row r="9" spans="1:4" x14ac:dyDescent="0.2">
      <c r="A9" s="136" t="s">
        <v>94</v>
      </c>
      <c r="B9" s="137" t="s">
        <v>1800</v>
      </c>
      <c r="C9" s="131" t="s">
        <v>720</v>
      </c>
      <c r="D9" s="131" t="s">
        <v>721</v>
      </c>
    </row>
    <row r="10" spans="1:4" x14ac:dyDescent="0.2">
      <c r="A10">
        <v>1100</v>
      </c>
      <c r="B10" t="s">
        <v>702</v>
      </c>
      <c r="C10" s="129">
        <f>ROUND('DOE25'!L198+'DOE25'!L216+'DOE25'!L234+'DOE25'!L277+'DOE25'!L296+'DOE25'!L315,0)</f>
        <v>16613092</v>
      </c>
      <c r="D10" s="132">
        <f>ROUND((C10/$C$28)*100,1)</f>
        <v>45.1</v>
      </c>
    </row>
    <row r="11" spans="1:4" x14ac:dyDescent="0.2">
      <c r="A11">
        <v>1200</v>
      </c>
      <c r="B11" t="s">
        <v>703</v>
      </c>
      <c r="C11" s="129">
        <f>ROUND('DOE25'!L199+'DOE25'!L217+'DOE25'!L235+'DOE25'!L278+'DOE25'!L297+'DOE25'!L316,0)</f>
        <v>9217504</v>
      </c>
      <c r="D11" s="132">
        <f>ROUND((C11/$C$28)*100,1)</f>
        <v>25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101745</v>
      </c>
      <c r="D13" s="132">
        <f>ROUND((C13/$C$28)*100,1)</f>
        <v>0.3</v>
      </c>
    </row>
    <row r="14" spans="1:4" x14ac:dyDescent="0.2">
      <c r="D14" s="132"/>
    </row>
    <row r="15" spans="1:4" x14ac:dyDescent="0.2">
      <c r="A15">
        <v>2100</v>
      </c>
      <c r="B15" t="s">
        <v>706</v>
      </c>
      <c r="C15" s="129">
        <f>ROUND('DOE25'!L203+'DOE25'!L221+'DOE25'!L239+'DOE25'!L282+'DOE25'!L301+'DOE25'!L320,0)</f>
        <v>2431765</v>
      </c>
      <c r="D15" s="132">
        <f t="shared" ref="D15:D27" si="0">ROUND((C15/$C$28)*100,1)</f>
        <v>6.6</v>
      </c>
    </row>
    <row r="16" spans="1:4" x14ac:dyDescent="0.2">
      <c r="A16">
        <v>2200</v>
      </c>
      <c r="B16" t="s">
        <v>707</v>
      </c>
      <c r="C16" s="129">
        <f>ROUND('DOE25'!L204+'DOE25'!L222+'DOE25'!L240+'DOE25'!L283+'DOE25'!L302+'DOE25'!L321,0)</f>
        <v>639096</v>
      </c>
      <c r="D16" s="132">
        <f t="shared" si="0"/>
        <v>1.7</v>
      </c>
    </row>
    <row r="17" spans="1:4" x14ac:dyDescent="0.2">
      <c r="A17" s="133" t="s">
        <v>723</v>
      </c>
      <c r="B17" t="s">
        <v>738</v>
      </c>
      <c r="C17" s="129">
        <f>ROUND('DOE25'!L205+'DOE25'!L210+'DOE25'!L223+'DOE25'!L228+'DOE25'!L241+'DOE25'!L246+'DOE25'!L284+'DOE25'!L289+'DOE25'!L303+'DOE25'!L308+'DOE25'!L322+'DOE25'!L327,0)</f>
        <v>1288949</v>
      </c>
      <c r="D17" s="132">
        <f t="shared" si="0"/>
        <v>3.5</v>
      </c>
    </row>
    <row r="18" spans="1:4" x14ac:dyDescent="0.2">
      <c r="A18">
        <v>2400</v>
      </c>
      <c r="B18" t="s">
        <v>711</v>
      </c>
      <c r="C18" s="129">
        <f>ROUND('DOE25'!L206+'DOE25'!L224+'DOE25'!L242+'DOE25'!L285+'DOE25'!L304+'DOE25'!L323,0)</f>
        <v>1367034</v>
      </c>
      <c r="D18" s="132">
        <f t="shared" si="0"/>
        <v>3.7</v>
      </c>
    </row>
    <row r="19" spans="1:4" x14ac:dyDescent="0.2">
      <c r="A19">
        <v>2500</v>
      </c>
      <c r="B19" t="s">
        <v>708</v>
      </c>
      <c r="C19" s="129">
        <f>ROUND('DOE25'!L207+'DOE25'!L225+'DOE25'!L243+'DOE25'!L286+'DOE25'!L305+'DOE25'!L324,0)</f>
        <v>9059</v>
      </c>
      <c r="D19" s="132">
        <f t="shared" si="0"/>
        <v>0</v>
      </c>
    </row>
    <row r="20" spans="1:4" x14ac:dyDescent="0.2">
      <c r="A20">
        <v>2600</v>
      </c>
      <c r="B20" t="s">
        <v>709</v>
      </c>
      <c r="C20" s="129">
        <f>ROUND('DOE25'!L208+'DOE25'!L226+'DOE25'!L244+'DOE25'!L287+'DOE25'!L306+'DOE25'!L325,0)</f>
        <v>2131060</v>
      </c>
      <c r="D20" s="132">
        <f t="shared" si="0"/>
        <v>5.8</v>
      </c>
    </row>
    <row r="21" spans="1:4" x14ac:dyDescent="0.2">
      <c r="A21">
        <v>2700</v>
      </c>
      <c r="B21" t="s">
        <v>710</v>
      </c>
      <c r="C21" s="129">
        <f>ROUND('DOE25'!L209+'DOE25'!L227+'DOE25'!L245+'DOE25'!L288+'DOE25'!L307+'DOE25'!L326,0)</f>
        <v>2621644</v>
      </c>
      <c r="D21" s="132">
        <f t="shared" si="0"/>
        <v>7.1</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25750</v>
      </c>
      <c r="D25" s="132">
        <f t="shared" si="0"/>
        <v>0.1</v>
      </c>
    </row>
    <row r="26" spans="1:4" x14ac:dyDescent="0.2">
      <c r="A26" s="133" t="s">
        <v>717</v>
      </c>
      <c r="B26" t="s">
        <v>718</v>
      </c>
      <c r="C26" s="129">
        <f>'DOE25'!L269+'DOE25'!L270+'DOE25'!L350+'DOE25'!L351</f>
        <v>74436.05</v>
      </c>
      <c r="D26" s="132">
        <f t="shared" si="0"/>
        <v>0.2</v>
      </c>
    </row>
    <row r="27" spans="1:4" x14ac:dyDescent="0.2">
      <c r="A27">
        <v>3100</v>
      </c>
      <c r="B27" t="s">
        <v>11</v>
      </c>
      <c r="C27" s="129">
        <f>ROUND('DOE25'!L363-'DOE25'!L362,0)-SUM('DOE25'!G97:G110)</f>
        <v>296782.34999999998</v>
      </c>
      <c r="D27" s="132">
        <f t="shared" si="0"/>
        <v>0.8</v>
      </c>
    </row>
    <row r="28" spans="1:4" x14ac:dyDescent="0.2">
      <c r="B28" s="136" t="s">
        <v>719</v>
      </c>
      <c r="C28" s="130">
        <f>SUM(C10:C27)</f>
        <v>36817916.399999999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36817916.399999999</v>
      </c>
    </row>
    <row r="31" spans="1:4" x14ac:dyDescent="0.2">
      <c r="B31" s="32"/>
      <c r="C31" s="130"/>
    </row>
    <row r="32" spans="1:4" x14ac:dyDescent="0.2">
      <c r="A32">
        <v>5100</v>
      </c>
      <c r="B32" s="32" t="s">
        <v>726</v>
      </c>
      <c r="C32" s="130">
        <f>ROUND('DOE25'!L261+'DOE25'!L342,0)</f>
        <v>1030000</v>
      </c>
    </row>
    <row r="34" spans="1:4" x14ac:dyDescent="0.2">
      <c r="A34" s="136" t="s">
        <v>94</v>
      </c>
      <c r="B34" s="137" t="s">
        <v>1801</v>
      </c>
      <c r="C34" s="131" t="s">
        <v>720</v>
      </c>
      <c r="D34" s="131" t="s">
        <v>721</v>
      </c>
    </row>
    <row r="35" spans="1:4" x14ac:dyDescent="0.2">
      <c r="A35">
        <v>1100</v>
      </c>
      <c r="B35" s="71" t="s">
        <v>727</v>
      </c>
      <c r="C35" s="129">
        <f>ROUND('DOE25'!F60+'DOE25'!G60+'DOE25'!H60+'DOE25'!I60+'DOE25'!J60,0)</f>
        <v>27337055</v>
      </c>
      <c r="D35" s="132">
        <f t="shared" ref="D35:D40" si="1">ROUND((C35/$C$41)*100,1)</f>
        <v>70.7</v>
      </c>
    </row>
    <row r="36" spans="1:4" x14ac:dyDescent="0.2">
      <c r="B36" s="71" t="s">
        <v>739</v>
      </c>
      <c r="C36" s="129">
        <f>SUM('DOE25'!F112:J112)-SUM('DOE25'!G97:G110)+('DOE25'!F175+'DOE25'!F176+'DOE25'!I175+'DOE25'!I176)-C35</f>
        <v>534096.23000000045</v>
      </c>
      <c r="D36" s="132">
        <f t="shared" si="1"/>
        <v>1.4</v>
      </c>
    </row>
    <row r="37" spans="1:4" x14ac:dyDescent="0.2">
      <c r="A37" s="133" t="s">
        <v>834</v>
      </c>
      <c r="B37" s="71" t="s">
        <v>728</v>
      </c>
      <c r="C37" s="129">
        <f>ROUND('DOE25'!F117+'DOE25'!F118,0)</f>
        <v>8105330</v>
      </c>
      <c r="D37" s="132">
        <f t="shared" si="1"/>
        <v>21</v>
      </c>
    </row>
    <row r="38" spans="1:4" x14ac:dyDescent="0.2">
      <c r="A38" s="133" t="s">
        <v>734</v>
      </c>
      <c r="B38" s="71" t="s">
        <v>729</v>
      </c>
      <c r="C38" s="129">
        <f>ROUND(SUM('DOE25'!F140:J140)-SUM('DOE25'!F117:F119),0)</f>
        <v>1193342</v>
      </c>
      <c r="D38" s="132">
        <f t="shared" si="1"/>
        <v>3.1</v>
      </c>
    </row>
    <row r="39" spans="1:4" x14ac:dyDescent="0.2">
      <c r="A39">
        <v>4000</v>
      </c>
      <c r="B39" s="71" t="s">
        <v>730</v>
      </c>
      <c r="C39" s="129">
        <f>ROUND('DOE25'!F170+'DOE25'!G170+'DOE25'!H170+'DOE25'!I170,0)</f>
        <v>1481217</v>
      </c>
      <c r="D39" s="132">
        <f t="shared" si="1"/>
        <v>3.8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38651040.230000004</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Hooksett</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66406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90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12</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130</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f>IF('School Level Expenditures'!$B$2='School Tables'!L15,'School Tables'!S15,"")</f>
        <v>12</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f>IF('School Level Expenditures'!$B$2=A93,'School Tables'!H93,"")</f>
        <v>90</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f>IF('School Level Expenditures'!$B$2=A133,'School Tables'!H133,"")</f>
        <v>130</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2023-09-26T16:31:44Z</cp:lastPrinted>
  <dcterms:created xsi:type="dcterms:W3CDTF">1997-12-04T19:04:30Z</dcterms:created>
  <dcterms:modified xsi:type="dcterms:W3CDTF">2023-12-28T18:42:08Z</dcterms:modified>
</cp:coreProperties>
</file>