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9B14231-475F-4CBA-9288-0BB74297619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93" i="1" l="1"/>
  <c r="J593" i="1"/>
  <c r="E38" i="14"/>
  <c r="E26" i="14"/>
  <c r="E7" i="14"/>
  <c r="E6" i="14"/>
  <c r="F14" i="13"/>
  <c r="F5" i="13"/>
  <c r="E13" i="17"/>
  <c r="H130" i="1"/>
  <c r="H162" i="1"/>
  <c r="G529" i="1"/>
  <c r="F529" i="1"/>
  <c r="G528" i="1"/>
  <c r="F528" i="1"/>
  <c r="I527" i="1"/>
  <c r="G527" i="1"/>
  <c r="F527" i="1"/>
  <c r="K524" i="1"/>
  <c r="K523" i="1"/>
  <c r="K522" i="1"/>
  <c r="J524" i="1"/>
  <c r="J523" i="1"/>
  <c r="J522" i="1"/>
  <c r="I524" i="1"/>
  <c r="I523" i="1"/>
  <c r="I522" i="1"/>
  <c r="H524" i="1"/>
  <c r="H523" i="1"/>
  <c r="H522" i="1"/>
  <c r="G524" i="1"/>
  <c r="G523" i="1"/>
  <c r="G522" i="1"/>
  <c r="F524" i="1"/>
  <c r="F523" i="1"/>
  <c r="F522" i="1"/>
  <c r="G534" i="1"/>
  <c r="F534" i="1"/>
  <c r="H539" i="1"/>
  <c r="H583" i="1"/>
  <c r="I614" i="1"/>
  <c r="H614" i="1"/>
  <c r="F614" i="1"/>
  <c r="I593" i="1"/>
  <c r="H592" i="1"/>
  <c r="H596" i="1"/>
  <c r="J605" i="1"/>
  <c r="I605" i="1"/>
  <c r="H605" i="1"/>
  <c r="I315" i="1"/>
  <c r="H315" i="1"/>
  <c r="H316" i="1"/>
  <c r="I296" i="1"/>
  <c r="H296" i="1"/>
  <c r="I277" i="1"/>
  <c r="H277" i="1"/>
  <c r="I283" i="1"/>
  <c r="G277" i="1"/>
  <c r="F277" i="1"/>
  <c r="I278" i="1"/>
  <c r="G278" i="1"/>
  <c r="F278" i="1"/>
  <c r="F199" i="1"/>
  <c r="F198" i="1"/>
  <c r="I245" i="1"/>
  <c r="J469" i="1"/>
  <c r="I466" i="1"/>
  <c r="F110" i="1"/>
  <c r="H245" i="1"/>
  <c r="G245" i="1"/>
  <c r="F245" i="1"/>
  <c r="I227" i="1"/>
  <c r="H227" i="1"/>
  <c r="F227" i="1"/>
  <c r="I209" i="1"/>
  <c r="H209" i="1"/>
  <c r="G209" i="1"/>
  <c r="F209" i="1"/>
  <c r="J244" i="1"/>
  <c r="I244" i="1"/>
  <c r="H244" i="1"/>
  <c r="G244" i="1"/>
  <c r="F244" i="1"/>
  <c r="J226" i="1"/>
  <c r="I226" i="1"/>
  <c r="H226" i="1"/>
  <c r="G226" i="1"/>
  <c r="F226" i="1"/>
  <c r="J208" i="1"/>
  <c r="I208" i="1"/>
  <c r="H208" i="1"/>
  <c r="G208" i="1"/>
  <c r="F208" i="1"/>
  <c r="K240" i="1"/>
  <c r="J240" i="1"/>
  <c r="I240" i="1"/>
  <c r="H240" i="1"/>
  <c r="G240" i="1"/>
  <c r="F240" i="1"/>
  <c r="K222" i="1"/>
  <c r="J222" i="1"/>
  <c r="I222" i="1"/>
  <c r="H222" i="1"/>
  <c r="G222" i="1"/>
  <c r="F222" i="1"/>
  <c r="K204" i="1"/>
  <c r="J204" i="1"/>
  <c r="I204" i="1"/>
  <c r="H204" i="1"/>
  <c r="G204" i="1"/>
  <c r="F204" i="1"/>
  <c r="K239" i="1"/>
  <c r="I239" i="1"/>
  <c r="G239" i="1"/>
  <c r="F239" i="1"/>
  <c r="I221" i="1"/>
  <c r="G221" i="1"/>
  <c r="F221" i="1"/>
  <c r="I203" i="1"/>
  <c r="H203" i="1"/>
  <c r="G203" i="1"/>
  <c r="F203" i="1"/>
  <c r="I235" i="1"/>
  <c r="G235" i="1"/>
  <c r="F235" i="1"/>
  <c r="I217" i="1"/>
  <c r="G217" i="1"/>
  <c r="F217" i="1"/>
  <c r="I199" i="1"/>
  <c r="G199" i="1"/>
  <c r="K234" i="1"/>
  <c r="I234" i="1"/>
  <c r="H234" i="1"/>
  <c r="G234" i="1"/>
  <c r="F234" i="1"/>
  <c r="K216" i="1"/>
  <c r="I216" i="1"/>
  <c r="H216" i="1"/>
  <c r="G216" i="1"/>
  <c r="F216" i="1"/>
  <c r="I198" i="1"/>
  <c r="H198" i="1"/>
  <c r="G198" i="1"/>
  <c r="G30" i="1"/>
  <c r="G12" i="1"/>
  <c r="G97" i="1"/>
  <c r="G158" i="1"/>
  <c r="G132" i="1"/>
  <c r="F24" i="1"/>
  <c r="F12" i="1"/>
  <c r="F9" i="1"/>
  <c r="H473" i="1"/>
  <c r="H469" i="1"/>
  <c r="G469" i="1"/>
  <c r="G460" i="1"/>
  <c r="F440" i="1"/>
  <c r="H393" i="1"/>
  <c r="H423" i="1"/>
  <c r="J423" i="1"/>
  <c r="I423" i="1"/>
  <c r="H24" i="1"/>
  <c r="H30" i="1"/>
  <c r="H13" i="1"/>
  <c r="F120" i="1"/>
  <c r="F98" i="1"/>
  <c r="F503" i="1" l="1"/>
  <c r="F500" i="1"/>
  <c r="G503" i="1"/>
  <c r="G500" i="1"/>
  <c r="G499" i="1"/>
  <c r="F499" i="1"/>
  <c r="H137"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43" i="2"/>
  <c r="H134" i="2"/>
  <c r="H113" i="2"/>
  <c r="H97" i="2"/>
  <c r="H98" i="2"/>
  <c r="H99" i="2"/>
  <c r="H100" i="2"/>
  <c r="H101" i="2"/>
  <c r="H102" i="2"/>
  <c r="H94" i="2"/>
  <c r="H93" i="2"/>
  <c r="H89" i="2"/>
  <c r="H90" i="2"/>
  <c r="H87" i="2"/>
  <c r="H85" i="2"/>
  <c r="H73" i="2"/>
  <c r="H74" i="2"/>
  <c r="H79" i="2"/>
  <c r="H80" i="2"/>
  <c r="H72" i="2"/>
  <c r="H48" i="2"/>
  <c r="H43" i="2"/>
  <c r="H42" i="2"/>
  <c r="H40" i="2"/>
  <c r="H39" i="2"/>
  <c r="H38" i="2"/>
  <c r="H36" i="2"/>
  <c r="H34" i="2"/>
  <c r="H22" i="2"/>
  <c r="H24" i="2"/>
  <c r="H25" i="2"/>
  <c r="H26" i="2"/>
  <c r="H28" i="2"/>
  <c r="H30" i="2"/>
  <c r="H9"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H27" i="2" s="1"/>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H653" i="1"/>
  <c r="G654" i="1"/>
  <c r="H654" i="1"/>
  <c r="H655" i="1"/>
  <c r="H656" i="1"/>
  <c r="I170" i="1"/>
  <c r="J652" i="1" l="1"/>
  <c r="E120" i="2"/>
  <c r="E121" i="2"/>
  <c r="E112" i="2"/>
  <c r="G62" i="2"/>
  <c r="H59" i="2"/>
  <c r="C32" i="10"/>
  <c r="C125" i="2"/>
  <c r="H125" i="2" s="1"/>
  <c r="G651" i="1"/>
  <c r="C119" i="2"/>
  <c r="A40" i="12"/>
  <c r="C112" i="2"/>
  <c r="H112" i="2" s="1"/>
  <c r="D15" i="13"/>
  <c r="C15" i="13" s="1"/>
  <c r="N2" i="14"/>
  <c r="N3" i="14" s="1"/>
  <c r="C120" i="2"/>
  <c r="H120" i="2" s="1"/>
  <c r="M2" i="14"/>
  <c r="M3" i="14" s="1"/>
  <c r="C13" i="10"/>
  <c r="C12" i="10"/>
  <c r="C110" i="2"/>
  <c r="C121" i="2"/>
  <c r="D6" i="13"/>
  <c r="C6" i="13" s="1"/>
  <c r="L2" i="14"/>
  <c r="L3" i="14" s="1"/>
  <c r="K2" i="14"/>
  <c r="K3" i="14" s="1"/>
  <c r="H76" i="2"/>
  <c r="D78" i="2"/>
  <c r="H77" i="2"/>
  <c r="H61" i="2"/>
  <c r="H44" i="2"/>
  <c r="H477" i="1"/>
  <c r="H625" i="1" s="1"/>
  <c r="G409" i="1"/>
  <c r="H646" i="1" s="1"/>
  <c r="J646" i="1" s="1"/>
  <c r="H23" i="2"/>
  <c r="H29" i="2"/>
  <c r="H13" i="2"/>
  <c r="H12" i="2"/>
  <c r="H47" i="2"/>
  <c r="H11" i="2"/>
  <c r="H8" i="2"/>
  <c r="D29" i="13"/>
  <c r="C29" i="13" s="1"/>
  <c r="G662" i="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1" i="2" l="1"/>
  <c r="H119" i="2"/>
  <c r="G24" i="14"/>
  <c r="H24" i="14" s="1"/>
  <c r="I24" i="14" s="1"/>
  <c r="H118" i="2"/>
  <c r="E128" i="2"/>
  <c r="H123" i="2"/>
  <c r="I663" i="1"/>
  <c r="H110" i="2"/>
  <c r="H103" i="2"/>
  <c r="H91" i="2"/>
  <c r="H78" i="2"/>
  <c r="H62" i="2"/>
  <c r="H21" i="2"/>
  <c r="E51" i="2"/>
  <c r="H18" i="2"/>
  <c r="H50" i="2"/>
  <c r="D51" i="2"/>
  <c r="H31" i="2"/>
  <c r="F194" i="1"/>
  <c r="G628" i="1" s="1"/>
  <c r="J628" i="1" s="1"/>
  <c r="C81" i="2"/>
  <c r="H81" i="2" s="1"/>
  <c r="I662" i="1"/>
  <c r="D128" i="2"/>
  <c r="H127"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C144" i="2"/>
  <c r="C145" i="2" s="1"/>
  <c r="H141" i="2"/>
  <c r="H51" i="2"/>
  <c r="C104" i="2"/>
  <c r="H104" i="2" s="1"/>
  <c r="H63"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<sst xmlns="http://schemas.openxmlformats.org/spreadsheetml/2006/main" count="6563" uniqueCount="1817">
  <si>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</si>
  <si>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</si>
  <si>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</si>
  <si>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</si>
  <si>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</si>
  <si>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</si>
  <si>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</si>
  <si>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</si>
  <si>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</si>
  <si>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</si>
  <si>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</si>
  <si>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</si>
  <si>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</si>
  <si>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</si>
  <si>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</si>
  <si>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</si>
  <si>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</si>
  <si>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</si>
  <si>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</si>
  <si>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</si>
  <si>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</si>
  <si>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</si>
  <si>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</si>
  <si>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</si>
  <si>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</si>
  <si>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</si>
  <si>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</si>
  <si>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</si>
  <si>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</si>
  <si>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</si>
  <si>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</si>
  <si>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</si>
  <si>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</si>
  <si>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</si>
  <si>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</si>
  <si>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</si>
  <si>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</si>
  <si>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</si>
  <si>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</si>
  <si>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</si>
  <si>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</si>
  <si>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</si>
  <si>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</si>
  <si>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</si>
  <si>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</si>
  <si>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</si>
  <si>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</si>
  <si>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</si>
  <si>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</si>
  <si>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</si>
  <si>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</si>
  <si>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</si>
  <si>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</si>
  <si>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</si>
  <si>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</si>
  <si>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</si>
  <si>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</si>
  <si>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</si>
  <si>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</si>
  <si>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</si>
  <si>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</si>
  <si>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</si>
  <si>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</si>
  <si>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</si>
  <si>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</si>
  <si>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</si>
  <si>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</si>
  <si>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</si>
  <si>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</si>
  <si>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</si>
  <si>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</si>
  <si>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</si>
  <si>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</si>
  <si>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</si>
  <si>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</si>
  <si>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</si>
  <si>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</si>
  <si>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</si>
  <si>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</si>
  <si>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</si>
  <si>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</si>
  <si>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</si>
  <si>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</si>
  <si>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</si>
  <si>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</si>
  <si>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</si>
  <si>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</si>
  <si>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</si>
  <si>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</si>
  <si>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</si>
  <si>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</si>
  <si>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</si>
  <si>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</si>
  <si>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</si>
  <si>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</si>
  <si>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</si>
  <si>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</si>
  <si>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</si>
  <si>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</si>
  <si>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</si>
  <si>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</si>
  <si>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</si>
  <si>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</si>
  <si>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</si>
  <si>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</si>
  <si>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</si>
  <si>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</si>
  <si>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</si>
  <si>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</si>
  <si>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</si>
  <si>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</si>
  <si>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</si>
  <si>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</si>
  <si>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</si>
  <si>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</si>
  <si>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</si>
  <si>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</si>
  <si>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</si>
  <si>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</si>
  <si>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</si>
  <si>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</si>
  <si>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</si>
  <si>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</si>
  <si>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</si>
  <si>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</si>
  <si>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</si>
  <si>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</si>
  <si>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</si>
  <si>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</si>
  <si>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</si>
  <si>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</si>
  <si>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</si>
  <si>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</si>
  <si>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</si>
  <si>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</si>
  <si>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</si>
  <si>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</si>
  <si>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</si>
  <si>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</si>
  <si>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</si>
  <si>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</si>
  <si>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</si>
  <si>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</si>
  <si>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</si>
  <si>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</si>
  <si>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</si>
  <si>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</si>
  <si>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</si>
  <si>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</si>
  <si>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</si>
  <si>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</si>
  <si>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</si>
  <si>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</si>
  <si>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</si>
  <si>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</si>
  <si>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</si>
  <si>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</si>
  <si>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</si>
  <si>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</si>
  <si>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</si>
  <si>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</si>
  <si>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</si>
  <si>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</si>
  <si>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</si>
  <si>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</si>
  <si>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</si>
  <si>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</si>
  <si>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</si>
  <si>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</si>
  <si>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</si>
  <si>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</si>
  <si>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</si>
  <si>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</si>
  <si>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</si>
  <si>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</si>
  <si>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</si>
  <si>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</si>
  <si>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</si>
  <si>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</si>
  <si>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</si>
  <si>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</si>
  <si>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</si>
  <si>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</si>
  <si>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</si>
  <si>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</si>
  <si>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</si>
  <si>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</si>
  <si>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</si>
  <si>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</si>
  <si>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</si>
  <si>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</si>
  <si>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</si>
  <si>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</si>
  <si>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</si>
  <si>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</si>
  <si>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</si>
  <si>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</si>
  <si>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</si>
  <si>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</si>
  <si>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</si>
  <si>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</si>
  <si>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</si>
  <si>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</si>
  <si>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</si>
  <si>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</si>
  <si>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</si>
  <si>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</si>
  <si>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</si>
  <si>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</si>
  <si>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</si>
  <si>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</si>
  <si>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</si>
  <si>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</si>
  <si>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</si>
  <si>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</si>
  <si>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</si>
  <si>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</si>
  <si>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</si>
  <si>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</si>
  <si>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</si>
  <si>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</si>
  <si>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</si>
  <si>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</si>
  <si>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</si>
  <si>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</si>
  <si>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</si>
  <si>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</si>
  <si>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</si>
  <si>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</si>
  <si>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</si>
  <si>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</si>
  <si>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</si>
  <si>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</si>
  <si>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</si>
  <si>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</si>
  <si>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</si>
  <si>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</si>
  <si>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</si>
  <si>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</si>
  <si>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</si>
  <si>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</si>
  <si>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</si>
  <si>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</si>
  <si>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</si>
  <si>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</si>
  <si>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</si>
  <si>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</si>
  <si>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</si>
  <si>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</si>
  <si>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</si>
  <si>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</si>
  <si>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</si>
  <si>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</si>
  <si>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</si>
  <si>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</si>
  <si>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</si>
  <si>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</si>
  <si>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</si>
  <si>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</si>
  <si>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</si>
  <si>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</si>
  <si>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</si>
  <si>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</si>
  <si>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</si>
  <si>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</si>
  <si>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</si>
  <si>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</si>
  <si>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</si>
  <si>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</si>
  <si>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</si>
  <si>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</si>
  <si>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</si>
  <si>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</si>
  <si>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</si>
  <si>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</si>
  <si>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</si>
  <si>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</si>
  <si>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</si>
  <si>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</si>
  <si>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</si>
  <si>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</si>
  <si>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</si>
  <si>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</si>
  <si>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</si>
  <si>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</si>
  <si>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</si>
  <si>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</si>
  <si>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</si>
  <si>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</si>
  <si>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</si>
  <si>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</si>
  <si>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</si>
  <si>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</si>
  <si>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</si>
  <si>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</si>
  <si>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</si>
  <si>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</si>
  <si>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</si>
  <si>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</si>
  <si>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</si>
  <si>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</si>
  <si>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</si>
  <si>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</si>
  <si>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</si>
  <si>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</si>
  <si>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</si>
  <si>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</si>
  <si>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</si>
  <si>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</si>
  <si>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</si>
  <si>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</si>
  <si>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</si>
  <si>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</si>
  <si>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</si>
  <si>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</si>
  <si>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</si>
  <si>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</si>
  <si>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</si>
  <si>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</si>
  <si>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</si>
  <si>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</si>
  <si>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</si>
  <si>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</si>
  <si>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</si>
  <si>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</si>
  <si>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</si>
  <si>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</si>
  <si>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</si>
  <si>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</si>
  <si>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</si>
  <si>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</si>
  <si>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</si>
  <si>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</si>
  <si>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</si>
  <si>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</si>
  <si>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</si>
  <si>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</si>
  <si>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</si>
  <si>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</si>
  <si>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</si>
  <si>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</si>
  <si>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</si>
  <si>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</si>
  <si>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</si>
  <si>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</si>
  <si>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</si>
  <si>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</si>
  <si>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</si>
  <si>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</si>
  <si>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</si>
  <si>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</si>
  <si>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</si>
  <si>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</si>
  <si>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</si>
  <si>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</si>
  <si>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</si>
  <si>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</si>
  <si>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</si>
  <si>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</si>
  <si>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</si>
  <si>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</si>
  <si>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</si>
  <si>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</si>
  <si>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</si>
  <si>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</si>
  <si>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</si>
  <si>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</si>
  <si>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</si>
  <si>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</si>
  <si>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</si>
  <si>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</si>
  <si>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</si>
  <si>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</si>
  <si>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</si>
  <si>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</si>
  <si>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</si>
  <si>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</si>
  <si>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</si>
  <si>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</si>
  <si>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</si>
  <si>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</si>
  <si>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</si>
  <si>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</si>
  <si>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</si>
  <si>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</si>
  <si>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</si>
  <si>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</si>
  <si>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</si>
  <si>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</si>
  <si>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</si>
  <si>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</si>
  <si>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</si>
  <si>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</si>
  <si>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</si>
  <si>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</si>
  <si>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</si>
  <si>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</si>
  <si>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</si>
  <si>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</si>
  <si>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</si>
  <si>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</si>
  <si>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</si>
  <si>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</si>
  <si>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</si>
  <si>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</si>
  <si>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</si>
  <si>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</si>
  <si>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</si>
  <si>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</si>
  <si>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</si>
  <si>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</si>
  <si>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</si>
  <si>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</si>
  <si>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</si>
  <si>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</si>
  <si>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</si>
  <si>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</si>
  <si>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</si>
  <si>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</si>
  <si>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</si>
  <si>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</si>
  <si>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</si>
  <si>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</si>
  <si>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</si>
  <si>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</si>
  <si>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</si>
  <si>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</si>
  <si>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</si>
  <si>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</si>
  <si>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</si>
  <si>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</si>
  <si>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</si>
  <si>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</si>
  <si>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</si>
  <si>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</si>
  <si>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</si>
  <si>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</si>
  <si>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</si>
  <si>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</si>
  <si>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</si>
  <si>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</si>
  <si>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</si>
  <si>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</si>
  <si>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</si>
  <si>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</si>
  <si>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</si>
  <si>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</si>
  <si>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</si>
  <si>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</si>
  <si>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</si>
  <si>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</si>
  <si>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</si>
  <si>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</si>
  <si>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</si>
  <si>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</si>
  <si>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</si>
  <si>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</si>
  <si>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</si>
  <si>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</si>
  <si>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</si>
  <si>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</si>
  <si>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</si>
  <si>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</si>
  <si>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</si>
  <si>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</si>
  <si>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</si>
  <si>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</si>
  <si>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</si>
  <si>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</si>
  <si>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</si>
  <si>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</si>
  <si>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</si>
  <si>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</si>
  <si>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</si>
  <si>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</si>
  <si>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</si>
  <si>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</si>
  <si>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</si>
  <si>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</si>
  <si>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</si>
  <si>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</si>
  <si>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</si>
  <si>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</si>
  <si>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</si>
  <si>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</si>
  <si>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</si>
  <si>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</si>
  <si>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</si>
  <si>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</si>
  <si>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</si>
  <si>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</si>
  <si>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</si>
  <si>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</si>
  <si>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</si>
  <si>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</si>
  <si>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</si>
  <si>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</si>
  <si>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</si>
  <si>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</si>
  <si>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</si>
  <si>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</si>
  <si>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</si>
  <si>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</si>
  <si>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</si>
  <si>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</si>
  <si>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</si>
  <si>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</si>
  <si>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</si>
  <si>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</si>
  <si>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</si>
  <si>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</si>
  <si>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</si>
  <si>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</si>
  <si>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</si>
  <si>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</si>
  <si>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</si>
  <si>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</si>
  <si>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</si>
  <si>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</si>
  <si>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</si>
  <si>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</si>
  <si>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</si>
  <si>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</si>
  <si>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</si>
  <si>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</si>
  <si>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</si>
  <si>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</si>
  <si>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</si>
  <si>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</si>
  <si>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</si>
  <si>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</si>
  <si>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</si>
  <si>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</si>
  <si>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</si>
  <si>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</si>
  <si>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</si>
  <si>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</si>
  <si>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</si>
  <si>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</si>
  <si>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</si>
  <si>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</si>
  <si>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</si>
  <si>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</si>
  <si>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</si>
  <si>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</si>
  <si>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</si>
  <si>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</si>
  <si>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</si>
  <si>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</si>
  <si>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</si>
  <si>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</si>
  <si>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</si>
  <si>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</si>
  <si>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</si>
  <si>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</si>
  <si>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</si>
  <si>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</si>
  <si>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</si>
  <si>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</si>
  <si>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</si>
  <si>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</si>
  <si>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</si>
  <si>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</si>
  <si>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</si>
  <si>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</si>
  <si>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</si>
  <si>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</si>
  <si>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</si>
  <si>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</si>
  <si>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</si>
  <si>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</si>
  <si>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</si>
  <si>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</si>
  <si>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</si>
  <si>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</si>
  <si>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</si>
  <si>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</si>
  <si>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</si>
  <si>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</si>
  <si>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</si>
  <si>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</si>
  <si>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</si>
  <si>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</si>
  <si>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</si>
  <si>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</si>
  <si>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</si>
  <si>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</si>
  <si>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</si>
  <si>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</si>
  <si>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</si>
  <si>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</si>
  <si>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</si>
  <si>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</si>
  <si>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</si>
  <si>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</si>
  <si>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</si>
  <si>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</si>
  <si>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</si>
  <si>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</si>
  <si>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</si>
  <si>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</si>
  <si>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</si>
  <si>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</si>
  <si>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</si>
  <si>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</si>
  <si>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</si>
  <si>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</si>
  <si>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</si>
  <si>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</si>
  <si>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</si>
  <si>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</si>
  <si>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</si>
  <si>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</si>
  <si>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</si>
  <si>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</si>
  <si>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</si>
  <si>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</si>
  <si>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</si>
  <si>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</si>
  <si>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</si>
  <si>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</si>
  <si>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</si>
  <si>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</si>
  <si>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</si>
  <si>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</si>
  <si>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</si>
  <si>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</si>
  <si>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</si>
  <si>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</si>
  <si>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</si>
  <si>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</si>
  <si>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</si>
  <si>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</si>
  <si>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</si>
  <si>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</si>
  <si>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</si>
  <si>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</si>
  <si>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</si>
  <si>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</si>
  <si>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</si>
  <si>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</si>
  <si>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</si>
  <si>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</si>
  <si>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</si>
  <si>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</si>
  <si>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</si>
  <si>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</si>
  <si>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</si>
  <si>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</si>
  <si>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</si>
  <si>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</si>
  <si>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</si>
  <si>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</si>
  <si>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</si>
  <si>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</si>
  <si>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</si>
  <si>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</si>
  <si>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</si>
  <si>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</si>
  <si>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</si>
  <si>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</si>
  <si>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</si>
  <si>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</si>
  <si>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</si>
  <si>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</si>
  <si>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</si>
  <si>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</si>
  <si>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</si>
  <si>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</si>
  <si>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</si>
  <si>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</si>
  <si>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</si>
  <si>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</si>
  <si>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</si>
  <si>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</si>
  <si>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</si>
  <si>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</si>
  <si>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</si>
  <si>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</si>
  <si>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</si>
  <si>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</si>
  <si>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</si>
  <si>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</si>
  <si>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</si>
  <si>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</si>
  <si>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</si>
  <si>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</si>
  <si>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</si>
  <si>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</si>
  <si>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</si>
  <si>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</si>
  <si>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</si>
  <si>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</si>
  <si>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</si>
  <si>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</si>
  <si>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</si>
  <si>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</si>
  <si>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</si>
  <si>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</si>
  <si>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</si>
  <si>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</si>
  <si>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</si>
  <si>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</si>
  <si>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</si>
  <si>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</si>
  <si>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</si>
  <si>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</si>
  <si>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</si>
  <si>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</si>
  <si>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</si>
  <si>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</si>
  <si>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</si>
  <si>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</si>
  <si>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</si>
  <si>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</si>
  <si>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</si>
  <si>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</si>
  <si>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</si>
  <si>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</si>
  <si>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</si>
  <si>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</si>
  <si>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</si>
  <si>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</si>
  <si>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</si>
  <si>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</si>
  <si>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</si>
  <si>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</si>
  <si>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</si>
  <si>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</si>
  <si>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</si>
  <si>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</si>
  <si>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</si>
  <si>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</si>
  <si>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</si>
  <si>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</si>
  <si>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</si>
  <si>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</si>
  <si>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</si>
  <si>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</si>
  <si>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</si>
  <si>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</si>
  <si>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</si>
  <si>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</si>
  <si>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</si>
  <si>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</si>
  <si>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</si>
  <si>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</si>
  <si>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</si>
  <si>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</si>
  <si>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</si>
  <si>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</si>
  <si>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</si>
  <si>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</si>
  <si>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</si>
  <si>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</si>
  <si>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</si>
  <si>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</si>
  <si>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</si>
  <si>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</si>
  <si>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</si>
  <si>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</si>
  <si>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</si>
  <si>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</si>
  <si>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</si>
  <si>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</si>
  <si>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</si>
  <si>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</si>
  <si>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</si>
  <si>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</si>
  <si>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</si>
  <si>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</si>
  <si>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</si>
  <si>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</si>
  <si>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</si>
  <si>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</si>
  <si>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</si>
  <si>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</si>
  <si>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</si>
  <si>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</si>
  <si>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</si>
  <si>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</si>
  <si>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</si>
  <si>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</si>
  <si>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</si>
  <si>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</si>
  <si>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</si>
  <si>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</si>
  <si>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</si>
  <si>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</si>
  <si>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</si>
  <si>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</si>
  <si>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</si>
  <si>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</si>
  <si>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</si>
  <si>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</si>
  <si>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</si>
  <si>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</si>
  <si>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</si>
  <si>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</si>
  <si>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</si>
  <si>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</si>
  <si>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</si>
  <si>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</si>
  <si>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</si>
  <si>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</si>
  <si>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</si>
  <si>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</si>
  <si>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</si>
  <si>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</si>
  <si>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</si>
  <si>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</si>
  <si>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</si>
  <si>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</si>
  <si>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</si>
  <si>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</si>
  <si>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</si>
  <si>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</si>
  <si>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</si>
  <si>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</si>
  <si>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</si>
  <si>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</si>
  <si>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</si>
  <si>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</si>
  <si>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</si>
  <si>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</si>
  <si>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</si>
  <si>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</si>
  <si>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</si>
  <si>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</si>
  <si>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</si>
  <si>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</si>
  <si>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</si>
  <si>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</si>
  <si>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</si>
  <si>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</si>
  <si>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</si>
  <si>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</si>
  <si>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</si>
  <si>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</si>
  <si>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</si>
  <si>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</si>
  <si>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</si>
  <si>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</si>
  <si>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</si>
  <si>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</si>
  <si>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</si>
  <si>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</si>
  <si>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</si>
  <si>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</si>
  <si>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</si>
  <si>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</si>
  <si>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</si>
  <si>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</si>
  <si>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</si>
  <si>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</si>
  <si>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</si>
  <si>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</si>
  <si>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</si>
  <si>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</si>
  <si>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</si>
  <si>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</si>
  <si>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</si>
  <si>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</si>
  <si>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</si>
  <si>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</si>
  <si>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</si>
  <si>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</si>
  <si>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</si>
  <si>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</si>
  <si>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</si>
  <si>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</si>
  <si>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</si>
  <si>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</si>
  <si>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</si>
  <si>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</si>
  <si>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</si>
  <si>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</si>
  <si>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</si>
  <si>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</si>
  <si>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</si>
  <si>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</si>
  <si>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</si>
  <si>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</si>
  <si>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</si>
  <si>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</si>
  <si>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</si>
  <si>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</si>
  <si>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</si>
  <si>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</si>
  <si>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</si>
  <si>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</si>
  <si>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</si>
  <si>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</si>
  <si>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</si>
  <si>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</si>
  <si>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</si>
  <si>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</si>
  <si>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</si>
  <si>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</si>
  <si>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</si>
  <si>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</si>
  <si>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</si>
  <si>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</si>
  <si>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</si>
  <si>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</si>
  <si>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</si>
  <si>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</si>
  <si>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</si>
  <si>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</si>
  <si>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</si>
  <si>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</si>
  <si>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</si>
  <si>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</si>
  <si>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</si>
  <si>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</si>
  <si>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</si>
  <si>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</si>
  <si>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</si>
  <si>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</si>
  <si>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</si>
  <si>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</si>
  <si>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</si>
  <si>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</si>
  <si>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</si>
  <si>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</si>
  <si>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</si>
  <si>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</si>
  <si>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</si>
  <si>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</si>
  <si>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</si>
  <si>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</si>
  <si>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</si>
  <si>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</si>
  <si>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</si>
  <si>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</si>
  <si>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</si>
  <si>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</si>
  <si>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</si>
  <si>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</si>
  <si>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</si>
  <si>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</si>
  <si>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</si>
  <si>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</si>
  <si>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</si>
  <si>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</si>
  <si>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</si>
  <si>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</si>
  <si>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</si>
  <si>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</si>
  <si>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</si>
  <si>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</si>
  <si>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</si>
  <si>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</si>
  <si>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</si>
  <si>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</si>
  <si>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</si>
  <si>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</si>
  <si>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</si>
  <si>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</si>
  <si>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</si>
  <si>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</si>
  <si>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</si>
  <si>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</si>
  <si>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</si>
  <si>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</si>
  <si>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</si>
  <si>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</si>
  <si>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</si>
  <si>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</si>
  <si>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</si>
  <si>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</si>
  <si>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</si>
  <si>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</si>
  <si>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</si>
  <si>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</si>
  <si>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</si>
  <si>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</si>
  <si>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</si>
  <si>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</si>
  <si>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</si>
  <si>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</si>
  <si>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</si>
  <si>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</si>
  <si>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</si>
  <si>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</si>
  <si>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</si>
  <si>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</si>
  <si>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</si>
  <si>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</si>
  <si>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</si>
  <si>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</si>
  <si>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</si>
  <si>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</si>
  <si>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</si>
  <si>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</si>
  <si>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</si>
  <si>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</si>
  <si>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</si>
  <si>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</si>
  <si>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</si>
  <si>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</si>
  <si>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</si>
  <si>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</si>
  <si>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</si>
  <si>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</si>
  <si>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</si>
  <si>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</si>
  <si>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</si>
  <si>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</si>
  <si>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</si>
  <si>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</si>
  <si>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</si>
  <si>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</si>
  <si>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</si>
  <si>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</si>
  <si>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</si>
  <si>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</si>
  <si>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</si>
  <si>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</si>
  <si>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</si>
  <si>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</si>
  <si>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</si>
  <si>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</si>
  <si>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</si>
  <si>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</si>
  <si>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</si>
  <si>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</si>
  <si>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</si>
  <si>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</si>
  <si>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</si>
  <si>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</si>
  <si>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</si>
  <si>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</si>
  <si>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</si>
  <si>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</si>
  <si>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</si>
  <si>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</si>
  <si>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</si>
  <si>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</si>
  <si>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</si>
  <si>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</si>
  <si>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</si>
  <si>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</si>
  <si>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</si>
  <si>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</si>
  <si>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</si>
  <si>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</si>
  <si>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</si>
  <si>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</si>
  <si>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</si>
  <si>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</si>
  <si>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</si>
  <si>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</si>
  <si>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</si>
  <si>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</si>
  <si>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</si>
  <si>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</si>
  <si>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</si>
  <si>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</si>
  <si>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</si>
  <si>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</si>
  <si>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</si>
  <si>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</si>
  <si>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</si>
  <si>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</si>
  <si>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</si>
  <si>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</si>
  <si>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</si>
  <si>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</si>
  <si>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</si>
  <si>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</si>
  <si>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</si>
  <si>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</si>
  <si>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</si>
  <si>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</si>
  <si>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</si>
  <si>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</si>
  <si>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</si>
  <si>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</si>
  <si>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</si>
  <si>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</si>
  <si>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</si>
  <si>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</si>
  <si>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</si>
  <si>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</si>
  <si>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</si>
  <si>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</si>
  <si>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</si>
  <si>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</si>
  <si>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</si>
  <si>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</si>
  <si>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</si>
  <si>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</si>
  <si>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</si>
  <si>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</si>
  <si>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</si>
  <si>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</si>
  <si>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</si>
  <si>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</si>
  <si>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</si>
  <si>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</si>
  <si>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</si>
  <si>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</si>
  <si>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</si>
  <si>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</si>
  <si>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</si>
  <si>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</si>
  <si>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</si>
  <si>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</si>
  <si>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</si>
  <si>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</si>
  <si>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</si>
  <si>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</si>
  <si>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</si>
  <si>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</si>
  <si>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</si>
  <si>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</si>
  <si>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</si>
  <si>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</si>
  <si>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</si>
  <si>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</si>
  <si>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</si>
  <si>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</si>
  <si>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</si>
  <si>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</si>
  <si>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</si>
  <si>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</si>
  <si>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</si>
  <si>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</si>
  <si>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</si>
  <si>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</si>
  <si>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</si>
  <si>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</si>
  <si>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</si>
  <si>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</si>
  <si>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</si>
  <si>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</si>
  <si>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</si>
  <si>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</si>
  <si>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</si>
  <si>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</si>
  <si>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</si>
  <si>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</si>
  <si>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</si>
  <si>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</si>
  <si>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</si>
  <si>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</si>
  <si>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</si>
  <si>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</si>
  <si>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</si>
  <si>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</si>
  <si>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</si>
  <si>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</si>
  <si>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</si>
  <si>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</si>
  <si>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</si>
  <si>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</si>
  <si>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</si>
  <si>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</si>
  <si>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</si>
  <si>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</si>
  <si>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</si>
  <si>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</si>
  <si>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</si>
  <si>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</si>
  <si>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</si>
  <si>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</si>
  <si>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</si>
  <si>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</si>
  <si>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</si>
  <si>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</si>
  <si>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</si>
  <si>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</si>
  <si>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</si>
  <si>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</si>
  <si>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</si>
  <si>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</si>
  <si>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</si>
  <si>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</si>
  <si>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</si>
  <si>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</si>
  <si>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</si>
  <si>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</si>
  <si>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</si>
  <si>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</si>
  <si>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</si>
  <si>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</si>
  <si>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</si>
  <si>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</si>
  <si>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</si>
  <si>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</si>
  <si>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</si>
  <si>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</si>
  <si>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</si>
  <si>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</si>
  <si>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</si>
  <si>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</si>
  <si>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</si>
  <si>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</si>
  <si>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</si>
  <si>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</si>
  <si>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</si>
  <si>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</si>
  <si>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</si>
  <si>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</si>
  <si>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</si>
  <si>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</si>
  <si>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</si>
  <si>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</si>
  <si>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</si>
  <si>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</si>
  <si>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</si>
  <si>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</si>
  <si>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</si>
  <si>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</si>
  <si>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</si>
  <si>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</si>
  <si>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</si>
  <si>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</si>
  <si>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</si>
  <si>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</si>
  <si>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</si>
  <si>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</si>
  <si>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</si>
  <si>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</si>
  <si>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</si>
  <si>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</si>
  <si>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</si>
  <si>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</si>
  <si>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</si>
  <si>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</si>
  <si>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</si>
  <si>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</si>
  <si>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</si>
  <si>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</si>
  <si>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</si>
  <si>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</si>
  <si>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</si>
  <si>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</si>
  <si>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</si>
  <si>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</si>
  <si>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</si>
  <si>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</si>
  <si>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</si>
  <si>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</si>
  <si>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</si>
  <si>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</si>
  <si>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</si>
  <si>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</si>
  <si>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</si>
  <si>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</si>
  <si>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</si>
  <si>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</si>
  <si>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</si>
  <si>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</si>
  <si>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</si>
  <si>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</si>
  <si>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</si>
  <si>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</si>
  <si>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</si>
  <si>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</si>
  <si>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</si>
  <si>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</si>
  <si>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</si>
  <si>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</si>
  <si>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</si>
  <si>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</si>
  <si>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</si>
  <si>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</si>
  <si>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</si>
  <si>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</si>
  <si>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</si>
  <si>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</si>
  <si>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</si>
  <si>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</si>
  <si>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</si>
  <si>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</si>
  <si>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</si>
  <si>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</si>
  <si>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</si>
  <si>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</si>
  <si>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</si>
  <si>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</si>
  <si>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</si>
  <si>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</si>
  <si>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</si>
  <si>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</si>
  <si>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</si>
  <si>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</si>
  <si>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</si>
  <si>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</si>
  <si>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</si>
  <si>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</si>
  <si>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</si>
  <si>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</si>
  <si>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</si>
  <si>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</si>
  <si>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</si>
  <si>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</si>
  <si>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</si>
  <si>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</si>
  <si>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</si>
  <si>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</si>
  <si>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</si>
  <si>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</si>
  <si>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</si>
  <si>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</si>
  <si>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</si>
  <si>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</si>
  <si>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</si>
  <si>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</si>
  <si>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</si>
  <si>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</si>
  <si>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</si>
  <si>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</si>
  <si>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</si>
  <si>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</si>
  <si>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</si>
  <si>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</si>
  <si>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</si>
  <si>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</si>
  <si>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</si>
  <si>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</si>
  <si>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</si>
  <si>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</si>
  <si>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</si>
  <si>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</si>
  <si>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</si>
  <si>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</si>
  <si>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</si>
  <si>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</si>
  <si>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</si>
  <si>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</si>
  <si>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</si>
  <si>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</si>
  <si>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</si>
  <si>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</si>
  <si>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</si>
  <si>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</si>
  <si>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</si>
  <si>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</si>
  <si>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</si>
  <si>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</si>
  <si>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</si>
  <si>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</si>
  <si>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</si>
  <si>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</si>
  <si>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</si>
  <si>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</si>
  <si>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</si>
  <si>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</si>
  <si>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</si>
  <si>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</si>
  <si>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</si>
  <si>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</si>
  <si>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</si>
  <si>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</si>
  <si>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</si>
  <si>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</si>
  <si>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</si>
  <si>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</si>
  <si>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</si>
  <si>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</si>
  <si>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</si>
  <si>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</si>
  <si>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</si>
  <si>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</si>
  <si>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</si>
  <si>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</si>
  <si>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</si>
  <si>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</si>
  <si>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</si>
  <si>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</si>
  <si>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</si>
  <si>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</si>
  <si>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</si>
  <si>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</si>
  <si>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</si>
  <si>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</si>
  <si>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</si>
  <si>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</si>
  <si>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</si>
  <si>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</si>
  <si>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</si>
  <si>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</si>
  <si>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</si>
  <si>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</si>
  <si>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</si>
  <si>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</si>
  <si>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</si>
  <si>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</si>
  <si>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</si>
  <si>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</si>
  <si>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</si>
  <si>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</si>
  <si>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</si>
  <si>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</si>
  <si>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</si>
  <si>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</si>
  <si>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</si>
  <si>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</si>
  <si>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</si>
  <si>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</si>
  <si>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</si>
  <si>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</si>
  <si>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</si>
  <si>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</si>
  <si>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</si>
  <si>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</si>
  <si>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</si>
  <si>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</si>
  <si>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</si>
  <si>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</si>
  <si>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</si>
  <si>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</si>
  <si>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</si>
  <si>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</si>
  <si>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</si>
  <si>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</si>
  <si>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</si>
  <si>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</si>
  <si>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</si>
  <si>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</si>
  <si>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</si>
  <si>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</si>
  <si>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</si>
  <si>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</si>
  <si>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</si>
  <si>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</si>
  <si>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</si>
  <si>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</si>
  <si>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</si>
  <si>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</si>
  <si>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</si>
  <si>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</si>
  <si>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</si>
  <si>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</si>
  <si>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</si>
  <si>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</si>
  <si>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</si>
  <si>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</si>
  <si>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</si>
  <si>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</si>
  <si>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</si>
  <si>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</si>
  <si>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</si>
  <si>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</si>
  <si>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</si>
  <si>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</si>
  <si>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</si>
  <si>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</si>
  <si>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</si>
  <si>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</si>
  <si>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</si>
  <si>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</si>
  <si>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</si>
  <si>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</si>
  <si>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</si>
  <si>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</si>
  <si>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</si>
  <si>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</si>
  <si>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</si>
  <si>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</si>
  <si>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</si>
  <si>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</si>
  <si>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</si>
  <si>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</si>
  <si>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</si>
  <si>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</si>
  <si>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</si>
  <si>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</si>
  <si>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</si>
  <si>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</si>
  <si>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</si>
  <si>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</si>
  <si>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</si>
  <si>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</si>
  <si>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</si>
  <si>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</si>
  <si>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</si>
  <si>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</si>
  <si>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</si>
  <si>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</si>
  <si>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</si>
  <si>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</si>
  <si>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</si>
  <si>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</si>
  <si>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</si>
  <si>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</si>
  <si>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</si>
  <si>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</si>
  <si>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</si>
  <si>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</si>
  <si>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</si>
  <si>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</si>
  <si>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</si>
  <si>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</si>
  <si>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</si>
  <si>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</si>
  <si>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</si>
  <si>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</si>
  <si>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</si>
  <si>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</si>
  <si>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</si>
  <si>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</si>
  <si>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</si>
  <si>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</si>
  <si>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</si>
  <si>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</si>
  <si>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</si>
  <si>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</si>
  <si>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</si>
  <si>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</si>
  <si>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</si>
  <si>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</si>
  <si>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</si>
  <si>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</si>
  <si>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</si>
  <si>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</si>
  <si>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</si>
  <si>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</si>
  <si>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</si>
  <si>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</si>
  <si>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</si>
  <si>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</si>
  <si>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</si>
  <si>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</si>
  <si>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</si>
  <si>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</si>
  <si>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</si>
  <si>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</si>
  <si>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</si>
  <si>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</si>
  <si>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</si>
  <si>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</si>
  <si>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</si>
  <si>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</si>
  <si>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</si>
  <si>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</si>
  <si>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</si>
  <si>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</si>
  <si>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</si>
  <si>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</si>
  <si>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</si>
  <si>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</si>
  <si>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</si>
  <si>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</si>
  <si>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</si>
  <si>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</si>
  <si>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</si>
  <si>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</si>
  <si>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</si>
  <si>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</si>
  <si>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</si>
  <si>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</si>
  <si>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</si>
  <si>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</si>
  <si>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</si>
  <si>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</si>
  <si>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</si>
  <si>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</si>
  <si>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</si>
  <si>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</si>
  <si>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</si>
  <si>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</si>
  <si>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</si>
  <si>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</si>
  <si>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</si>
  <si>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</si>
  <si>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</si>
  <si>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</si>
  <si>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</si>
  <si>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</si>
  <si>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</si>
  <si>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</si>
  <si>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</si>
  <si>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</si>
  <si>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</si>
  <si>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</si>
  <si>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</si>
  <si>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</si>
  <si>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</si>
  <si>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</si>
  <si>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</si>
  <si>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</si>
  <si>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</si>
  <si>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</si>
  <si>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</si>
  <si>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</si>
  <si>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</si>
  <si>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</si>
  <si>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</si>
  <si>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</si>
  <si>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</si>
  <si>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</si>
  <si>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</si>
  <si>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</si>
  <si>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</si>
  <si>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</si>
  <si>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</si>
  <si>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</si>
  <si>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</si>
  <si>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</si>
  <si>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</si>
  <si>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</si>
  <si>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</si>
  <si>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</si>
  <si>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</si>
  <si>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</si>
  <si>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</si>
  <si>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</si>
  <si>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</si>
  <si>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</si>
  <si>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</si>
  <si>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</si>
  <si>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</si>
  <si>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</si>
  <si>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</si>
  <si>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</si>
  <si>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</si>
  <si>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</si>
  <si>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</si>
  <si>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</si>
  <si>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</si>
  <si>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</si>
  <si>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</si>
  <si>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</si>
  <si>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</si>
  <si>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</si>
  <si>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</si>
  <si>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</si>
  <si>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</si>
  <si>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</si>
  <si>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</si>
  <si>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</si>
  <si>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</si>
  <si>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</si>
  <si>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</si>
  <si>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</si>
  <si>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</si>
  <si>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</si>
  <si>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</si>
  <si>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</si>
  <si>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</si>
  <si>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</si>
  <si>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</si>
  <si>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</si>
  <si>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</si>
  <si>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</si>
  <si>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</si>
  <si>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</si>
  <si>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</si>
  <si>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</si>
  <si>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</si>
  <si>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</si>
  <si>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</si>
  <si>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</si>
  <si>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</si>
  <si>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</si>
  <si>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</si>
  <si>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</si>
  <si>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</si>
  <si>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</si>
  <si>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</si>
  <si>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</si>
  <si>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</si>
  <si>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</si>
  <si>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</si>
  <si>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</si>
  <si>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</si>
  <si>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</si>
  <si>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</si>
  <si>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</si>
  <si>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</si>
  <si>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</si>
  <si>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</si>
  <si>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</si>
  <si>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</si>
  <si>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</si>
  <si>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</si>
  <si>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</si>
  <si>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</si>
  <si>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</si>
  <si>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</si>
  <si>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</si>
  <si>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</si>
  <si>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</si>
  <si>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</si>
  <si>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</si>
  <si>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</si>
  <si>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</si>
  <si>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</si>
  <si>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</si>
  <si>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</si>
  <si>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</si>
  <si>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</si>
  <si>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</si>
  <si>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</si>
  <si>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</si>
  <si>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</si>
  <si>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</si>
  <si>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</si>
  <si>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</si>
  <si>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</si>
  <si>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</si>
  <si>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</si>
  <si>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</si>
  <si>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</si>
  <si>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</si>
  <si>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</si>
  <si>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</si>
  <si>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</si>
  <si>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</si>
  <si>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</si>
  <si>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</si>
  <si>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</si>
  <si>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</si>
  <si>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</si>
  <si>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</si>
  <si>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</si>
  <si>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</si>
  <si>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</si>
  <si>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</si>
  <si>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</si>
  <si>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</si>
  <si>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</si>
  <si>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</si>
  <si>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</si>
  <si>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</si>
  <si>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</si>
  <si>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</si>
  <si>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</si>
  <si>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</si>
  <si>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</si>
  <si>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</si>
  <si>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</si>
  <si>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</si>
  <si>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</si>
  <si>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</si>
  <si>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</si>
  <si>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</si>
  <si>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</si>
  <si>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</si>
  <si>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</si>
  <si>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</si>
  <si>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</si>
  <si>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</si>
  <si>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</si>
  <si>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</si>
  <si>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</si>
  <si>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</si>
  <si>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</si>
  <si>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</si>
  <si>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</si>
  <si>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</si>
  <si>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</si>
  <si>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</si>
  <si>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</si>
  <si>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</si>
  <si>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</si>
  <si>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</si>
  <si>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</si>
  <si>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</si>
  <si>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</si>
  <si>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</si>
  <si>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</si>
  <si>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</si>
  <si>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</si>
  <si>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</si>
  <si>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</si>
  <si>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</si>
  <si>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</si>
  <si>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</si>
  <si>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</si>
  <si>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</si>
  <si>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</si>
  <si>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</si>
  <si>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</si>
  <si>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</si>
  <si>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</si>
  <si>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</si>
  <si>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</si>
  <si>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</si>
  <si>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</si>
  <si>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</si>
  <si>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</si>
  <si>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</si>
  <si>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</si>
  <si>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</si>
  <si>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</si>
  <si>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</si>
  <si>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</si>
  <si>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</si>
  <si>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</si>
  <si>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</si>
  <si>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</si>
  <si>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</si>
  <si>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</si>
  <si>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</si>
  <si>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</si>
  <si>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</si>
  <si>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</si>
  <si>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</si>
  <si>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</si>
  <si>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</si>
  <si>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</si>
  <si>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</si>
  <si>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</si>
  <si>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</si>
  <si>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</si>
  <si>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</si>
  <si>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</si>
  <si>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07/20</t>
  </si>
  <si>
    <t>07/21</t>
  </si>
  <si>
    <t>8/15/40</t>
  </si>
  <si>
    <t>8/15/41</t>
  </si>
  <si>
    <t>varies 2.10-5.10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</si>
</sst>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4" customHeight="1" x14ac:dyDescent="0.2"/>
  <cols>
    <col min="1" max="1" width="45" customWidth="1"/>
    <col min="2" max="2" width="5.33203125" customWidth="1"/>
    <col min="3" max="3" width="5" customWidth="1"/>
    <col min="4" max="4" width="3.6640625" hidden="1" customWidth="1"/>
    <col min="5" max="5" width="6.6640625" bestFit="1" customWidth="1"/>
    <col min="6" max="8" width="17" style="19" customWidth="1"/>
    <col min="9" max="9" width="18.6640625" style="19" customWidth="1"/>
    <col min="10" max="12" width="17"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1117</v>
      </c>
      <c r="B2">
        <f>INDEX('School Tables'!$AH$3:$AH$209,MATCH('DOE25'!A2,'School Tables'!$AJ$3:$AJ$209,0))</f>
        <v>263</v>
      </c>
      <c r="C2">
        <f>INDEX('School Tables'!$AI$3:$AI$209,MATCH('DOE25'!A2,'School Tables'!$AJ$3:$AJ$209,0))</f>
        <v>263</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f>1710430+100+2500+45813</f>
        <v>1758843</v>
      </c>
      <c r="G9" s="18">
        <v>100</v>
      </c>
      <c r="H9" s="18"/>
      <c r="I9" s="18">
        <v>220285</v>
      </c>
      <c r="J9" s="13">
        <f>SUM(I440)</f>
        <v>868511</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f>116532+12297</f>
        <v>128829</v>
      </c>
      <c r="G12" s="18">
        <f>140260+28213-75000</f>
        <v>93473</v>
      </c>
      <c r="H12" s="18">
        <v>93019</v>
      </c>
      <c r="I12" s="18">
        <v>42419</v>
      </c>
      <c r="J12" s="13">
        <f>SUM(I442)</f>
        <v>0</v>
      </c>
      <c r="K12" s="23" t="s">
        <v>288</v>
      </c>
      <c r="L12" s="23" t="s">
        <v>288</v>
      </c>
      <c r="M12" s="8"/>
      <c r="N12" s="165"/>
    </row>
    <row r="13" spans="1:14" s="3" customFormat="1" ht="12.4" customHeight="1" x14ac:dyDescent="0.15">
      <c r="A13" s="1" t="s">
        <v>604</v>
      </c>
      <c r="B13" s="2" t="s">
        <v>289</v>
      </c>
      <c r="C13" s="6">
        <v>5</v>
      </c>
      <c r="D13" s="2" t="s">
        <v>428</v>
      </c>
      <c r="E13" s="6">
        <v>140</v>
      </c>
      <c r="F13" s="18">
        <v>54065</v>
      </c>
      <c r="G13" s="18">
        <v>6307</v>
      </c>
      <c r="H13" s="18">
        <f>117740+2000</f>
        <v>119740</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19207</v>
      </c>
      <c r="G14" s="18">
        <v>175</v>
      </c>
      <c r="H14" s="18">
        <v>225</v>
      </c>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v>8587</v>
      </c>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1969531</v>
      </c>
      <c r="G19" s="38">
        <f>SUM(G9:G18)</f>
        <v>100055</v>
      </c>
      <c r="H19" s="38">
        <f>SUM(H9:H18)</f>
        <v>212984</v>
      </c>
      <c r="I19" s="38">
        <f>SUM(I9:I18)</f>
        <v>262704</v>
      </c>
      <c r="J19" s="38">
        <f>SUM(J9:J18)</f>
        <v>868511</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v>228910</v>
      </c>
      <c r="G22" s="18"/>
      <c r="H22" s="18">
        <v>116532</v>
      </c>
      <c r="I22" s="18"/>
      <c r="J22" s="13">
        <f>SUM(I449)</f>
        <v>12297</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f>86523+45296</f>
        <v>131819</v>
      </c>
      <c r="G24" s="18">
        <v>859</v>
      </c>
      <c r="H24" s="18">
        <f>620+7362</f>
        <v>7982</v>
      </c>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v>25578</v>
      </c>
      <c r="G28" s="18"/>
      <c r="H28" s="18">
        <v>588</v>
      </c>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v>1300</v>
      </c>
      <c r="G30" s="18">
        <f>18158+1</f>
        <v>18159</v>
      </c>
      <c r="H30" s="18">
        <f>87882</f>
        <v>87882</v>
      </c>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387607</v>
      </c>
      <c r="G32" s="38">
        <f>SUM(G22:G31)</f>
        <v>19018</v>
      </c>
      <c r="H32" s="38">
        <f>SUM(H22:H31)</f>
        <v>212984</v>
      </c>
      <c r="I32" s="38">
        <f>SUM(I22:I31)</f>
        <v>0</v>
      </c>
      <c r="J32" s="38">
        <f>SUM(J22:J31)</f>
        <v>12297</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v>8587</v>
      </c>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v>119953</v>
      </c>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v>785404</v>
      </c>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c r="G48" s="18">
        <v>81037</v>
      </c>
      <c r="H48" s="18"/>
      <c r="I48" s="18">
        <v>262704</v>
      </c>
      <c r="J48" s="13">
        <f>SUM(I460)</f>
        <v>856214</v>
      </c>
      <c r="K48" s="23" t="s">
        <v>288</v>
      </c>
      <c r="L48" s="23" t="s">
        <v>288</v>
      </c>
      <c r="M48" s="8"/>
      <c r="N48" s="165"/>
    </row>
    <row r="49" spans="1:14" s="3" customFormat="1" ht="12.4" customHeight="1" x14ac:dyDescent="0.15">
      <c r="A49" s="1" t="s">
        <v>858</v>
      </c>
      <c r="B49" s="2" t="s">
        <v>289</v>
      </c>
      <c r="C49" s="6">
        <v>34</v>
      </c>
      <c r="D49" s="2"/>
      <c r="E49" s="6">
        <v>753</v>
      </c>
      <c r="F49" s="18"/>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v>667980</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1581924</v>
      </c>
      <c r="G51" s="38">
        <f>SUM(G35:G50)</f>
        <v>81037</v>
      </c>
      <c r="H51" s="38">
        <f>SUM(H35:H50)</f>
        <v>0</v>
      </c>
      <c r="I51" s="38">
        <f>SUM(I35:I50)</f>
        <v>262704</v>
      </c>
      <c r="J51" s="38">
        <f>SUM(J35:J50)</f>
        <v>856214</v>
      </c>
      <c r="K51" s="42" t="s">
        <v>288</v>
      </c>
      <c r="L51" s="42" t="s">
        <v>288</v>
      </c>
      <c r="N51" s="131"/>
    </row>
    <row r="52" spans="1:14" s="3" customFormat="1" ht="12.4" customHeight="1" thickTop="1" x14ac:dyDescent="0.15">
      <c r="A52" s="35" t="s">
        <v>455</v>
      </c>
      <c r="B52" s="36" t="s">
        <v>289</v>
      </c>
      <c r="C52" s="6">
        <v>37</v>
      </c>
      <c r="D52" s="36" t="s">
        <v>653</v>
      </c>
      <c r="E52" s="36"/>
      <c r="F52" s="38">
        <f>F51+F32</f>
        <v>1969531</v>
      </c>
      <c r="G52" s="38">
        <f>G51+G32</f>
        <v>100055</v>
      </c>
      <c r="H52" s="38">
        <f>H51+H32</f>
        <v>212984</v>
      </c>
      <c r="I52" s="38">
        <f>I51+I32</f>
        <v>262704</v>
      </c>
      <c r="J52" s="38">
        <f>J51+J32</f>
        <v>868511</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16866677</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16866677</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v>93803</v>
      </c>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93803</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17114</v>
      </c>
      <c r="G96" s="18"/>
      <c r="H96" s="18"/>
      <c r="I96" s="18"/>
      <c r="J96" s="18">
        <v>18022</v>
      </c>
      <c r="K96" s="23" t="s">
        <v>288</v>
      </c>
      <c r="L96" s="23" t="s">
        <v>288</v>
      </c>
      <c r="M96" s="8"/>
      <c r="N96" s="165"/>
    </row>
    <row r="97" spans="1:14" s="3" customFormat="1" ht="12.4" customHeight="1" x14ac:dyDescent="0.15">
      <c r="A97" s="1" t="s">
        <v>503</v>
      </c>
      <c r="B97" s="2" t="s">
        <v>315</v>
      </c>
      <c r="C97" s="6">
        <v>12</v>
      </c>
      <c r="D97" s="2" t="s">
        <v>430</v>
      </c>
      <c r="E97" s="6">
        <v>1600</v>
      </c>
      <c r="F97" s="23" t="s">
        <v>288</v>
      </c>
      <c r="G97" s="18">
        <f>30+205764+34761+100416</f>
        <v>340971</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f>15485+33153</f>
        <v>48638</v>
      </c>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v>963</v>
      </c>
      <c r="G101" s="18"/>
      <c r="H101" s="18">
        <v>4758</v>
      </c>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c r="G102" s="18"/>
      <c r="H102" s="18">
        <v>170795</v>
      </c>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v>50</v>
      </c>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v>17236</v>
      </c>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51262+41248</f>
        <v>92510</v>
      </c>
      <c r="G110" s="18">
        <v>3998</v>
      </c>
      <c r="H110" s="18">
        <v>7972</v>
      </c>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176511</v>
      </c>
      <c r="G111" s="38">
        <f>SUM(G96:G110)</f>
        <v>344969</v>
      </c>
      <c r="H111" s="38">
        <f>SUM(H96:H110)</f>
        <v>183525</v>
      </c>
      <c r="I111" s="38">
        <f>SUM(I96:I110)</f>
        <v>0</v>
      </c>
      <c r="J111" s="38">
        <f>SUM(J96:J110)</f>
        <v>18022</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17136991</v>
      </c>
      <c r="G112" s="38">
        <f>G60+G111</f>
        <v>344969</v>
      </c>
      <c r="H112" s="38">
        <f>H60+H79+H94+H111</f>
        <v>183525</v>
      </c>
      <c r="I112" s="38">
        <f>I60+I111</f>
        <v>0</v>
      </c>
      <c r="J112" s="38">
        <f>J60+J111</f>
        <v>18022</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2832379</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1025173</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f>2037+123517</f>
        <v>125554</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3983106</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213008</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v>9410</v>
      </c>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f>4525+2693</f>
        <v>7218</v>
      </c>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f>46209+1015</f>
        <v>47224</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v>5505</v>
      </c>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222418</v>
      </c>
      <c r="G136" s="38">
        <f>SUM(G123:G135)</f>
        <v>47224</v>
      </c>
      <c r="H136" s="38">
        <f>SUM(H123:H135)</f>
        <v>12723</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4205524</v>
      </c>
      <c r="G140" s="38">
        <f>G121+SUM(G136:G137)</f>
        <v>47224</v>
      </c>
      <c r="H140" s="38">
        <f>H121+SUM(H136:H139)</f>
        <v>12723</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58816</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53867</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f>99500+20835</f>
        <v>120335</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215025</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112040</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v>47227</v>
      </c>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f>176723+50173+8</f>
        <v>226904</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112040</v>
      </c>
      <c r="G163" s="38">
        <f>SUM(G150:G162)</f>
        <v>120335</v>
      </c>
      <c r="H163" s="38">
        <f>SUM(H150:H162)</f>
        <v>601839</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112040</v>
      </c>
      <c r="G170" s="38">
        <f>G147+G163+SUM(G164:G169)</f>
        <v>120335</v>
      </c>
      <c r="H170" s="38">
        <f>H147+H163+SUM(H164:H169)</f>
        <v>601839</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c r="H180" s="18">
        <v>46994</v>
      </c>
      <c r="I180" s="18"/>
      <c r="J180" s="18">
        <v>525000</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0</v>
      </c>
      <c r="H184" s="38">
        <f>SUM(H180:H183)</f>
        <v>46994</v>
      </c>
      <c r="I184" s="38">
        <f>SUM(I180:I183)</f>
        <v>0</v>
      </c>
      <c r="J184" s="38">
        <f>SUM(J180:J183)</f>
        <v>525000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0</v>
      </c>
      <c r="H193" s="38">
        <f>+H184+SUM(H189:H192)</f>
        <v>46994</v>
      </c>
      <c r="I193" s="38">
        <f>I178+I184+SUM(I189:I192)</f>
        <v>0</v>
      </c>
      <c r="J193" s="38">
        <f>J184</f>
        <v>525000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21454555</v>
      </c>
      <c r="G194" s="38">
        <f>G112+G140+G170+G193</f>
        <v>512528</v>
      </c>
      <c r="H194" s="38">
        <f>H112+H140+H170+H193</f>
        <v>845081</v>
      </c>
      <c r="I194" s="38">
        <f>I112+I140+I170+I193</f>
        <v>0</v>
      </c>
      <c r="J194" s="38">
        <f>J112+J140+J193</f>
        <v>543022</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f>2763036+42365+1</f>
        <v>2805402</v>
      </c>
      <c r="G198" s="18">
        <f>1589273+12970</f>
        <v>1602243</v>
      </c>
      <c r="H198" s="18">
        <f>1141+826</f>
        <v>1967</v>
      </c>
      <c r="I198" s="18">
        <f>70966+3770</f>
        <v>74736</v>
      </c>
      <c r="J198" s="18">
        <v>16412</v>
      </c>
      <c r="K198" s="18">
        <v>14203</v>
      </c>
      <c r="L198" s="13">
        <f>SUM(F198:K198)</f>
        <v>4514963</v>
      </c>
      <c r="M198" s="8"/>
      <c r="N198" s="165"/>
    </row>
    <row r="199" spans="1:14" s="3" customFormat="1" ht="12.4" customHeight="1" x14ac:dyDescent="0.15">
      <c r="A199" s="1" t="s">
        <v>439</v>
      </c>
      <c r="B199" s="2" t="s">
        <v>341</v>
      </c>
      <c r="C199" s="2" t="s">
        <v>291</v>
      </c>
      <c r="D199" s="2" t="s">
        <v>431</v>
      </c>
      <c r="E199" s="6">
        <v>1200</v>
      </c>
      <c r="F199" s="18">
        <f>1232379+57534+3</f>
        <v>1289916</v>
      </c>
      <c r="G199" s="18">
        <f>662969+19091</f>
        <v>682060</v>
      </c>
      <c r="H199" s="18">
        <v>662184</v>
      </c>
      <c r="I199" s="18">
        <f>1960+2073</f>
        <v>4033</v>
      </c>
      <c r="J199" s="18"/>
      <c r="K199" s="18"/>
      <c r="L199" s="13">
        <f>SUM(F199:K199)</f>
        <v>2638193</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v>12167</v>
      </c>
      <c r="G201" s="18">
        <v>3120</v>
      </c>
      <c r="H201" s="18"/>
      <c r="I201" s="18"/>
      <c r="J201" s="18"/>
      <c r="K201" s="18"/>
      <c r="L201" s="13">
        <f>SUM(F201:K201)</f>
        <v>15287</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353442+148229</f>
        <v>501671</v>
      </c>
      <c r="G203" s="18">
        <f>196241+55717</f>
        <v>251958</v>
      </c>
      <c r="H203" s="18">
        <f>149+40963</f>
        <v>41112</v>
      </c>
      <c r="I203" s="18">
        <f>2725+2961</f>
        <v>5686</v>
      </c>
      <c r="J203" s="18"/>
      <c r="K203" s="18">
        <v>94</v>
      </c>
      <c r="L203" s="13">
        <f t="shared" ref="L203:L209" si="0">SUM(F203:K203)</f>
        <v>800521</v>
      </c>
      <c r="M203" s="8"/>
      <c r="N203" s="165"/>
    </row>
    <row r="204" spans="1:14" s="3" customFormat="1" ht="12.4" customHeight="1" x14ac:dyDescent="0.15">
      <c r="A204" s="1" t="s">
        <v>443</v>
      </c>
      <c r="B204" s="2" t="s">
        <v>341</v>
      </c>
      <c r="C204" s="2" t="s">
        <v>295</v>
      </c>
      <c r="D204" s="2" t="s">
        <v>431</v>
      </c>
      <c r="E204" s="6">
        <v>2200</v>
      </c>
      <c r="F204" s="18">
        <f>220326+59197</f>
        <v>279523</v>
      </c>
      <c r="G204" s="18">
        <f>84901+32423</f>
        <v>117324</v>
      </c>
      <c r="H204" s="18">
        <f>29106+21460</f>
        <v>50566</v>
      </c>
      <c r="I204" s="18">
        <f>29548+56347</f>
        <v>85895</v>
      </c>
      <c r="J204" s="18">
        <f>26736+8664</f>
        <v>35400</v>
      </c>
      <c r="K204" s="18">
        <f>2615+1831</f>
        <v>4446</v>
      </c>
      <c r="L204" s="13">
        <f t="shared" si="0"/>
        <v>573154</v>
      </c>
      <c r="M204" s="8"/>
      <c r="N204" s="165"/>
    </row>
    <row r="205" spans="1:14" s="3" customFormat="1" ht="12.4" customHeight="1" x14ac:dyDescent="0.15">
      <c r="A205" s="1" t="s">
        <v>444</v>
      </c>
      <c r="B205" s="2" t="s">
        <v>341</v>
      </c>
      <c r="C205" s="2" t="s">
        <v>296</v>
      </c>
      <c r="D205" s="2" t="s">
        <v>431</v>
      </c>
      <c r="E205" s="6">
        <v>2300</v>
      </c>
      <c r="F205" s="18">
        <v>192839</v>
      </c>
      <c r="G205" s="18">
        <v>109583</v>
      </c>
      <c r="H205" s="18">
        <v>50040</v>
      </c>
      <c r="I205" s="18">
        <v>11198</v>
      </c>
      <c r="J205" s="18"/>
      <c r="K205" s="18">
        <v>8632</v>
      </c>
      <c r="L205" s="13">
        <f t="shared" si="0"/>
        <v>372292</v>
      </c>
      <c r="M205" s="8"/>
      <c r="N205" s="165"/>
    </row>
    <row r="206" spans="1:14" s="3" customFormat="1" ht="12.4" customHeight="1" x14ac:dyDescent="0.15">
      <c r="A206" s="1" t="s">
        <v>445</v>
      </c>
      <c r="B206" s="2" t="s">
        <v>341</v>
      </c>
      <c r="C206" s="2" t="s">
        <v>297</v>
      </c>
      <c r="D206" s="2" t="s">
        <v>431</v>
      </c>
      <c r="E206" s="6">
        <v>2400</v>
      </c>
      <c r="F206" s="18">
        <v>290309</v>
      </c>
      <c r="G206" s="18">
        <v>179871</v>
      </c>
      <c r="H206" s="18">
        <v>23937</v>
      </c>
      <c r="I206" s="18">
        <v>486</v>
      </c>
      <c r="J206" s="18"/>
      <c r="K206" s="18">
        <v>1510</v>
      </c>
      <c r="L206" s="13">
        <f t="shared" si="0"/>
        <v>496113</v>
      </c>
      <c r="M206" s="8"/>
      <c r="N206" s="165"/>
    </row>
    <row r="207" spans="1:14" s="3" customFormat="1" ht="12.4" customHeight="1" x14ac:dyDescent="0.15">
      <c r="A207" s="1" t="s">
        <v>446</v>
      </c>
      <c r="B207" s="2" t="s">
        <v>341</v>
      </c>
      <c r="C207" s="2" t="s">
        <v>298</v>
      </c>
      <c r="D207" s="2" t="s">
        <v>431</v>
      </c>
      <c r="E207" s="6">
        <v>2500</v>
      </c>
      <c r="F207" s="18">
        <v>129444</v>
      </c>
      <c r="G207" s="18">
        <v>57573</v>
      </c>
      <c r="H207" s="18"/>
      <c r="I207" s="18">
        <v>15589</v>
      </c>
      <c r="J207" s="18"/>
      <c r="K207" s="18"/>
      <c r="L207" s="13">
        <f t="shared" si="0"/>
        <v>202606</v>
      </c>
      <c r="M207" s="8"/>
      <c r="N207" s="165"/>
    </row>
    <row r="208" spans="1:14" s="3" customFormat="1" ht="12.4" customHeight="1" x14ac:dyDescent="0.15">
      <c r="A208" s="1" t="s">
        <v>447</v>
      </c>
      <c r="B208" s="2" t="s">
        <v>341</v>
      </c>
      <c r="C208" s="2" t="s">
        <v>299</v>
      </c>
      <c r="D208" s="2" t="s">
        <v>431</v>
      </c>
      <c r="E208" s="6">
        <v>2600</v>
      </c>
      <c r="F208" s="18">
        <f>233088+68960</f>
        <v>302048</v>
      </c>
      <c r="G208" s="18">
        <f>125876+34448</f>
        <v>160324</v>
      </c>
      <c r="H208" s="18">
        <f>122209+33991</f>
        <v>156200</v>
      </c>
      <c r="I208" s="18">
        <f>174734+27700</f>
        <v>202434</v>
      </c>
      <c r="J208" s="18">
        <f>68837+137436</f>
        <v>206273</v>
      </c>
      <c r="K208" s="18"/>
      <c r="L208" s="13">
        <f t="shared" si="0"/>
        <v>1027279</v>
      </c>
      <c r="M208" s="8"/>
      <c r="N208" s="165"/>
    </row>
    <row r="209" spans="1:14" s="3" customFormat="1" ht="12.4" customHeight="1" x14ac:dyDescent="0.15">
      <c r="A209" s="1" t="s">
        <v>448</v>
      </c>
      <c r="B209" s="2" t="s">
        <v>341</v>
      </c>
      <c r="C209" s="2" t="s">
        <v>300</v>
      </c>
      <c r="D209" s="2" t="s">
        <v>431</v>
      </c>
      <c r="E209" s="6">
        <v>2700</v>
      </c>
      <c r="F209" s="18">
        <f>1308+2+4542</f>
        <v>5852</v>
      </c>
      <c r="G209" s="18">
        <f>235+464</f>
        <v>699</v>
      </c>
      <c r="H209" s="18">
        <f>4094+270472+61226</f>
        <v>335792</v>
      </c>
      <c r="I209" s="18">
        <f>228+606</f>
        <v>834</v>
      </c>
      <c r="J209" s="18"/>
      <c r="K209" s="18">
        <v>115</v>
      </c>
      <c r="L209" s="13">
        <f t="shared" si="0"/>
        <v>343292</v>
      </c>
      <c r="M209" s="8"/>
      <c r="N209" s="165"/>
    </row>
    <row r="210" spans="1:14" s="3" customFormat="1" ht="12.4" customHeight="1" x14ac:dyDescent="0.15">
      <c r="A210" s="1" t="s">
        <v>449</v>
      </c>
      <c r="B210" s="2" t="s">
        <v>341</v>
      </c>
      <c r="C210" s="2" t="s">
        <v>343</v>
      </c>
      <c r="D210" s="2" t="s">
        <v>431</v>
      </c>
      <c r="E210" s="6">
        <v>2800</v>
      </c>
      <c r="F210" s="18">
        <v>107713</v>
      </c>
      <c r="G210" s="18">
        <v>50510</v>
      </c>
      <c r="H210" s="18">
        <v>4051</v>
      </c>
      <c r="I210" s="18">
        <v>40</v>
      </c>
      <c r="J210" s="18">
        <v>1222</v>
      </c>
      <c r="K210" s="18">
        <v>2630</v>
      </c>
      <c r="L210" s="13">
        <f>SUM(F210:K210)</f>
        <v>166166</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5916884</v>
      </c>
      <c r="G212" s="38">
        <f t="shared" si="1"/>
        <v>3215265</v>
      </c>
      <c r="H212" s="38">
        <f t="shared" si="1"/>
        <v>1325849</v>
      </c>
      <c r="I212" s="38">
        <f t="shared" si="1"/>
        <v>400931</v>
      </c>
      <c r="J212" s="38">
        <f t="shared" si="1"/>
        <v>259307</v>
      </c>
      <c r="K212" s="38">
        <f t="shared" si="1"/>
        <v>31630</v>
      </c>
      <c r="L212" s="38">
        <f t="shared" si="1"/>
        <v>11149866</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f>742979+12221</f>
        <v>755200</v>
      </c>
      <c r="G216" s="18">
        <f>468619+3741</f>
        <v>472360</v>
      </c>
      <c r="H216" s="18">
        <f>1445+238</f>
        <v>1683</v>
      </c>
      <c r="I216" s="18">
        <f>17825+1087</f>
        <v>18912</v>
      </c>
      <c r="J216" s="18">
        <v>4734</v>
      </c>
      <c r="K216" s="18">
        <f>623+4097</f>
        <v>4720</v>
      </c>
      <c r="L216" s="13">
        <f>SUM(F216:K216)</f>
        <v>1257609</v>
      </c>
      <c r="M216" s="8"/>
      <c r="N216" s="165"/>
    </row>
    <row r="217" spans="1:14" s="3" customFormat="1" ht="12.4" customHeight="1" x14ac:dyDescent="0.15">
      <c r="A217" s="1" t="s">
        <v>439</v>
      </c>
      <c r="B217" s="2" t="s">
        <v>346</v>
      </c>
      <c r="C217" s="2" t="s">
        <v>291</v>
      </c>
      <c r="D217" s="2" t="s">
        <v>431</v>
      </c>
      <c r="E217" s="6">
        <v>1200</v>
      </c>
      <c r="F217" s="18">
        <f>362352+12262</f>
        <v>374614</v>
      </c>
      <c r="G217" s="18">
        <f>215366+4069</f>
        <v>219435</v>
      </c>
      <c r="H217" s="18">
        <v>141121</v>
      </c>
      <c r="I217" s="18">
        <f>528+442</f>
        <v>970</v>
      </c>
      <c r="J217" s="18"/>
      <c r="K217" s="18"/>
      <c r="L217" s="13">
        <f>SUM(F217:K217)</f>
        <v>736140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v>53507</v>
      </c>
      <c r="G219" s="18">
        <v>11777</v>
      </c>
      <c r="H219" s="18">
        <v>6892</v>
      </c>
      <c r="I219" s="18">
        <v>7061</v>
      </c>
      <c r="J219" s="18"/>
      <c r="K219" s="18">
        <v>1006</v>
      </c>
      <c r="L219" s="13">
        <f>SUM(F219:K219)</f>
        <v>80243</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f>76144+42758</f>
        <v>118902</v>
      </c>
      <c r="G221" s="18">
        <f>28177+16072</f>
        <v>44249</v>
      </c>
      <c r="H221" s="18">
        <v>11816</v>
      </c>
      <c r="I221" s="18">
        <f>536+854</f>
        <v>1390</v>
      </c>
      <c r="J221" s="18"/>
      <c r="K221" s="18">
        <v>27</v>
      </c>
      <c r="L221" s="13">
        <f t="shared" ref="L221:L227" si="2">SUM(F221:K221)</f>
        <v>176384</v>
      </c>
      <c r="M221" s="8"/>
      <c r="N221" s="165"/>
    </row>
    <row r="222" spans="1:14" s="3" customFormat="1" ht="12.4" customHeight="1" x14ac:dyDescent="0.15">
      <c r="A222" s="1" t="s">
        <v>443</v>
      </c>
      <c r="B222" s="2" t="s">
        <v>346</v>
      </c>
      <c r="C222" s="2" t="s">
        <v>295</v>
      </c>
      <c r="D222" s="2" t="s">
        <v>431</v>
      </c>
      <c r="E222" s="6">
        <v>2200</v>
      </c>
      <c r="F222" s="18">
        <f>34917+17076</f>
        <v>51993</v>
      </c>
      <c r="G222" s="18">
        <f>19138+9353</f>
        <v>28491</v>
      </c>
      <c r="H222" s="18">
        <f>11860+6190</f>
        <v>18050</v>
      </c>
      <c r="I222" s="18">
        <f>8876+16254</f>
        <v>25130</v>
      </c>
      <c r="J222" s="18">
        <f>1175+2499</f>
        <v>3674</v>
      </c>
      <c r="K222" s="18">
        <f>1568+528</f>
        <v>2096</v>
      </c>
      <c r="L222" s="13">
        <f t="shared" si="2"/>
        <v>129434</v>
      </c>
      <c r="M222" s="8"/>
      <c r="N222" s="165"/>
    </row>
    <row r="223" spans="1:14" s="3" customFormat="1" ht="12.4" customHeight="1" x14ac:dyDescent="0.15">
      <c r="A223" s="1" t="s">
        <v>444</v>
      </c>
      <c r="B223" s="2" t="s">
        <v>346</v>
      </c>
      <c r="C223" s="2" t="s">
        <v>296</v>
      </c>
      <c r="D223" s="2" t="s">
        <v>431</v>
      </c>
      <c r="E223" s="6">
        <v>2300</v>
      </c>
      <c r="F223" s="18">
        <v>55627</v>
      </c>
      <c r="G223" s="18">
        <v>31610</v>
      </c>
      <c r="H223" s="18">
        <v>14435</v>
      </c>
      <c r="I223" s="18">
        <v>3230</v>
      </c>
      <c r="J223" s="18"/>
      <c r="K223" s="18">
        <v>2490</v>
      </c>
      <c r="L223" s="13">
        <f t="shared" si="2"/>
        <v>107392</v>
      </c>
      <c r="M223" s="8"/>
      <c r="N223" s="165"/>
    </row>
    <row r="224" spans="1:14" s="3" customFormat="1" ht="12.4" customHeight="1" x14ac:dyDescent="0.15">
      <c r="A224" s="1" t="s">
        <v>445</v>
      </c>
      <c r="B224" s="2" t="s">
        <v>346</v>
      </c>
      <c r="C224" s="2" t="s">
        <v>297</v>
      </c>
      <c r="D224" s="2" t="s">
        <v>431</v>
      </c>
      <c r="E224" s="6">
        <v>2400</v>
      </c>
      <c r="F224" s="18">
        <v>101417</v>
      </c>
      <c r="G224" s="18">
        <v>49899</v>
      </c>
      <c r="H224" s="18">
        <v>3338</v>
      </c>
      <c r="I224" s="18">
        <v>317</v>
      </c>
      <c r="J224" s="18"/>
      <c r="K224" s="18">
        <v>375</v>
      </c>
      <c r="L224" s="13">
        <f t="shared" si="2"/>
        <v>155346</v>
      </c>
      <c r="M224" s="8"/>
      <c r="N224" s="165"/>
    </row>
    <row r="225" spans="1:14" s="3" customFormat="1" ht="12.4" customHeight="1" x14ac:dyDescent="0.15">
      <c r="A225" s="1" t="s">
        <v>446</v>
      </c>
      <c r="B225" s="2" t="s">
        <v>346</v>
      </c>
      <c r="C225" s="2" t="s">
        <v>298</v>
      </c>
      <c r="D225" s="2" t="s">
        <v>431</v>
      </c>
      <c r="E225" s="6">
        <v>2500</v>
      </c>
      <c r="F225" s="18">
        <v>37339</v>
      </c>
      <c r="G225" s="18">
        <v>16608</v>
      </c>
      <c r="H225" s="18"/>
      <c r="I225" s="18">
        <v>4497</v>
      </c>
      <c r="J225" s="18"/>
      <c r="K225" s="18"/>
      <c r="L225" s="13">
        <f t="shared" si="2"/>
        <v>58444</v>
      </c>
      <c r="M225" s="8"/>
      <c r="N225" s="165"/>
    </row>
    <row r="226" spans="1:14" s="3" customFormat="1" ht="12.4" customHeight="1" x14ac:dyDescent="0.15">
      <c r="A226" s="1" t="s">
        <v>447</v>
      </c>
      <c r="B226" s="2" t="s">
        <v>346</v>
      </c>
      <c r="C226" s="2" t="s">
        <v>299</v>
      </c>
      <c r="D226" s="2" t="s">
        <v>431</v>
      </c>
      <c r="E226" s="6">
        <v>2600</v>
      </c>
      <c r="F226" s="18">
        <f>61560+19892</f>
        <v>81452</v>
      </c>
      <c r="G226" s="18">
        <f>27098+9937</f>
        <v>37035</v>
      </c>
      <c r="H226" s="18">
        <f>20861+9805</f>
        <v>30666</v>
      </c>
      <c r="I226" s="18">
        <f>48718+7990</f>
        <v>56708</v>
      </c>
      <c r="J226" s="18">
        <f>6492+39645</f>
        <v>46137</v>
      </c>
      <c r="K226" s="18"/>
      <c r="L226" s="13">
        <f t="shared" si="2"/>
        <v>251998</v>
      </c>
      <c r="M226" s="8"/>
      <c r="N226" s="165"/>
    </row>
    <row r="227" spans="1:14" s="3" customFormat="1" ht="12.4" customHeight="1" x14ac:dyDescent="0.15">
      <c r="A227" s="1" t="s">
        <v>448</v>
      </c>
      <c r="B227" s="2" t="s">
        <v>346</v>
      </c>
      <c r="C227" s="2" t="s">
        <v>300</v>
      </c>
      <c r="D227" s="2" t="s">
        <v>431</v>
      </c>
      <c r="E227" s="6">
        <v>2700</v>
      </c>
      <c r="F227" s="18">
        <f>1+968</f>
        <v>969</v>
      </c>
      <c r="G227" s="18">
        <v>99</v>
      </c>
      <c r="H227" s="18">
        <f>14249+78021+13048</f>
        <v>105318</v>
      </c>
      <c r="I227" s="18">
        <f>66+129</f>
        <v>195</v>
      </c>
      <c r="J227" s="18"/>
      <c r="K227" s="18">
        <v>33</v>
      </c>
      <c r="L227" s="13">
        <f t="shared" si="2"/>
        <v>106614</v>
      </c>
      <c r="M227" s="8"/>
      <c r="N227" s="165"/>
    </row>
    <row r="228" spans="1:14" s="3" customFormat="1" ht="12.4" customHeight="1" x14ac:dyDescent="0.15">
      <c r="A228" s="1" t="s">
        <v>449</v>
      </c>
      <c r="B228" s="2" t="s">
        <v>346</v>
      </c>
      <c r="C228" s="2" t="s">
        <v>343</v>
      </c>
      <c r="D228" s="2" t="s">
        <v>431</v>
      </c>
      <c r="E228" s="6">
        <v>2800</v>
      </c>
      <c r="F228" s="18">
        <v>31071</v>
      </c>
      <c r="G228" s="18">
        <v>14570</v>
      </c>
      <c r="H228" s="18">
        <v>1169</v>
      </c>
      <c r="I228" s="18">
        <v>11</v>
      </c>
      <c r="J228" s="18">
        <v>353</v>
      </c>
      <c r="K228" s="18">
        <v>759</v>
      </c>
      <c r="L228" s="13">
        <f>SUM(F228:K228)</f>
        <v>47933</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1662091</v>
      </c>
      <c r="G230" s="38">
        <f>SUM(G216:G229)</f>
        <v>926133</v>
      </c>
      <c r="H230" s="38">
        <f>SUM(H216:H229)</f>
        <v>334488</v>
      </c>
      <c r="I230" s="38">
        <f>SUM(I216:I229)</f>
        <v>118421</v>
      </c>
      <c r="J230" s="38">
        <f>SUM(J216:J229)</f>
        <v>54898</v>
      </c>
      <c r="K230" s="38">
        <f t="shared" si="3"/>
        <v>11506</v>
      </c>
      <c r="L230" s="38">
        <f t="shared" si="3"/>
        <v>3107537</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f>1709450+26886</f>
        <v>1736336</v>
      </c>
      <c r="G234" s="18">
        <f>1046577+8231</f>
        <v>1054808</v>
      </c>
      <c r="H234" s="18">
        <f>6072+524</f>
        <v>6596</v>
      </c>
      <c r="I234" s="18">
        <f>40270+2392</f>
        <v>42662</v>
      </c>
      <c r="J234" s="18">
        <v>10415</v>
      </c>
      <c r="K234" s="18">
        <f>3850+9013</f>
        <v>12863</v>
      </c>
      <c r="L234" s="13">
        <f>SUM(F234:K234)</f>
        <v>2863680</v>
      </c>
      <c r="M234" s="8"/>
      <c r="N234" s="165"/>
    </row>
    <row r="235" spans="1:14" s="3" customFormat="1" ht="12.4" customHeight="1" x14ac:dyDescent="0.15">
      <c r="A235" s="1" t="s">
        <v>439</v>
      </c>
      <c r="B235" s="2" t="s">
        <v>350</v>
      </c>
      <c r="C235" s="2" t="s">
        <v>291</v>
      </c>
      <c r="D235" s="2" t="s">
        <v>431</v>
      </c>
      <c r="E235" s="6">
        <v>1200</v>
      </c>
      <c r="F235" s="18">
        <f>384863+24524</f>
        <v>409387</v>
      </c>
      <c r="G235" s="18">
        <f>191374+8137</f>
        <v>199511</v>
      </c>
      <c r="H235" s="18">
        <v>282242</v>
      </c>
      <c r="I235" s="18">
        <f>636+883</f>
        <v>1519</v>
      </c>
      <c r="J235" s="18"/>
      <c r="K235" s="18"/>
      <c r="L235" s="13">
        <f>SUM(F235:K235)</f>
        <v>892659</v>
      </c>
      <c r="M235" s="8"/>
      <c r="N235" s="165"/>
    </row>
    <row r="236" spans="1:14" s="3" customFormat="1" ht="12.4" customHeight="1" x14ac:dyDescent="0.15">
      <c r="A236" s="1" t="s">
        <v>440</v>
      </c>
      <c r="B236" s="2" t="s">
        <v>350</v>
      </c>
      <c r="C236" s="2" t="s">
        <v>292</v>
      </c>
      <c r="D236" s="2" t="s">
        <v>431</v>
      </c>
      <c r="E236" s="6">
        <v>1300</v>
      </c>
      <c r="F236" s="18"/>
      <c r="G236" s="18"/>
      <c r="H236" s="18">
        <v>87434</v>
      </c>
      <c r="I236" s="18"/>
      <c r="J236" s="18"/>
      <c r="K236" s="18"/>
      <c r="L236" s="13">
        <f>SUM(F236:K236)</f>
        <v>87434</v>
      </c>
      <c r="M236" s="8"/>
      <c r="N236" s="165"/>
    </row>
    <row r="237" spans="1:14" s="3" customFormat="1" ht="12.4" customHeight="1" x14ac:dyDescent="0.15">
      <c r="A237" s="1" t="s">
        <v>441</v>
      </c>
      <c r="B237" s="2" t="s">
        <v>350</v>
      </c>
      <c r="C237" s="2" t="s">
        <v>293</v>
      </c>
      <c r="D237" s="2" t="s">
        <v>431</v>
      </c>
      <c r="E237" s="6">
        <v>1400</v>
      </c>
      <c r="F237" s="18">
        <v>186413</v>
      </c>
      <c r="G237" s="18">
        <v>34765</v>
      </c>
      <c r="H237" s="18">
        <v>58741</v>
      </c>
      <c r="I237" s="18">
        <v>23346</v>
      </c>
      <c r="J237" s="18"/>
      <c r="K237" s="18">
        <v>20340</v>
      </c>
      <c r="L237" s="13">
        <f>SUM(F237:K237)</f>
        <v>323605</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f>270432+94068</f>
        <v>364500</v>
      </c>
      <c r="G239" s="18">
        <f>127415+35359</f>
        <v>162774</v>
      </c>
      <c r="H239" s="18">
        <v>25996</v>
      </c>
      <c r="I239" s="18">
        <f>1360+1879</f>
        <v>3239</v>
      </c>
      <c r="J239" s="18"/>
      <c r="K239" s="18">
        <f>1458+59</f>
        <v>1517</v>
      </c>
      <c r="L239" s="13">
        <f t="shared" ref="L239:L245" si="4">SUM(F239:K239)</f>
        <v>558026</v>
      </c>
      <c r="M239" s="8"/>
      <c r="N239" s="165"/>
    </row>
    <row r="240" spans="1:14" s="3" customFormat="1" ht="12.4" customHeight="1" x14ac:dyDescent="0.15">
      <c r="A240" s="1" t="s">
        <v>443</v>
      </c>
      <c r="B240" s="2" t="s">
        <v>350</v>
      </c>
      <c r="C240" s="2" t="s">
        <v>295</v>
      </c>
      <c r="D240" s="2" t="s">
        <v>431</v>
      </c>
      <c r="E240" s="6">
        <v>2200</v>
      </c>
      <c r="F240" s="18">
        <f>79407+37567</f>
        <v>116974</v>
      </c>
      <c r="G240" s="18">
        <f>44090+20576</f>
        <v>64666</v>
      </c>
      <c r="H240" s="18">
        <f>17880+13619</f>
        <v>31499</v>
      </c>
      <c r="I240" s="18">
        <f>21230+35758</f>
        <v>56988</v>
      </c>
      <c r="J240" s="18">
        <f>9145+5498</f>
        <v>14643</v>
      </c>
      <c r="K240" s="18">
        <f>3658+1162</f>
        <v>4820</v>
      </c>
      <c r="L240" s="13">
        <f t="shared" si="4"/>
        <v>289590</v>
      </c>
      <c r="M240" s="8"/>
      <c r="N240" s="165"/>
    </row>
    <row r="241" spans="1:14" s="3" customFormat="1" ht="12.4" customHeight="1" x14ac:dyDescent="0.15">
      <c r="A241" s="1" t="s">
        <v>444</v>
      </c>
      <c r="B241" s="2" t="s">
        <v>350</v>
      </c>
      <c r="C241" s="2" t="s">
        <v>296</v>
      </c>
      <c r="D241" s="2" t="s">
        <v>431</v>
      </c>
      <c r="E241" s="6">
        <v>2300</v>
      </c>
      <c r="F241" s="18">
        <v>122379</v>
      </c>
      <c r="G241" s="18">
        <v>69543</v>
      </c>
      <c r="H241" s="18">
        <v>31755</v>
      </c>
      <c r="I241" s="18">
        <v>7107</v>
      </c>
      <c r="J241" s="18"/>
      <c r="K241" s="18">
        <v>5477</v>
      </c>
      <c r="L241" s="13">
        <f t="shared" si="4"/>
        <v>236261</v>
      </c>
      <c r="M241" s="8"/>
      <c r="N241" s="165"/>
    </row>
    <row r="242" spans="1:14" s="3" customFormat="1" ht="12.4" customHeight="1" x14ac:dyDescent="0.15">
      <c r="A242" s="1" t="s">
        <v>445</v>
      </c>
      <c r="B242" s="2" t="s">
        <v>350</v>
      </c>
      <c r="C242" s="2" t="s">
        <v>297</v>
      </c>
      <c r="D242" s="2" t="s">
        <v>431</v>
      </c>
      <c r="E242" s="6">
        <v>2400</v>
      </c>
      <c r="F242" s="18">
        <v>208674</v>
      </c>
      <c r="G242" s="18">
        <v>108911</v>
      </c>
      <c r="H242" s="18">
        <v>9843</v>
      </c>
      <c r="I242" s="18">
        <v>17221</v>
      </c>
      <c r="J242" s="18"/>
      <c r="K242" s="18">
        <v>2550</v>
      </c>
      <c r="L242" s="13">
        <f t="shared" si="4"/>
        <v>347199</v>
      </c>
      <c r="M242" s="8"/>
      <c r="N242" s="165"/>
    </row>
    <row r="243" spans="1:14" s="3" customFormat="1" ht="12.4" customHeight="1" x14ac:dyDescent="0.15">
      <c r="A243" s="1" t="s">
        <v>446</v>
      </c>
      <c r="B243" s="2" t="s">
        <v>350</v>
      </c>
      <c r="C243" s="2" t="s">
        <v>298</v>
      </c>
      <c r="D243" s="2" t="s">
        <v>431</v>
      </c>
      <c r="E243" s="6">
        <v>2500</v>
      </c>
      <c r="F243" s="18">
        <v>82147</v>
      </c>
      <c r="G243" s="18">
        <v>36537</v>
      </c>
      <c r="H243" s="18"/>
      <c r="I243" s="18">
        <v>9893</v>
      </c>
      <c r="J243" s="18"/>
      <c r="K243" s="18"/>
      <c r="L243" s="13">
        <f t="shared" si="4"/>
        <v>128577</v>
      </c>
      <c r="M243" s="8"/>
      <c r="N243" s="165"/>
    </row>
    <row r="244" spans="1:14" s="3" customFormat="1" ht="12.4" customHeight="1" x14ac:dyDescent="0.15">
      <c r="A244" s="1" t="s">
        <v>447</v>
      </c>
      <c r="B244" s="2" t="s">
        <v>350</v>
      </c>
      <c r="C244" s="2" t="s">
        <v>299</v>
      </c>
      <c r="D244" s="2" t="s">
        <v>431</v>
      </c>
      <c r="E244" s="6">
        <v>2600</v>
      </c>
      <c r="F244" s="18">
        <f>111413+43763</f>
        <v>155176</v>
      </c>
      <c r="G244" s="18">
        <f>58997+21861</f>
        <v>80858</v>
      </c>
      <c r="H244" s="18">
        <f>48058+21571</f>
        <v>69629</v>
      </c>
      <c r="I244" s="18">
        <f>109308+17579</f>
        <v>126887</v>
      </c>
      <c r="J244" s="18">
        <f>15148+87219</f>
        <v>102367</v>
      </c>
      <c r="K244" s="18"/>
      <c r="L244" s="13">
        <f t="shared" si="4"/>
        <v>534917</v>
      </c>
      <c r="M244" s="8"/>
      <c r="N244" s="165"/>
    </row>
    <row r="245" spans="1:14" s="3" customFormat="1" ht="12.4" customHeight="1" x14ac:dyDescent="0.15">
      <c r="A245" s="1" t="s">
        <v>448</v>
      </c>
      <c r="B245" s="2" t="s">
        <v>350</v>
      </c>
      <c r="C245" s="2" t="s">
        <v>300</v>
      </c>
      <c r="D245" s="2" t="s">
        <v>431</v>
      </c>
      <c r="E245" s="6">
        <v>2700</v>
      </c>
      <c r="F245" s="18">
        <f>1+1936</f>
        <v>1937</v>
      </c>
      <c r="G245" s="18">
        <f>198</f>
        <v>198</v>
      </c>
      <c r="H245" s="18">
        <f>47072+26097+171646</f>
        <v>244815</v>
      </c>
      <c r="I245" s="18">
        <f>258+145+54200</f>
        <v>54603</v>
      </c>
      <c r="J245" s="18"/>
      <c r="K245" s="18">
        <v>73</v>
      </c>
      <c r="L245" s="13">
        <f t="shared" si="4"/>
        <v>301626</v>
      </c>
      <c r="M245" s="8"/>
      <c r="N245" s="165"/>
    </row>
    <row r="246" spans="1:14" s="3" customFormat="1" ht="12.4" customHeight="1" x14ac:dyDescent="0.15">
      <c r="A246" s="1" t="s">
        <v>449</v>
      </c>
      <c r="B246" s="2" t="s">
        <v>350</v>
      </c>
      <c r="C246" s="2" t="s">
        <v>343</v>
      </c>
      <c r="D246" s="2" t="s">
        <v>431</v>
      </c>
      <c r="E246" s="6">
        <v>2800</v>
      </c>
      <c r="F246" s="18">
        <v>68356</v>
      </c>
      <c r="G246" s="18">
        <v>32055</v>
      </c>
      <c r="H246" s="18">
        <v>2571</v>
      </c>
      <c r="I246" s="18">
        <v>25</v>
      </c>
      <c r="J246" s="18">
        <v>776</v>
      </c>
      <c r="K246" s="18">
        <v>1669</v>
      </c>
      <c r="L246" s="13">
        <f>SUM(F246:K246)</f>
        <v>105452</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3452279</v>
      </c>
      <c r="G248" s="38">
        <f t="shared" si="5"/>
        <v>1844626</v>
      </c>
      <c r="H248" s="38">
        <f t="shared" si="5"/>
        <v>851121</v>
      </c>
      <c r="I248" s="38">
        <f t="shared" si="5"/>
        <v>343490</v>
      </c>
      <c r="J248" s="38">
        <f t="shared" si="5"/>
        <v>128201</v>
      </c>
      <c r="K248" s="38">
        <f t="shared" si="5"/>
        <v>49309</v>
      </c>
      <c r="L248" s="38">
        <f t="shared" si="5"/>
        <v>6669026</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c r="I256" s="18"/>
      <c r="J256" s="18">
        <v>101250</v>
      </c>
      <c r="K256" s="18"/>
      <c r="L256" s="13">
        <f t="shared" si="6"/>
        <v>101250</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101250</v>
      </c>
      <c r="K257" s="38">
        <f t="shared" si="7"/>
        <v>0</v>
      </c>
      <c r="L257" s="38">
        <f>SUM(F257:K257)</f>
        <v>101250</v>
      </c>
      <c r="M257" s="8"/>
      <c r="N257" s="165"/>
    </row>
    <row r="258" spans="1:14" s="3" customFormat="1" ht="12.4" customHeight="1" thickTop="1" x14ac:dyDescent="0.15">
      <c r="A258" s="35" t="s">
        <v>462</v>
      </c>
      <c r="B258" s="37">
        <v>10</v>
      </c>
      <c r="C258" s="37">
        <v>8</v>
      </c>
      <c r="D258" s="36" t="s">
        <v>431</v>
      </c>
      <c r="E258" s="37"/>
      <c r="F258" s="38">
        <f t="shared" ref="F258:L258" si="8">F212+F230+F248+F257</f>
        <v>11031254</v>
      </c>
      <c r="G258" s="38">
        <f t="shared" si="8"/>
        <v>5986024</v>
      </c>
      <c r="H258" s="38">
        <f t="shared" si="8"/>
        <v>2511458</v>
      </c>
      <c r="I258" s="38">
        <f t="shared" si="8"/>
        <v>862842</v>
      </c>
      <c r="J258" s="38">
        <f t="shared" si="8"/>
        <v>543656</v>
      </c>
      <c r="K258" s="38">
        <f t="shared" si="8"/>
        <v>92445</v>
      </c>
      <c r="L258" s="38">
        <f t="shared" si="8"/>
        <v>21027679</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283625</v>
      </c>
      <c r="L261" s="13">
        <f>SUM(F261:K261)</f>
        <v>283625</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298930</v>
      </c>
      <c r="L262" s="13">
        <f>SUM(F262:K262)</f>
        <v>298930</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v>46994</v>
      </c>
      <c r="L265" s="13">
        <f t="shared" ref="L265:L271" si="9">SUM(F265:K265)</f>
        <v>46994</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525000</v>
      </c>
      <c r="L267" s="13">
        <f t="shared" si="9"/>
        <v>525000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1154549</v>
      </c>
      <c r="L271" s="38">
        <f t="shared" si="9"/>
        <v>1154549</v>
      </c>
      <c r="M271" s="8"/>
      <c r="N271" s="165"/>
    </row>
    <row r="272" spans="1:14" s="33" customFormat="1" ht="12.4" customHeight="1" thickTop="1" x14ac:dyDescent="0.2">
      <c r="A272" s="40" t="s">
        <v>464</v>
      </c>
      <c r="B272" s="37">
        <v>10</v>
      </c>
      <c r="C272" s="37">
        <v>18</v>
      </c>
      <c r="D272" s="36" t="s">
        <v>431</v>
      </c>
      <c r="E272" s="37"/>
      <c r="F272" s="39">
        <f t="shared" ref="F272:L272" si="11">F258+F271</f>
        <v>11031254</v>
      </c>
      <c r="G272" s="39">
        <f t="shared" si="11"/>
        <v>5986024</v>
      </c>
      <c r="H272" s="39">
        <f t="shared" si="11"/>
        <v>2511458</v>
      </c>
      <c r="I272" s="39">
        <f t="shared" si="11"/>
        <v>862842</v>
      </c>
      <c r="J272" s="39">
        <f t="shared" si="11"/>
        <v>543656</v>
      </c>
      <c r="K272" s="39">
        <f t="shared" si="11"/>
        <v>1246994</v>
      </c>
      <c r="L272" s="39">
        <f t="shared" si="11"/>
        <v>22182228</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f>115406+5702+78277</f>
        <v>199385</v>
      </c>
      <c r="G277" s="18">
        <f>55390+3887+1+51210</f>
        <v>110488</v>
      </c>
      <c r="H277" s="18">
        <f>1555+3784</f>
        <v>5339</v>
      </c>
      <c r="I277" s="18">
        <f>2139+4779+15986+2272</f>
        <v>25176</v>
      </c>
      <c r="J277" s="18">
        <v>13880</v>
      </c>
      <c r="K277" s="18">
        <v>2343</v>
      </c>
      <c r="L277" s="13">
        <f>SUM(F277:K277)</f>
        <v>356611</v>
      </c>
      <c r="M277" s="8"/>
      <c r="N277" s="165"/>
    </row>
    <row r="278" spans="1:14" s="3" customFormat="1" ht="12.4" customHeight="1" x14ac:dyDescent="0.15">
      <c r="A278" s="1" t="s">
        <v>439</v>
      </c>
      <c r="B278" s="2" t="s">
        <v>357</v>
      </c>
      <c r="C278" s="2" t="s">
        <v>291</v>
      </c>
      <c r="D278" s="2" t="s">
        <v>431</v>
      </c>
      <c r="E278" s="6">
        <v>1200</v>
      </c>
      <c r="F278" s="18">
        <f>4361+62253</f>
        <v>66614</v>
      </c>
      <c r="G278" s="18">
        <f>330+41363</f>
        <v>41693</v>
      </c>
      <c r="H278" s="18">
        <v>17636</v>
      </c>
      <c r="I278" s="18">
        <f>1021+5998</f>
        <v>7019</v>
      </c>
      <c r="J278" s="18"/>
      <c r="K278" s="18"/>
      <c r="L278" s="13">
        <f>SUM(F278:K278)</f>
        <v>132962</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v>2029</v>
      </c>
      <c r="G280" s="18">
        <v>420</v>
      </c>
      <c r="H280" s="18"/>
      <c r="I280" s="18">
        <v>628</v>
      </c>
      <c r="J280" s="18"/>
      <c r="K280" s="18">
        <v>2650</v>
      </c>
      <c r="L280" s="13">
        <f>SUM(F280:K280)</f>
        <v>5727</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c r="I282" s="18"/>
      <c r="J282" s="18"/>
      <c r="K282" s="18">
        <v>203</v>
      </c>
      <c r="L282" s="13">
        <f t="shared" ref="L282:L288" si="12">SUM(F282:K282)</f>
        <v>203</v>
      </c>
      <c r="M282" s="8"/>
      <c r="N282" s="165"/>
    </row>
    <row r="283" spans="1:14" s="3" customFormat="1" ht="12.4" customHeight="1" x14ac:dyDescent="0.15">
      <c r="A283" s="1" t="s">
        <v>443</v>
      </c>
      <c r="B283" s="2" t="s">
        <v>357</v>
      </c>
      <c r="C283" s="2" t="s">
        <v>295</v>
      </c>
      <c r="D283" s="2" t="s">
        <v>431</v>
      </c>
      <c r="E283" s="6">
        <v>2200</v>
      </c>
      <c r="F283" s="18">
        <v>11811</v>
      </c>
      <c r="G283" s="18">
        <v>3311</v>
      </c>
      <c r="H283" s="18">
        <v>4678</v>
      </c>
      <c r="I283" s="18">
        <f>3110+908</f>
        <v>4018</v>
      </c>
      <c r="J283" s="18">
        <v>6515</v>
      </c>
      <c r="K283" s="18">
        <v>994</v>
      </c>
      <c r="L283" s="13">
        <f t="shared" si="12"/>
        <v>31327</v>
      </c>
      <c r="M283" s="8"/>
      <c r="N283" s="165"/>
    </row>
    <row r="284" spans="1:14" s="3" customFormat="1" ht="12.4" customHeight="1" x14ac:dyDescent="0.15">
      <c r="A284" s="1" t="s">
        <v>444</v>
      </c>
      <c r="B284" s="2" t="s">
        <v>357</v>
      </c>
      <c r="C284" s="2" t="s">
        <v>296</v>
      </c>
      <c r="D284" s="2" t="s">
        <v>431</v>
      </c>
      <c r="E284" s="6">
        <v>2300</v>
      </c>
      <c r="F284" s="18"/>
      <c r="G284" s="18"/>
      <c r="H284" s="18"/>
      <c r="I284" s="18">
        <v>1213</v>
      </c>
      <c r="J284" s="18"/>
      <c r="K284" s="18"/>
      <c r="L284" s="13">
        <f t="shared" si="12"/>
        <v>1213</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v>12620</v>
      </c>
      <c r="J287" s="18">
        <v>18447</v>
      </c>
      <c r="K287" s="18"/>
      <c r="L287" s="13">
        <f t="shared" si="12"/>
        <v>31067</v>
      </c>
      <c r="M287" s="8"/>
      <c r="N287" s="165"/>
    </row>
    <row r="288" spans="1:14" s="3" customFormat="1" ht="12.4" customHeight="1" x14ac:dyDescent="0.15">
      <c r="A288" s="1" t="s">
        <v>448</v>
      </c>
      <c r="B288" s="2" t="s">
        <v>357</v>
      </c>
      <c r="C288" s="2" t="s">
        <v>300</v>
      </c>
      <c r="D288" s="2" t="s">
        <v>431</v>
      </c>
      <c r="E288" s="6">
        <v>2700</v>
      </c>
      <c r="F288" s="18"/>
      <c r="G288" s="18"/>
      <c r="H288" s="18">
        <v>193</v>
      </c>
      <c r="I288" s="18"/>
      <c r="J288" s="18"/>
      <c r="K288" s="18"/>
      <c r="L288" s="13">
        <f t="shared" si="12"/>
        <v>193</v>
      </c>
      <c r="M288" s="8"/>
      <c r="N288" s="165"/>
    </row>
    <row r="289" spans="1:14" s="3" customFormat="1" ht="12.4" customHeight="1" x14ac:dyDescent="0.15">
      <c r="A289" s="1" t="s">
        <v>449</v>
      </c>
      <c r="B289" s="2" t="s">
        <v>357</v>
      </c>
      <c r="C289" s="2" t="s">
        <v>343</v>
      </c>
      <c r="D289" s="2" t="s">
        <v>431</v>
      </c>
      <c r="E289" s="6">
        <v>2800</v>
      </c>
      <c r="F289" s="18"/>
      <c r="G289" s="18"/>
      <c r="H289" s="18"/>
      <c r="I289" s="18">
        <v>5078</v>
      </c>
      <c r="J289" s="18"/>
      <c r="K289" s="18"/>
      <c r="L289" s="13">
        <f>SUM(F289:K289)</f>
        <v>5078</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279839</v>
      </c>
      <c r="G291" s="39">
        <f t="shared" si="13"/>
        <v>155912</v>
      </c>
      <c r="H291" s="39">
        <f t="shared" si="13"/>
        <v>27846</v>
      </c>
      <c r="I291" s="39">
        <f t="shared" si="13"/>
        <v>55752</v>
      </c>
      <c r="J291" s="39">
        <f t="shared" si="13"/>
        <v>38842</v>
      </c>
      <c r="K291" s="39">
        <f t="shared" si="13"/>
        <v>6190</v>
      </c>
      <c r="L291" s="38">
        <f t="shared" si="13"/>
        <v>564381</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v>1645</v>
      </c>
      <c r="G296" s="18">
        <v>1121</v>
      </c>
      <c r="H296" s="18">
        <f>45000+1092</f>
        <v>46092</v>
      </c>
      <c r="I296" s="18">
        <f>1379+60+655</f>
        <v>2094</v>
      </c>
      <c r="J296" s="18"/>
      <c r="K296" s="18"/>
      <c r="L296" s="13">
        <f>SUM(F296:K296)</f>
        <v>50952</v>
      </c>
      <c r="M296" s="8"/>
      <c r="N296" s="165"/>
    </row>
    <row r="297" spans="1:14" s="3" customFormat="1" ht="12.4" customHeight="1" x14ac:dyDescent="0.15">
      <c r="A297" s="1" t="s">
        <v>439</v>
      </c>
      <c r="B297" s="2" t="s">
        <v>358</v>
      </c>
      <c r="C297" s="2" t="s">
        <v>291</v>
      </c>
      <c r="D297" s="2" t="s">
        <v>431</v>
      </c>
      <c r="E297" s="6">
        <v>1200</v>
      </c>
      <c r="F297" s="18">
        <v>13267</v>
      </c>
      <c r="G297" s="18">
        <v>8815</v>
      </c>
      <c r="H297" s="18">
        <v>3759</v>
      </c>
      <c r="I297" s="18">
        <v>1278</v>
      </c>
      <c r="J297" s="18"/>
      <c r="K297" s="18"/>
      <c r="L297" s="13">
        <f>SUM(F297:K297)</f>
        <v>27119</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v>1394</v>
      </c>
      <c r="I299" s="18"/>
      <c r="J299" s="18"/>
      <c r="K299" s="18"/>
      <c r="L299" s="13">
        <f>SUM(F299:K299)</f>
        <v>1394</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v>5351</v>
      </c>
      <c r="G301" s="18">
        <v>3003</v>
      </c>
      <c r="H301" s="18"/>
      <c r="I301" s="18"/>
      <c r="J301" s="18"/>
      <c r="K301" s="18">
        <v>58</v>
      </c>
      <c r="L301" s="13">
        <f t="shared" ref="L301:L307" si="14">SUM(F301:K301)</f>
        <v>8412</v>
      </c>
      <c r="M301" s="8"/>
      <c r="N301" s="165"/>
    </row>
    <row r="302" spans="1:14" s="3" customFormat="1" ht="12.4" customHeight="1" x14ac:dyDescent="0.15">
      <c r="A302" s="1" t="s">
        <v>443</v>
      </c>
      <c r="B302" s="2" t="s">
        <v>358</v>
      </c>
      <c r="C302" s="2" t="s">
        <v>295</v>
      </c>
      <c r="D302" s="2" t="s">
        <v>431</v>
      </c>
      <c r="E302" s="6">
        <v>2200</v>
      </c>
      <c r="F302" s="18">
        <v>3407</v>
      </c>
      <c r="G302" s="18">
        <v>955</v>
      </c>
      <c r="H302" s="18">
        <v>1350</v>
      </c>
      <c r="I302" s="18">
        <v>897</v>
      </c>
      <c r="J302" s="18"/>
      <c r="K302" s="18">
        <v>287</v>
      </c>
      <c r="L302" s="13">
        <f t="shared" si="14"/>
        <v>6896</v>
      </c>
      <c r="M302" s="8"/>
      <c r="N302" s="165"/>
    </row>
    <row r="303" spans="1:14" s="3" customFormat="1" ht="12.4" customHeight="1" x14ac:dyDescent="0.15">
      <c r="A303" s="1" t="s">
        <v>444</v>
      </c>
      <c r="B303" s="2" t="s">
        <v>358</v>
      </c>
      <c r="C303" s="2" t="s">
        <v>296</v>
      </c>
      <c r="D303" s="2" t="s">
        <v>431</v>
      </c>
      <c r="E303" s="6">
        <v>2300</v>
      </c>
      <c r="F303" s="18"/>
      <c r="G303" s="18"/>
      <c r="H303" s="18"/>
      <c r="I303" s="18">
        <v>350</v>
      </c>
      <c r="J303" s="18"/>
      <c r="K303" s="18"/>
      <c r="L303" s="13">
        <f t="shared" si="14"/>
        <v>350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v>1494</v>
      </c>
      <c r="J306" s="18">
        <v>3354</v>
      </c>
      <c r="K306" s="18"/>
      <c r="L306" s="13">
        <f t="shared" si="14"/>
        <v>4848</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v>1465</v>
      </c>
      <c r="J308" s="18"/>
      <c r="K308" s="18"/>
      <c r="L308" s="13">
        <f>SUM(F308:K308)</f>
        <v>1465</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23670</v>
      </c>
      <c r="G310" s="39">
        <f t="shared" si="15"/>
        <v>13894</v>
      </c>
      <c r="H310" s="39">
        <f t="shared" si="15"/>
        <v>52595</v>
      </c>
      <c r="I310" s="39">
        <f t="shared" si="15"/>
        <v>7578</v>
      </c>
      <c r="J310" s="39">
        <f t="shared" si="15"/>
        <v>3354</v>
      </c>
      <c r="K310" s="39">
        <f t="shared" si="15"/>
        <v>345</v>
      </c>
      <c r="L310" s="38">
        <f t="shared" si="15"/>
        <v>101436</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v>3619</v>
      </c>
      <c r="G315" s="18">
        <v>2467</v>
      </c>
      <c r="H315" s="18">
        <f>697+2402</f>
        <v>3099</v>
      </c>
      <c r="I315" s="18">
        <f>9350+3033+21029+1442</f>
        <v>34854</v>
      </c>
      <c r="J315" s="18"/>
      <c r="K315" s="18">
        <v>20567</v>
      </c>
      <c r="L315" s="13">
        <f>SUM(F315:K315)</f>
        <v>64606</v>
      </c>
      <c r="M315" s="8"/>
      <c r="N315" s="165"/>
    </row>
    <row r="316" spans="1:14" s="3" customFormat="1" ht="12.4" customHeight="1" x14ac:dyDescent="0.15">
      <c r="A316" s="1" t="s">
        <v>439</v>
      </c>
      <c r="B316" s="2" t="s">
        <v>359</v>
      </c>
      <c r="C316" s="2" t="s">
        <v>291</v>
      </c>
      <c r="D316" s="2" t="s">
        <v>431</v>
      </c>
      <c r="E316" s="6">
        <v>1200</v>
      </c>
      <c r="F316" s="18">
        <v>26534</v>
      </c>
      <c r="G316" s="18">
        <v>17630</v>
      </c>
      <c r="H316" s="18">
        <f>706+7517</f>
        <v>8223</v>
      </c>
      <c r="I316" s="18">
        <v>2557</v>
      </c>
      <c r="J316" s="18"/>
      <c r="K316" s="18"/>
      <c r="L316" s="13">
        <f>SUM(F316:K316)</f>
        <v>54944</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v>1566</v>
      </c>
      <c r="I318" s="18">
        <v>959</v>
      </c>
      <c r="J318" s="18"/>
      <c r="K318" s="18">
        <v>2000</v>
      </c>
      <c r="L318" s="13">
        <f>SUM(F318:K318)</f>
        <v>4525</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v>12486</v>
      </c>
      <c r="G320" s="18">
        <v>6970</v>
      </c>
      <c r="H320" s="18">
        <v>2462</v>
      </c>
      <c r="I320" s="18">
        <v>560</v>
      </c>
      <c r="J320" s="18"/>
      <c r="K320" s="18">
        <v>129</v>
      </c>
      <c r="L320" s="13">
        <f t="shared" ref="L320:L326" si="16">SUM(F320:K320)</f>
        <v>22607</v>
      </c>
      <c r="M320" s="8"/>
      <c r="N320" s="165"/>
    </row>
    <row r="321" spans="1:14" s="3" customFormat="1" ht="12.4" customHeight="1" x14ac:dyDescent="0.15">
      <c r="A321" s="1" t="s">
        <v>443</v>
      </c>
      <c r="B321" s="2" t="s">
        <v>359</v>
      </c>
      <c r="C321" s="2" t="s">
        <v>295</v>
      </c>
      <c r="D321" s="2" t="s">
        <v>431</v>
      </c>
      <c r="E321" s="6">
        <v>2200</v>
      </c>
      <c r="F321" s="18">
        <v>7496</v>
      </c>
      <c r="G321" s="18">
        <v>2101</v>
      </c>
      <c r="H321" s="18">
        <v>2969</v>
      </c>
      <c r="I321" s="18">
        <v>1974</v>
      </c>
      <c r="J321" s="18"/>
      <c r="K321" s="18">
        <v>631</v>
      </c>
      <c r="L321" s="13">
        <f t="shared" si="16"/>
        <v>15171</v>
      </c>
      <c r="M321" s="8"/>
      <c r="N321" s="165"/>
    </row>
    <row r="322" spans="1:14" s="3" customFormat="1" ht="12.4" customHeight="1" x14ac:dyDescent="0.15">
      <c r="A322" s="1" t="s">
        <v>444</v>
      </c>
      <c r="B322" s="2" t="s">
        <v>359</v>
      </c>
      <c r="C322" s="2" t="s">
        <v>296</v>
      </c>
      <c r="D322" s="2" t="s">
        <v>431</v>
      </c>
      <c r="E322" s="6">
        <v>2300</v>
      </c>
      <c r="F322" s="18"/>
      <c r="G322" s="18"/>
      <c r="H322" s="18"/>
      <c r="I322" s="18">
        <v>770</v>
      </c>
      <c r="J322" s="18"/>
      <c r="K322" s="18"/>
      <c r="L322" s="13">
        <f t="shared" si="16"/>
        <v>770</v>
      </c>
      <c r="M322" s="8"/>
      <c r="N322" s="165"/>
    </row>
    <row r="323" spans="1:14" s="3" customFormat="1" ht="12.4" customHeight="1" x14ac:dyDescent="0.15">
      <c r="A323" s="1" t="s">
        <v>445</v>
      </c>
      <c r="B323" s="2" t="s">
        <v>359</v>
      </c>
      <c r="C323" s="2" t="s">
        <v>297</v>
      </c>
      <c r="D323" s="2" t="s">
        <v>431</v>
      </c>
      <c r="E323" s="6">
        <v>2400</v>
      </c>
      <c r="F323" s="18"/>
      <c r="G323" s="18"/>
      <c r="H323" s="18"/>
      <c r="I323" s="18">
        <v>225</v>
      </c>
      <c r="J323" s="18"/>
      <c r="K323" s="18"/>
      <c r="L323" s="13">
        <f t="shared" si="16"/>
        <v>225</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v>3485</v>
      </c>
      <c r="J325" s="18">
        <v>7826</v>
      </c>
      <c r="K325" s="18"/>
      <c r="L325" s="13">
        <f t="shared" si="16"/>
        <v>11311</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v>3223</v>
      </c>
      <c r="J327" s="18"/>
      <c r="K327" s="18"/>
      <c r="L327" s="13">
        <f>SUM(F327:K327)</f>
        <v>3223</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50135</v>
      </c>
      <c r="G329" s="39">
        <f t="shared" si="17"/>
        <v>29168</v>
      </c>
      <c r="H329" s="39">
        <f t="shared" si="17"/>
        <v>18319</v>
      </c>
      <c r="I329" s="39">
        <f t="shared" si="17"/>
        <v>48607</v>
      </c>
      <c r="J329" s="39">
        <f t="shared" si="17"/>
        <v>7826</v>
      </c>
      <c r="K329" s="39">
        <f t="shared" si="17"/>
        <v>23327</v>
      </c>
      <c r="L329" s="38">
        <f t="shared" si="17"/>
        <v>177382</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v>1882</v>
      </c>
      <c r="L336" s="13">
        <f t="shared" si="18"/>
        <v>1882</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1882</v>
      </c>
      <c r="L338" s="38">
        <f t="shared" si="18"/>
        <v>1882</v>
      </c>
      <c r="M338" s="8"/>
      <c r="N338" s="165"/>
    </row>
    <row r="339" spans="1:43" s="3" customFormat="1" ht="12.4" customHeight="1" thickTop="1" x14ac:dyDescent="0.15">
      <c r="A339" s="35" t="s">
        <v>468</v>
      </c>
      <c r="B339" s="37">
        <v>14</v>
      </c>
      <c r="C339" s="37">
        <v>7</v>
      </c>
      <c r="D339" s="36" t="s">
        <v>431</v>
      </c>
      <c r="E339" s="37"/>
      <c r="F339" s="38">
        <f t="shared" ref="F339:L339" si="20">F291+F310+F329+F338</f>
        <v>353644</v>
      </c>
      <c r="G339" s="38">
        <f t="shared" si="20"/>
        <v>198974</v>
      </c>
      <c r="H339" s="38">
        <f t="shared" si="20"/>
        <v>98760</v>
      </c>
      <c r="I339" s="38">
        <f t="shared" si="20"/>
        <v>111937</v>
      </c>
      <c r="J339" s="38">
        <f t="shared" si="20"/>
        <v>50022</v>
      </c>
      <c r="K339" s="38">
        <f t="shared" si="20"/>
        <v>31744</v>
      </c>
      <c r="L339" s="38">
        <f t="shared" si="20"/>
        <v>845081</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353644</v>
      </c>
      <c r="G353" s="38">
        <f>G339</f>
        <v>198974</v>
      </c>
      <c r="H353" s="38">
        <f>H339</f>
        <v>98760</v>
      </c>
      <c r="I353" s="38">
        <f>I339</f>
        <v>111937</v>
      </c>
      <c r="J353" s="38">
        <f>J339</f>
        <v>50022</v>
      </c>
      <c r="K353" s="38">
        <f>K339+K352</f>
        <v>31744</v>
      </c>
      <c r="L353" s="38">
        <f>L339+L352</f>
        <v>845081</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v>101180</v>
      </c>
      <c r="G359" s="18">
        <v>38194</v>
      </c>
      <c r="H359" s="18">
        <v>4765</v>
      </c>
      <c r="I359" s="18">
        <v>111584</v>
      </c>
      <c r="J359" s="18">
        <v>10782</v>
      </c>
      <c r="K359" s="18">
        <v>620</v>
      </c>
      <c r="L359" s="13">
        <f>SUM(F359:K359)</f>
        <v>267125</v>
      </c>
      <c r="M359" s="8"/>
      <c r="N359" s="165"/>
    </row>
    <row r="360" spans="1:22" s="3" customFormat="1" ht="12.4" customHeight="1" x14ac:dyDescent="0.15">
      <c r="A360" s="1" t="s">
        <v>542</v>
      </c>
      <c r="B360" s="2" t="s">
        <v>366</v>
      </c>
      <c r="C360" s="6">
        <v>2</v>
      </c>
      <c r="D360" s="2" t="s">
        <v>431</v>
      </c>
      <c r="E360" s="6"/>
      <c r="F360" s="18">
        <v>24484</v>
      </c>
      <c r="G360" s="18">
        <v>15108</v>
      </c>
      <c r="H360" s="18">
        <v>831</v>
      </c>
      <c r="I360" s="18">
        <v>36352</v>
      </c>
      <c r="J360" s="18">
        <v>7245</v>
      </c>
      <c r="K360" s="18">
        <v>113</v>
      </c>
      <c r="L360" s="13">
        <f>SUM(F360:K360)</f>
        <v>84133</v>
      </c>
      <c r="M360" s="8"/>
      <c r="N360" s="165"/>
    </row>
    <row r="361" spans="1:22" s="3" customFormat="1" ht="12.4" customHeight="1" x14ac:dyDescent="0.15">
      <c r="A361" s="3" t="s">
        <v>543</v>
      </c>
      <c r="B361" s="2" t="s">
        <v>366</v>
      </c>
      <c r="C361" s="6">
        <v>3</v>
      </c>
      <c r="D361" s="2" t="s">
        <v>431</v>
      </c>
      <c r="E361" s="6"/>
      <c r="F361" s="18">
        <v>56661</v>
      </c>
      <c r="G361" s="18">
        <v>34922</v>
      </c>
      <c r="H361" s="18">
        <v>1920</v>
      </c>
      <c r="I361" s="18">
        <v>84588</v>
      </c>
      <c r="J361" s="18">
        <v>16905</v>
      </c>
      <c r="K361" s="18">
        <v>261</v>
      </c>
      <c r="L361" s="13">
        <f>SUM(F361:K361)</f>
        <v>195257</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182325</v>
      </c>
      <c r="G363" s="38">
        <f t="shared" si="22"/>
        <v>88224</v>
      </c>
      <c r="H363" s="38">
        <f t="shared" si="22"/>
        <v>7516</v>
      </c>
      <c r="I363" s="38">
        <f t="shared" si="22"/>
        <v>232524</v>
      </c>
      <c r="J363" s="38">
        <f t="shared" si="22"/>
        <v>34932</v>
      </c>
      <c r="K363" s="38">
        <f t="shared" si="22"/>
        <v>994</v>
      </c>
      <c r="L363" s="38">
        <f t="shared" si="22"/>
        <v>546515</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v>77355</v>
      </c>
      <c r="G368" s="18">
        <v>22970</v>
      </c>
      <c r="H368" s="18">
        <v>53597</v>
      </c>
      <c r="I368" s="13">
        <f>SUM(F368:H368)</f>
        <v>153922</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v>34229</v>
      </c>
      <c r="G369" s="53">
        <v>13382</v>
      </c>
      <c r="H369" s="53">
        <v>30991</v>
      </c>
      <c r="I369" s="13">
        <f>SUM(F369:H369)</f>
        <v>78602</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111584</v>
      </c>
      <c r="G370" s="38">
        <f>SUM(G368:G369)</f>
        <v>36352</v>
      </c>
      <c r="H370" s="38">
        <f>SUM(H368:H369)</f>
        <v>84588</v>
      </c>
      <c r="I370" s="38">
        <f>SUM(I368:I369)</f>
        <v>232524</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v>226113</v>
      </c>
      <c r="K379" s="18"/>
      <c r="L379" s="13">
        <f t="shared" si="23"/>
        <v>226113</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226113</v>
      </c>
      <c r="K383" s="38">
        <f t="shared" si="24"/>
        <v>0</v>
      </c>
      <c r="L383" s="38">
        <f t="shared" si="24"/>
        <v>226113</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v>100000</v>
      </c>
      <c r="H393" s="18">
        <f>587+547</f>
        <v>1134</v>
      </c>
      <c r="I393" s="18"/>
      <c r="J393" s="23" t="s">
        <v>288</v>
      </c>
      <c r="K393" s="23" t="s">
        <v>288</v>
      </c>
      <c r="L393" s="13">
        <f t="shared" si="25"/>
        <v>101134</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100000</v>
      </c>
      <c r="H394" s="97">
        <f>SUM(H388:H393)</f>
        <v>1134</v>
      </c>
      <c r="I394" s="54">
        <f>SUM(I388:I393)</f>
        <v>0</v>
      </c>
      <c r="J394" s="42" t="s">
        <v>288</v>
      </c>
      <c r="K394" s="42" t="s">
        <v>288</v>
      </c>
      <c r="L394" s="38">
        <f>SUM(L388:L393)</f>
        <v>101134</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4" customHeight="1" x14ac:dyDescent="0.15">
      <c r="A397" s="62" t="s">
        <v>557</v>
      </c>
      <c r="B397" s="2" t="s">
        <v>381</v>
      </c>
      <c r="C397" s="6">
        <v>9</v>
      </c>
      <c r="D397" s="2" t="s">
        <v>432</v>
      </c>
      <c r="E397" s="6"/>
      <c r="F397" s="18"/>
      <c r="G397" s="18">
        <v>200000</v>
      </c>
      <c r="H397" s="18">
        <v>16553</v>
      </c>
      <c r="I397" s="18"/>
      <c r="J397" s="23" t="s">
        <v>288</v>
      </c>
      <c r="K397" s="23" t="s">
        <v>288</v>
      </c>
      <c r="L397" s="13">
        <f t="shared" si="26"/>
        <v>216553</v>
      </c>
      <c r="M397" s="8"/>
      <c r="N397" s="165"/>
    </row>
    <row r="398" spans="1:14" s="3" customFormat="1" ht="12.4"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v>25000</v>
      </c>
      <c r="H400" s="18">
        <v>92</v>
      </c>
      <c r="I400" s="18"/>
      <c r="J400" s="23" t="s">
        <v>288</v>
      </c>
      <c r="K400" s="23" t="s">
        <v>288</v>
      </c>
      <c r="L400" s="13">
        <f t="shared" si="26"/>
        <v>25092</v>
      </c>
      <c r="M400" s="8"/>
      <c r="N400" s="165"/>
    </row>
    <row r="401" spans="1:21" s="3" customFormat="1" ht="12.4" customHeight="1" thickBot="1" x14ac:dyDescent="0.2">
      <c r="A401" s="62" t="s">
        <v>510</v>
      </c>
      <c r="B401" s="2" t="s">
        <v>381</v>
      </c>
      <c r="C401" s="6">
        <v>13</v>
      </c>
      <c r="D401" s="2" t="s">
        <v>432</v>
      </c>
      <c r="E401" s="6"/>
      <c r="F401" s="18"/>
      <c r="G401" s="18">
        <v>200000</v>
      </c>
      <c r="H401" s="18">
        <v>243</v>
      </c>
      <c r="I401" s="18"/>
      <c r="J401" s="23" t="s">
        <v>288</v>
      </c>
      <c r="K401" s="23" t="s">
        <v>288</v>
      </c>
      <c r="L401" s="13">
        <f t="shared" si="26"/>
        <v>200243</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425000</v>
      </c>
      <c r="H402" s="38">
        <f>SUM(H396:H401)</f>
        <v>16888</v>
      </c>
      <c r="I402" s="38">
        <f>SUM(I396:I401)</f>
        <v>0</v>
      </c>
      <c r="J402" s="42" t="s">
        <v>288</v>
      </c>
      <c r="K402" s="42" t="s">
        <v>288</v>
      </c>
      <c r="L402" s="38">
        <f>SUM(L396:L401)</f>
        <v>441888</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525000</v>
      </c>
      <c r="H409" s="38">
        <f>H394+H402+H408</f>
        <v>18022</v>
      </c>
      <c r="I409" s="38">
        <f>I394+I402+I408</f>
        <v>0</v>
      </c>
      <c r="J409" s="23" t="s">
        <v>288</v>
      </c>
      <c r="K409" s="23" t="s">
        <v>288</v>
      </c>
      <c r="L409" s="38">
        <f>L394+L402+L408</f>
        <v>543022</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v>54952</v>
      </c>
      <c r="K419" s="18"/>
      <c r="L419" s="13">
        <f t="shared" si="27"/>
        <v>54952</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54952</v>
      </c>
      <c r="K420" s="97">
        <f t="shared" si="28"/>
        <v>0</v>
      </c>
      <c r="L420" s="38">
        <f t="shared" si="28"/>
        <v>54952</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f>1800+19926</f>
        <v>21726</v>
      </c>
      <c r="I423" s="18">
        <f>10497+6710+3513+7697+2178</f>
        <v>30595</v>
      </c>
      <c r="J423" s="18">
        <f>41148+21956+12628+5014+11699+19864</f>
        <v>112309</v>
      </c>
      <c r="K423" s="18"/>
      <c r="L423" s="13">
        <f t="shared" si="29"/>
        <v>164630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21726</v>
      </c>
      <c r="I428" s="38">
        <f t="shared" si="30"/>
        <v>30595</v>
      </c>
      <c r="J428" s="38">
        <f t="shared" si="30"/>
        <v>112309</v>
      </c>
      <c r="K428" s="38">
        <f t="shared" si="30"/>
        <v>0</v>
      </c>
      <c r="L428" s="38">
        <f t="shared" si="30"/>
        <v>164630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21726</v>
      </c>
      <c r="I435" s="38">
        <f t="shared" si="32"/>
        <v>30595</v>
      </c>
      <c r="J435" s="38">
        <f t="shared" si="32"/>
        <v>167261</v>
      </c>
      <c r="K435" s="38">
        <f t="shared" si="32"/>
        <v>0</v>
      </c>
      <c r="L435" s="38">
        <f t="shared" si="32"/>
        <v>219582</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f>270785+6960</f>
        <v>277745</v>
      </c>
      <c r="G440" s="18">
        <v>590766</v>
      </c>
      <c r="H440" s="18"/>
      <c r="I440" s="13">
        <f t="shared" ref="I440:I446" si="33">SUM(F440:H440)</f>
        <v>868511</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277745</v>
      </c>
      <c r="G447" s="13">
        <f>SUM(G440:G446)</f>
        <v>590766</v>
      </c>
      <c r="H447" s="13">
        <f>SUM(H440:H446)</f>
        <v>0</v>
      </c>
      <c r="I447" s="13">
        <f>SUM(I440:I446)</f>
        <v>868511</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v>12297</v>
      </c>
      <c r="H449" s="18"/>
      <c r="I449" s="13">
        <f>SUM(F449:H449)</f>
        <v>12297</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12297</v>
      </c>
      <c r="H453" s="57">
        <f>SUM(H449:H452)</f>
        <v>0</v>
      </c>
      <c r="I453" s="57">
        <f>SUM(I449:I452)</f>
        <v>12297</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v>277745</v>
      </c>
      <c r="G460" s="18">
        <f>590765-12297+1</f>
        <v>578469</v>
      </c>
      <c r="H460" s="18"/>
      <c r="I460" s="13">
        <f t="shared" si="34"/>
        <v>856214</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277745</v>
      </c>
      <c r="G461" s="65">
        <f>SUM(G455:G460)</f>
        <v>578469</v>
      </c>
      <c r="H461" s="65">
        <f>SUM(H455:H460)</f>
        <v>0</v>
      </c>
      <c r="I461" s="65">
        <f>SUM(I455:I460)</f>
        <v>856214</v>
      </c>
      <c r="J461" s="23" t="s">
        <v>288</v>
      </c>
      <c r="K461" s="23" t="s">
        <v>288</v>
      </c>
      <c r="L461" s="23" t="s">
        <v>288</v>
      </c>
      <c r="N461" s="131"/>
    </row>
    <row r="462" spans="1:86" ht="12.4" customHeight="1" thickTop="1" x14ac:dyDescent="0.2">
      <c r="A462" s="40" t="s">
        <v>424</v>
      </c>
      <c r="B462" s="41">
        <v>18</v>
      </c>
      <c r="C462" s="64">
        <v>21</v>
      </c>
      <c r="D462" s="114" t="s">
        <v>432</v>
      </c>
      <c r="E462" s="64"/>
      <c r="F462" s="39">
        <f>F453+F461</f>
        <v>277745</v>
      </c>
      <c r="G462" s="39">
        <f>G453+G461</f>
        <v>590766</v>
      </c>
      <c r="H462" s="39">
        <f>H453+H461</f>
        <v>0</v>
      </c>
      <c r="I462" s="39">
        <f>I453+I461</f>
        <v>868511</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2309597</v>
      </c>
      <c r="G466" s="18">
        <v>115024</v>
      </c>
      <c r="H466" s="18">
        <v>0</v>
      </c>
      <c r="I466" s="18">
        <f>488815+2</f>
        <v>488817</v>
      </c>
      <c r="J466" s="18">
        <v>532774</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21454555</v>
      </c>
      <c r="G469" s="18">
        <f>587528-75000</f>
        <v>512528</v>
      </c>
      <c r="H469" s="18">
        <f>609056+236025</f>
        <v>845081</v>
      </c>
      <c r="I469" s="18">
        <v>0</v>
      </c>
      <c r="J469" s="18">
        <f>18022+525000</f>
        <v>543022</v>
      </c>
      <c r="K469" s="23" t="s">
        <v>288</v>
      </c>
      <c r="L469" s="23" t="s">
        <v>288</v>
      </c>
      <c r="N469" s="131"/>
    </row>
    <row r="470" spans="1:14" ht="12.4"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4" customHeight="1" x14ac:dyDescent="0.2">
      <c r="A471" s="32" t="s">
        <v>425</v>
      </c>
      <c r="B471" s="22">
        <v>19</v>
      </c>
      <c r="C471" s="31">
        <v>4</v>
      </c>
      <c r="D471" s="2" t="s">
        <v>432</v>
      </c>
      <c r="E471" s="31"/>
      <c r="F471" s="19">
        <f>SUM(F469:F470)</f>
        <v>21454555</v>
      </c>
      <c r="G471" s="19">
        <f>SUM(G469:G470)</f>
        <v>512528</v>
      </c>
      <c r="H471" s="19">
        <f>SUM(H469:H470)</f>
        <v>845081</v>
      </c>
      <c r="I471" s="19">
        <f>SUM(I469:I470)</f>
        <v>0</v>
      </c>
      <c r="J471" s="19">
        <f>SUM(J469:J470)</f>
        <v>543022</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v>22182228</v>
      </c>
      <c r="G473" s="18">
        <v>546515</v>
      </c>
      <c r="H473" s="18">
        <f>236025+609056</f>
        <v>845081</v>
      </c>
      <c r="I473" s="18">
        <v>226113</v>
      </c>
      <c r="J473" s="18">
        <v>219582</v>
      </c>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22182228</v>
      </c>
      <c r="G475" s="19">
        <f>SUM(G473:G474)</f>
        <v>546515</v>
      </c>
      <c r="H475" s="19">
        <f>SUM(H473:H474)</f>
        <v>845081</v>
      </c>
      <c r="I475" s="19">
        <f>SUM(I473:I474)</f>
        <v>226113</v>
      </c>
      <c r="J475" s="19">
        <f>SUM(J473:J474)</f>
        <v>219582</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1581924</v>
      </c>
      <c r="G477" s="19">
        <f>(G466+G471)- G475</f>
        <v>81037</v>
      </c>
      <c r="H477" s="19">
        <f>(H466+H471)- H475</f>
        <v>0</v>
      </c>
      <c r="I477" s="19">
        <f>(I466+I471)- I475</f>
        <v>262704</v>
      </c>
      <c r="J477" s="19">
        <f>(J466+J471)- J475</f>
        <v>856214</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4"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4" customHeight="1" x14ac:dyDescent="0.2">
      <c r="A493" s="21" t="s">
        <v>616</v>
      </c>
      <c r="B493" s="22">
        <v>20</v>
      </c>
      <c r="C493" s="22">
        <v>3</v>
      </c>
      <c r="D493" s="2" t="s">
        <v>432</v>
      </c>
      <c r="E493" s="22"/>
      <c r="F493" s="112" t="s">
        <v>1814</v>
      </c>
      <c r="G493" s="112" t="s">
        <v>1815</v>
      </c>
      <c r="H493" s="111"/>
      <c r="I493" s="111"/>
      <c r="J493" s="111"/>
      <c r="K493" s="23" t="s">
        <v>288</v>
      </c>
      <c r="L493" s="23" t="s">
        <v>288</v>
      </c>
      <c r="N493" s="131"/>
    </row>
    <row r="494" spans="1:14" ht="12.4" customHeight="1" x14ac:dyDescent="0.2">
      <c r="A494" s="21" t="s">
        <v>617</v>
      </c>
      <c r="B494" s="22">
        <v>20</v>
      </c>
      <c r="C494" s="22">
        <v>4</v>
      </c>
      <c r="D494" s="2" t="s">
        <v>432</v>
      </c>
      <c r="E494" s="22"/>
      <c r="F494" s="18">
        <v>4467525</v>
      </c>
      <c r="G494" s="18">
        <v>4168625</v>
      </c>
      <c r="H494" s="18"/>
      <c r="I494" s="18"/>
      <c r="J494" s="18"/>
      <c r="K494" s="23" t="s">
        <v>288</v>
      </c>
      <c r="L494" s="23" t="s">
        <v>288</v>
      </c>
      <c r="N494" s="131"/>
    </row>
    <row r="495" spans="1:14" ht="12.4" customHeight="1" x14ac:dyDescent="0.2">
      <c r="A495" s="21" t="s">
        <v>618</v>
      </c>
      <c r="B495" s="22">
        <v>20</v>
      </c>
      <c r="C495" s="22">
        <v>5</v>
      </c>
      <c r="D495" s="2" t="s">
        <v>432</v>
      </c>
      <c r="E495" s="22"/>
      <c r="F495" s="18" t="s">
        <v>1816</v>
      </c>
      <c r="G495" s="18" t="s">
        <v>1816</v>
      </c>
      <c r="H495" s="18"/>
      <c r="I495" s="18"/>
      <c r="J495" s="18"/>
      <c r="K495" s="23" t="s">
        <v>288</v>
      </c>
      <c r="L495" s="23" t="s">
        <v>288</v>
      </c>
      <c r="N495" s="131"/>
    </row>
    <row r="496" spans="1:14" ht="12.4" customHeight="1" x14ac:dyDescent="0.2">
      <c r="A496" s="21" t="s">
        <v>619</v>
      </c>
      <c r="B496" s="22">
        <v>20</v>
      </c>
      <c r="C496" s="22">
        <v>6</v>
      </c>
      <c r="D496" s="2" t="s">
        <v>432</v>
      </c>
      <c r="E496" s="22"/>
      <c r="F496" s="18">
        <v>4324750</v>
      </c>
      <c r="G496" s="18">
        <v>4168625</v>
      </c>
      <c r="H496" s="18"/>
      <c r="I496" s="18"/>
      <c r="J496" s="18"/>
      <c r="K496" s="19">
        <f>SUM(F496:J496)</f>
        <v>8493375</v>
      </c>
      <c r="L496" s="23" t="s">
        <v>288</v>
      </c>
      <c r="N496" s="131"/>
    </row>
    <row r="497" spans="1:14" ht="12.4"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150000</v>
      </c>
      <c r="G498" s="18">
        <v>154543</v>
      </c>
      <c r="H498" s="18"/>
      <c r="I498" s="18"/>
      <c r="J498" s="18"/>
      <c r="K498" s="19">
        <f t="shared" si="35"/>
        <v>304543</v>
      </c>
      <c r="L498" s="23" t="s">
        <v>288</v>
      </c>
      <c r="N498" s="131"/>
    </row>
    <row r="499" spans="1:14" ht="12.4" customHeight="1" x14ac:dyDescent="0.2">
      <c r="A499" s="144" t="s">
        <v>622</v>
      </c>
      <c r="B499" s="145">
        <v>20</v>
      </c>
      <c r="C499" s="145">
        <v>9</v>
      </c>
      <c r="D499" s="146" t="s">
        <v>432</v>
      </c>
      <c r="E499" s="145"/>
      <c r="F499" s="147">
        <f>F496-F498</f>
        <v>4174750</v>
      </c>
      <c r="G499" s="147">
        <f>G496-G498</f>
        <v>4014082</v>
      </c>
      <c r="H499" s="147"/>
      <c r="I499" s="147"/>
      <c r="J499" s="147"/>
      <c r="K499" s="148">
        <f t="shared" si="35"/>
        <v>8188832</v>
      </c>
      <c r="L499" s="149" t="s">
        <v>288</v>
      </c>
      <c r="N499" s="131"/>
    </row>
    <row r="500" spans="1:14" ht="12.4" customHeight="1" thickBot="1" x14ac:dyDescent="0.25">
      <c r="A500" s="21" t="s">
        <v>623</v>
      </c>
      <c r="B500" s="22">
        <v>20</v>
      </c>
      <c r="C500" s="22">
        <v>10</v>
      </c>
      <c r="D500" s="2" t="s">
        <v>432</v>
      </c>
      <c r="E500" s="22"/>
      <c r="F500" s="18">
        <f>1503974.08-79042.67-77746.89-74106.13-74106.13-70281.13</f>
        <v>1128691.1300000004</v>
      </c>
      <c r="G500" s="18">
        <f>1364062.5</f>
        <v>1364062.5</v>
      </c>
      <c r="H500" s="18"/>
      <c r="I500" s="18"/>
      <c r="J500" s="18"/>
      <c r="K500" s="19">
        <f t="shared" si="35"/>
        <v>2492753.6300000004</v>
      </c>
      <c r="L500" s="23" t="s">
        <v>288</v>
      </c>
      <c r="N500" s="131"/>
    </row>
    <row r="501" spans="1:14" ht="12.4" customHeight="1" thickTop="1" x14ac:dyDescent="0.2">
      <c r="A501" s="97" t="s">
        <v>624</v>
      </c>
      <c r="B501" s="41">
        <v>20</v>
      </c>
      <c r="C501" s="41">
        <v>11</v>
      </c>
      <c r="D501" s="36" t="s">
        <v>432</v>
      </c>
      <c r="E501" s="41"/>
      <c r="F501" s="39">
        <f>SUM(F499:F500)</f>
        <v>5303441.1300000008</v>
      </c>
      <c r="G501" s="39">
        <f>SUM(G499:G500)</f>
        <v>5378144.5</v>
      </c>
      <c r="H501" s="39">
        <f>SUM(H499:H500)</f>
        <v>0</v>
      </c>
      <c r="I501" s="39">
        <f>SUM(I499:I500)</f>
        <v>0</v>
      </c>
      <c r="J501" s="39">
        <f>SUM(J499:J500)</f>
        <v>0</v>
      </c>
      <c r="K501" s="39">
        <f t="shared" si="35"/>
        <v>10681585.630000001</v>
      </c>
      <c r="L501" s="42" t="s">
        <v>288</v>
      </c>
      <c r="N501" s="131"/>
    </row>
    <row r="502" spans="1:14" ht="12.4" customHeight="1" x14ac:dyDescent="0.2">
      <c r="A502" s="144" t="s">
        <v>651</v>
      </c>
      <c r="B502" s="145">
        <v>20</v>
      </c>
      <c r="C502" s="145">
        <v>12</v>
      </c>
      <c r="D502" s="146" t="s">
        <v>432</v>
      </c>
      <c r="E502" s="145"/>
      <c r="F502" s="147">
        <v>159750</v>
      </c>
      <c r="G502" s="147">
        <v>135000</v>
      </c>
      <c r="H502" s="147"/>
      <c r="I502" s="147"/>
      <c r="J502" s="147"/>
      <c r="K502" s="148">
        <f t="shared" si="35"/>
        <v>294750</v>
      </c>
      <c r="L502" s="149" t="s">
        <v>288</v>
      </c>
      <c r="N502" s="131"/>
    </row>
    <row r="503" spans="1:14" ht="12.4" customHeight="1" thickBot="1" x14ac:dyDescent="0.25">
      <c r="A503" s="21" t="s">
        <v>625</v>
      </c>
      <c r="B503" s="22">
        <v>20</v>
      </c>
      <c r="C503" s="22">
        <v>13</v>
      </c>
      <c r="D503" s="2" t="s">
        <v>432</v>
      </c>
      <c r="E503" s="22"/>
      <c r="F503" s="18">
        <f>70281.13+66207.5</f>
        <v>136488.63</v>
      </c>
      <c r="G503" s="18">
        <f>75567.5+72125</f>
        <v>147692.5</v>
      </c>
      <c r="H503" s="18"/>
      <c r="I503" s="18"/>
      <c r="J503" s="18"/>
      <c r="K503" s="19">
        <f t="shared" si="35"/>
        <v>284181.13</v>
      </c>
      <c r="L503" s="23" t="s">
        <v>288</v>
      </c>
      <c r="N503" s="131"/>
    </row>
    <row r="504" spans="1:14" ht="12.4" customHeight="1" thickTop="1" x14ac:dyDescent="0.2">
      <c r="A504" s="97" t="s">
        <v>626</v>
      </c>
      <c r="B504" s="41">
        <v>20</v>
      </c>
      <c r="C504" s="41">
        <v>14</v>
      </c>
      <c r="D504" s="36" t="s">
        <v>432</v>
      </c>
      <c r="E504" s="41"/>
      <c r="F504" s="39">
        <f>SUM(F502:F503)</f>
        <v>296238.63</v>
      </c>
      <c r="G504" s="39">
        <f>SUM(G502:G503)</f>
        <v>282692.5</v>
      </c>
      <c r="H504" s="39">
        <f>SUM(H502:H503)</f>
        <v>0</v>
      </c>
      <c r="I504" s="39">
        <f>SUM(I502:I503)</f>
        <v>0</v>
      </c>
      <c r="J504" s="39">
        <f>SUM(J502:J503)</f>
        <v>0</v>
      </c>
      <c r="K504" s="39">
        <f t="shared" si="35"/>
        <v>578931.13</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 t="shared" ref="F522:K522" si="36">F199+F278</f>
        <v>1356530</v>
      </c>
      <c r="G522" s="18">
        <f t="shared" si="36"/>
        <v>723753</v>
      </c>
      <c r="H522" s="18">
        <f t="shared" si="36"/>
        <v>679820</v>
      </c>
      <c r="I522" s="18">
        <f t="shared" si="36"/>
        <v>11052</v>
      </c>
      <c r="J522" s="18">
        <f t="shared" si="36"/>
        <v>0</v>
      </c>
      <c r="K522" s="18">
        <f t="shared" si="36"/>
        <v>0</v>
      </c>
      <c r="L522" s="69">
        <f>SUM(F522:K522)</f>
        <v>2771155</v>
      </c>
      <c r="N522" s="131"/>
    </row>
    <row r="523" spans="1:14" ht="12.4" customHeight="1" x14ac:dyDescent="0.2">
      <c r="A523" s="21" t="s">
        <v>634</v>
      </c>
      <c r="B523" s="22">
        <v>21</v>
      </c>
      <c r="C523" s="22">
        <v>2</v>
      </c>
      <c r="D523" s="2" t="s">
        <v>432</v>
      </c>
      <c r="E523" s="22"/>
      <c r="F523" s="18">
        <f t="shared" ref="F523:K523" si="37">F217+F297</f>
        <v>387881</v>
      </c>
      <c r="G523" s="18">
        <f t="shared" si="37"/>
        <v>228250</v>
      </c>
      <c r="H523" s="18">
        <f t="shared" si="37"/>
        <v>144880</v>
      </c>
      <c r="I523" s="18">
        <f t="shared" si="37"/>
        <v>2248</v>
      </c>
      <c r="J523" s="18">
        <f t="shared" si="37"/>
        <v>0</v>
      </c>
      <c r="K523" s="18">
        <f t="shared" si="37"/>
        <v>0</v>
      </c>
      <c r="L523" s="69">
        <f>SUM(F523:K523)</f>
        <v>763259</v>
      </c>
      <c r="N523" s="131"/>
    </row>
    <row r="524" spans="1:14" ht="12.4" customHeight="1" thickBot="1" x14ac:dyDescent="0.25">
      <c r="A524" s="21" t="s">
        <v>635</v>
      </c>
      <c r="B524" s="22">
        <v>21</v>
      </c>
      <c r="C524" s="22">
        <v>3</v>
      </c>
      <c r="D524" s="2" t="s">
        <v>432</v>
      </c>
      <c r="E524" s="22"/>
      <c r="F524" s="18">
        <f t="shared" ref="F524:K524" si="38">F235+F316</f>
        <v>435921</v>
      </c>
      <c r="G524" s="18">
        <f t="shared" si="38"/>
        <v>217141</v>
      </c>
      <c r="H524" s="18">
        <f t="shared" si="38"/>
        <v>290465</v>
      </c>
      <c r="I524" s="18">
        <f t="shared" si="38"/>
        <v>4076</v>
      </c>
      <c r="J524" s="18">
        <f t="shared" si="38"/>
        <v>0</v>
      </c>
      <c r="K524" s="18">
        <f t="shared" si="38"/>
        <v>0</v>
      </c>
      <c r="L524" s="69">
        <f>SUM(F524:K524)</f>
        <v>947603</v>
      </c>
      <c r="N524" s="131"/>
    </row>
    <row r="525" spans="1:14" ht="12.4" customHeight="1" thickTop="1" x14ac:dyDescent="0.2">
      <c r="A525" s="97" t="s">
        <v>63</v>
      </c>
      <c r="B525" s="41">
        <v>21</v>
      </c>
      <c r="C525" s="41">
        <v>4</v>
      </c>
      <c r="D525" s="115" t="s">
        <v>432</v>
      </c>
      <c r="E525" s="41"/>
      <c r="F525" s="81">
        <f>SUM(F522:F524)</f>
        <v>2180332</v>
      </c>
      <c r="G525" s="81">
        <f t="shared" ref="G525:L525" si="39">SUM(G522:G524)</f>
        <v>1169144</v>
      </c>
      <c r="H525" s="81">
        <f t="shared" si="39"/>
        <v>1115165</v>
      </c>
      <c r="I525" s="81">
        <f t="shared" si="39"/>
        <v>17376</v>
      </c>
      <c r="J525" s="81">
        <f t="shared" si="39"/>
        <v>0</v>
      </c>
      <c r="K525" s="81">
        <f t="shared" si="39"/>
        <v>0</v>
      </c>
      <c r="L525" s="70">
        <f t="shared" si="39"/>
        <v>4482017</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f>171804+103205</f>
        <v>275009</v>
      </c>
      <c r="G527" s="18">
        <f>65116+56642</f>
        <v>121758</v>
      </c>
      <c r="H527" s="18">
        <v>48052</v>
      </c>
      <c r="I527" s="18">
        <f>3468+195</f>
        <v>3663</v>
      </c>
      <c r="J527" s="18"/>
      <c r="K527" s="18"/>
      <c r="L527" s="69">
        <f>SUM(F527:K527)</f>
        <v>448482</v>
      </c>
      <c r="M527" s="8"/>
      <c r="N527" s="165"/>
    </row>
    <row r="528" spans="1:14" s="3" customFormat="1" ht="12.4" customHeight="1" x14ac:dyDescent="0.15">
      <c r="A528" s="21" t="s">
        <v>634</v>
      </c>
      <c r="B528" s="22">
        <v>21</v>
      </c>
      <c r="C528" s="22">
        <v>6</v>
      </c>
      <c r="D528" s="2" t="s">
        <v>432</v>
      </c>
      <c r="E528" s="22"/>
      <c r="F528" s="18">
        <f>36614+14086</f>
        <v>50700</v>
      </c>
      <c r="G528" s="18">
        <f>13877+4056</f>
        <v>17933</v>
      </c>
      <c r="H528" s="18">
        <v>10241</v>
      </c>
      <c r="I528" s="18">
        <v>739</v>
      </c>
      <c r="J528" s="18"/>
      <c r="K528" s="18"/>
      <c r="L528" s="69">
        <f>SUM(F528:K528)</f>
        <v>79613</v>
      </c>
      <c r="M528" s="8"/>
      <c r="N528" s="165"/>
    </row>
    <row r="529" spans="1:14" s="3" customFormat="1" ht="12.4" customHeight="1" thickBot="1" x14ac:dyDescent="0.2">
      <c r="A529" s="21" t="s">
        <v>635</v>
      </c>
      <c r="B529" s="22">
        <v>21</v>
      </c>
      <c r="C529" s="22">
        <v>7</v>
      </c>
      <c r="D529" s="2" t="s">
        <v>432</v>
      </c>
      <c r="E529" s="22"/>
      <c r="F529" s="18">
        <f>73228+32962</f>
        <v>106190</v>
      </c>
      <c r="G529" s="18">
        <f>27754+9435</f>
        <v>37189</v>
      </c>
      <c r="H529" s="18">
        <v>20481</v>
      </c>
      <c r="I529" s="18">
        <v>1478</v>
      </c>
      <c r="J529" s="18"/>
      <c r="K529" s="18"/>
      <c r="L529" s="69">
        <f>SUM(F529:K529)</f>
        <v>165338</v>
      </c>
      <c r="M529" s="8"/>
      <c r="N529" s="165"/>
    </row>
    <row r="530" spans="1:14" s="3" customFormat="1" ht="12.4" customHeight="1" thickTop="1" x14ac:dyDescent="0.15">
      <c r="A530" s="97" t="s">
        <v>65</v>
      </c>
      <c r="B530" s="41">
        <v>21</v>
      </c>
      <c r="C530" s="41">
        <v>8</v>
      </c>
      <c r="D530" s="115" t="s">
        <v>432</v>
      </c>
      <c r="E530" s="41"/>
      <c r="F530" s="70">
        <f>SUM(F527:F529)</f>
        <v>431899</v>
      </c>
      <c r="G530" s="70">
        <f t="shared" ref="G530:L530" si="40">SUM(G527:G529)</f>
        <v>176880</v>
      </c>
      <c r="H530" s="70">
        <f t="shared" si="40"/>
        <v>78774</v>
      </c>
      <c r="I530" s="70">
        <f t="shared" si="40"/>
        <v>5880</v>
      </c>
      <c r="J530" s="70">
        <f t="shared" si="40"/>
        <v>0</v>
      </c>
      <c r="K530" s="70">
        <f t="shared" si="40"/>
        <v>0</v>
      </c>
      <c r="L530" s="70">
        <f t="shared" si="40"/>
        <v>693433</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v>92771</v>
      </c>
      <c r="G532" s="18">
        <v>60881</v>
      </c>
      <c r="H532" s="18"/>
      <c r="I532" s="18"/>
      <c r="J532" s="18"/>
      <c r="K532" s="18"/>
      <c r="L532" s="69">
        <f>SUM(F532:K532)</f>
        <v>153652</v>
      </c>
      <c r="M532" s="8"/>
      <c r="N532" s="165"/>
    </row>
    <row r="533" spans="1:14" s="3" customFormat="1" ht="12.4" customHeight="1" x14ac:dyDescent="0.15">
      <c r="A533" s="21" t="s">
        <v>634</v>
      </c>
      <c r="B533" s="22">
        <v>21</v>
      </c>
      <c r="C533" s="22">
        <v>10</v>
      </c>
      <c r="D533" s="2" t="s">
        <v>432</v>
      </c>
      <c r="E533" s="22"/>
      <c r="F533" s="18">
        <v>19771</v>
      </c>
      <c r="G533" s="18">
        <v>12975</v>
      </c>
      <c r="H533" s="18"/>
      <c r="I533" s="18"/>
      <c r="J533" s="18"/>
      <c r="K533" s="18"/>
      <c r="L533" s="69">
        <f>SUM(F533:K533)</f>
        <v>32746</v>
      </c>
      <c r="M533" s="8"/>
      <c r="N533" s="165"/>
    </row>
    <row r="534" spans="1:14" s="3" customFormat="1" ht="12.4" customHeight="1" thickBot="1" x14ac:dyDescent="0.2">
      <c r="A534" s="21" t="s">
        <v>635</v>
      </c>
      <c r="B534" s="22">
        <v>21</v>
      </c>
      <c r="C534" s="22">
        <v>11</v>
      </c>
      <c r="D534" s="2" t="s">
        <v>432</v>
      </c>
      <c r="E534" s="22"/>
      <c r="F534" s="18">
        <f>152084-112542</f>
        <v>39542</v>
      </c>
      <c r="G534" s="18">
        <f>99805-73856</f>
        <v>25949</v>
      </c>
      <c r="H534" s="18"/>
      <c r="I534" s="18"/>
      <c r="J534" s="18"/>
      <c r="K534" s="18"/>
      <c r="L534" s="69">
        <f>SUM(F534:K534)</f>
        <v>65491</v>
      </c>
      <c r="M534" s="8"/>
      <c r="N534" s="165"/>
    </row>
    <row r="535" spans="1:14" s="3" customFormat="1" ht="12.4" customHeight="1" thickTop="1" x14ac:dyDescent="0.15">
      <c r="A535" s="97" t="s">
        <v>67</v>
      </c>
      <c r="B535" s="41">
        <v>21</v>
      </c>
      <c r="C535" s="41">
        <v>12</v>
      </c>
      <c r="D535" s="115" t="s">
        <v>432</v>
      </c>
      <c r="E535" s="41"/>
      <c r="F535" s="70">
        <f>SUM(F532:F534)</f>
        <v>152084</v>
      </c>
      <c r="G535" s="70">
        <f t="shared" ref="G535:L535" si="41">SUM(G532:G534)</f>
        <v>99805</v>
      </c>
      <c r="H535" s="70">
        <f t="shared" si="41"/>
        <v>0</v>
      </c>
      <c r="I535" s="70">
        <f t="shared" si="41"/>
        <v>0</v>
      </c>
      <c r="J535" s="70">
        <f t="shared" si="41"/>
        <v>0</v>
      </c>
      <c r="K535" s="70">
        <f t="shared" si="41"/>
        <v>0</v>
      </c>
      <c r="L535" s="70">
        <f t="shared" si="41"/>
        <v>251889</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v>1111</v>
      </c>
      <c r="I537" s="18"/>
      <c r="J537" s="18"/>
      <c r="K537" s="18"/>
      <c r="L537" s="69">
        <f>SUM(F537:K537)</f>
        <v>1111</v>
      </c>
      <c r="M537" s="8"/>
      <c r="N537" s="165"/>
    </row>
    <row r="538" spans="1:14" s="3" customFormat="1" ht="12.4" customHeight="1" x14ac:dyDescent="0.15">
      <c r="A538" s="21" t="s">
        <v>634</v>
      </c>
      <c r="B538" s="22">
        <v>21</v>
      </c>
      <c r="C538" s="22">
        <v>14</v>
      </c>
      <c r="D538" s="2" t="s">
        <v>432</v>
      </c>
      <c r="E538" s="22"/>
      <c r="F538" s="18"/>
      <c r="G538" s="18"/>
      <c r="H538" s="18">
        <v>237</v>
      </c>
      <c r="I538" s="18"/>
      <c r="J538" s="18"/>
      <c r="K538" s="18"/>
      <c r="L538" s="69">
        <f>SUM(F538:K538)</f>
        <v>237</v>
      </c>
      <c r="M538" s="8"/>
      <c r="N538" s="165"/>
    </row>
    <row r="539" spans="1:14" s="3" customFormat="1" ht="12.4" customHeight="1" thickBot="1" x14ac:dyDescent="0.2">
      <c r="A539" s="21" t="s">
        <v>635</v>
      </c>
      <c r="B539" s="22">
        <v>21</v>
      </c>
      <c r="C539" s="22">
        <v>15</v>
      </c>
      <c r="D539" s="2" t="s">
        <v>432</v>
      </c>
      <c r="E539" s="22"/>
      <c r="F539" s="18"/>
      <c r="G539" s="18"/>
      <c r="H539" s="18">
        <f>1822-1111-237</f>
        <v>474</v>
      </c>
      <c r="I539" s="18"/>
      <c r="J539" s="18"/>
      <c r="K539" s="18"/>
      <c r="L539" s="69">
        <f>SUM(F539:K539)</f>
        <v>474</v>
      </c>
      <c r="M539" s="8"/>
      <c r="N539" s="165"/>
    </row>
    <row r="540" spans="1:14" s="3" customFormat="1" ht="12.4" customHeight="1" thickTop="1" x14ac:dyDescent="0.15">
      <c r="A540" s="97" t="s">
        <v>69</v>
      </c>
      <c r="B540" s="41">
        <v>21</v>
      </c>
      <c r="C540" s="41">
        <v>16</v>
      </c>
      <c r="D540" s="115" t="s">
        <v>432</v>
      </c>
      <c r="E540" s="41"/>
      <c r="F540" s="70">
        <f>SUM(F537:F539)</f>
        <v>0</v>
      </c>
      <c r="G540" s="70">
        <f t="shared" ref="G540:L540" si="42">SUM(G537:G539)</f>
        <v>0</v>
      </c>
      <c r="H540" s="70">
        <f t="shared" si="42"/>
        <v>1822</v>
      </c>
      <c r="I540" s="70">
        <f t="shared" si="42"/>
        <v>0</v>
      </c>
      <c r="J540" s="70">
        <f t="shared" si="42"/>
        <v>0</v>
      </c>
      <c r="K540" s="70">
        <f t="shared" si="42"/>
        <v>0</v>
      </c>
      <c r="L540" s="70">
        <f t="shared" si="42"/>
        <v>1822</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v>4542</v>
      </c>
      <c r="G542" s="18">
        <v>464</v>
      </c>
      <c r="H542" s="18">
        <v>62769</v>
      </c>
      <c r="I542" s="18">
        <v>606</v>
      </c>
      <c r="J542" s="18"/>
      <c r="K542" s="18"/>
      <c r="L542" s="69">
        <f>SUM(F542:K542)</f>
        <v>68381</v>
      </c>
      <c r="M542" s="8"/>
      <c r="N542" s="165"/>
    </row>
    <row r="543" spans="1:14" s="3" customFormat="1" ht="12.4" customHeight="1" x14ac:dyDescent="0.15">
      <c r="A543" s="21" t="s">
        <v>634</v>
      </c>
      <c r="B543" s="22">
        <v>21</v>
      </c>
      <c r="C543" s="22">
        <v>18</v>
      </c>
      <c r="D543" s="2" t="s">
        <v>432</v>
      </c>
      <c r="E543" s="22"/>
      <c r="F543" s="18">
        <v>968</v>
      </c>
      <c r="G543" s="18">
        <v>99</v>
      </c>
      <c r="H543" s="18">
        <v>13049</v>
      </c>
      <c r="I543" s="18">
        <v>129</v>
      </c>
      <c r="J543" s="18"/>
      <c r="K543" s="18"/>
      <c r="L543" s="69">
        <f>SUM(F543:K543)</f>
        <v>14245</v>
      </c>
      <c r="M543" s="8"/>
      <c r="N543" s="165"/>
    </row>
    <row r="544" spans="1:14" s="3" customFormat="1" ht="12.4" customHeight="1" thickBot="1" x14ac:dyDescent="0.2">
      <c r="A544" s="21" t="s">
        <v>635</v>
      </c>
      <c r="B544" s="22">
        <v>21</v>
      </c>
      <c r="C544" s="22">
        <v>19</v>
      </c>
      <c r="D544" s="2" t="s">
        <v>432</v>
      </c>
      <c r="E544" s="22"/>
      <c r="F544" s="18">
        <v>1936</v>
      </c>
      <c r="G544" s="18">
        <v>197</v>
      </c>
      <c r="H544" s="18">
        <v>26098</v>
      </c>
      <c r="I544" s="18">
        <v>258</v>
      </c>
      <c r="J544" s="18"/>
      <c r="K544" s="18"/>
      <c r="L544" s="69">
        <f>SUM(F544:K544)</f>
        <v>28489</v>
      </c>
      <c r="M544" s="8"/>
      <c r="N544" s="165"/>
    </row>
    <row r="545" spans="1:14" s="3" customFormat="1" ht="12.4" customHeight="1" thickTop="1" thickBot="1" x14ac:dyDescent="0.2">
      <c r="A545" s="93" t="s">
        <v>71</v>
      </c>
      <c r="B545" s="63">
        <v>21</v>
      </c>
      <c r="C545" s="63">
        <v>20</v>
      </c>
      <c r="D545" s="140" t="s">
        <v>432</v>
      </c>
      <c r="E545" s="63"/>
      <c r="F545" s="141">
        <f>SUM(F542:F544)</f>
        <v>7446</v>
      </c>
      <c r="G545" s="141">
        <f t="shared" ref="G545:L545" si="43">SUM(G542:G544)</f>
        <v>760</v>
      </c>
      <c r="H545" s="141">
        <f t="shared" si="43"/>
        <v>101916</v>
      </c>
      <c r="I545" s="141">
        <f t="shared" si="43"/>
        <v>993</v>
      </c>
      <c r="J545" s="141">
        <f t="shared" si="43"/>
        <v>0</v>
      </c>
      <c r="K545" s="141">
        <f t="shared" si="43"/>
        <v>0</v>
      </c>
      <c r="L545" s="141">
        <f t="shared" si="43"/>
        <v>111115</v>
      </c>
      <c r="M545" s="8"/>
      <c r="N545" s="165"/>
    </row>
    <row r="546" spans="1:14" s="3" customFormat="1" ht="12.4" customHeight="1" thickTop="1" x14ac:dyDescent="0.15">
      <c r="A546" s="75" t="s">
        <v>72</v>
      </c>
      <c r="B546" s="41">
        <v>21</v>
      </c>
      <c r="C546" s="41">
        <v>21</v>
      </c>
      <c r="D546" s="115" t="s">
        <v>432</v>
      </c>
      <c r="E546" s="41"/>
      <c r="F546" s="70">
        <f>F525+F530+F535+F540+F545</f>
        <v>2771761</v>
      </c>
      <c r="G546" s="70">
        <f t="shared" ref="G546:L546" si="44">G525+G530+G535+G540+G545</f>
        <v>1446589</v>
      </c>
      <c r="H546" s="70">
        <f t="shared" si="44"/>
        <v>1297677</v>
      </c>
      <c r="I546" s="70">
        <f t="shared" si="44"/>
        <v>24249</v>
      </c>
      <c r="J546" s="70">
        <f t="shared" si="44"/>
        <v>0</v>
      </c>
      <c r="K546" s="70">
        <f t="shared" si="44"/>
        <v>0</v>
      </c>
      <c r="L546" s="70">
        <f t="shared" si="44"/>
        <v>5540276</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2771155</v>
      </c>
      <c r="G550" s="69">
        <f>L527</f>
        <v>448482</v>
      </c>
      <c r="H550" s="69">
        <f>L532</f>
        <v>153652</v>
      </c>
      <c r="I550" s="69">
        <f>L537</f>
        <v>1111</v>
      </c>
      <c r="J550" s="69">
        <f>L542</f>
        <v>68381</v>
      </c>
      <c r="K550" s="69">
        <f>SUM(F550:J550)</f>
        <v>3442781</v>
      </c>
      <c r="L550" s="23" t="s">
        <v>288</v>
      </c>
      <c r="M550" s="8"/>
      <c r="N550" s="165"/>
    </row>
    <row r="551" spans="1:14" s="3" customFormat="1" ht="12.4" customHeight="1" x14ac:dyDescent="0.15">
      <c r="A551" s="21" t="s">
        <v>634</v>
      </c>
      <c r="B551" s="22">
        <v>21</v>
      </c>
      <c r="C551" s="22">
        <v>23</v>
      </c>
      <c r="D551" s="2" t="s">
        <v>432</v>
      </c>
      <c r="E551" s="22"/>
      <c r="F551" s="69">
        <f>L523</f>
        <v>763259</v>
      </c>
      <c r="G551" s="69">
        <f>L528</f>
        <v>79613</v>
      </c>
      <c r="H551" s="69">
        <f>L533</f>
        <v>32746</v>
      </c>
      <c r="I551" s="69">
        <f>L538</f>
        <v>237</v>
      </c>
      <c r="J551" s="69">
        <f>L543</f>
        <v>14245</v>
      </c>
      <c r="K551" s="69">
        <f>SUM(F551:J551)</f>
        <v>890100</v>
      </c>
      <c r="L551" s="23" t="s">
        <v>288</v>
      </c>
      <c r="M551" s="8"/>
      <c r="N551" s="165"/>
    </row>
    <row r="552" spans="1:14" s="3" customFormat="1" ht="12.4" customHeight="1" thickBot="1" x14ac:dyDescent="0.2">
      <c r="A552" s="21" t="s">
        <v>635</v>
      </c>
      <c r="B552" s="22">
        <v>21</v>
      </c>
      <c r="C552" s="22">
        <v>24</v>
      </c>
      <c r="D552" s="2" t="s">
        <v>432</v>
      </c>
      <c r="E552" s="22"/>
      <c r="F552" s="69">
        <f>L524</f>
        <v>947603</v>
      </c>
      <c r="G552" s="69">
        <f>L529</f>
        <v>165338</v>
      </c>
      <c r="H552" s="69">
        <f>L534</f>
        <v>65491</v>
      </c>
      <c r="I552" s="69">
        <f>L539</f>
        <v>474</v>
      </c>
      <c r="J552" s="69">
        <f>L544</f>
        <v>28489</v>
      </c>
      <c r="K552" s="69">
        <f>SUM(F552:J552)</f>
        <v>1207395</v>
      </c>
      <c r="L552" s="23" t="s">
        <v>288</v>
      </c>
      <c r="M552" s="8"/>
      <c r="N552" s="165"/>
    </row>
    <row r="553" spans="1:14" s="3" customFormat="1" ht="12.4" customHeight="1" thickTop="1" x14ac:dyDescent="0.15">
      <c r="A553" s="126" t="s">
        <v>340</v>
      </c>
      <c r="B553" s="41">
        <v>21</v>
      </c>
      <c r="C553" s="41">
        <v>25</v>
      </c>
      <c r="D553" s="36" t="s">
        <v>432</v>
      </c>
      <c r="E553" s="41"/>
      <c r="F553" s="70">
        <f t="shared" ref="F553:K553" si="45">SUM(F550:F552)</f>
        <v>4482017</v>
      </c>
      <c r="G553" s="70">
        <f t="shared" si="45"/>
        <v>693433</v>
      </c>
      <c r="H553" s="70">
        <f t="shared" si="45"/>
        <v>251889</v>
      </c>
      <c r="I553" s="70">
        <f t="shared" si="45"/>
        <v>1822</v>
      </c>
      <c r="J553" s="70">
        <f t="shared" si="45"/>
        <v>111115</v>
      </c>
      <c r="K553" s="70">
        <f t="shared" si="45"/>
        <v>5540276</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8">SUM(G568:G570)</f>
        <v>0</v>
      </c>
      <c r="H571" s="141">
        <f t="shared" si="48"/>
        <v>0</v>
      </c>
      <c r="I571" s="141">
        <f t="shared" si="48"/>
        <v>0</v>
      </c>
      <c r="J571" s="141">
        <f t="shared" si="48"/>
        <v>0</v>
      </c>
      <c r="K571" s="141">
        <f t="shared" si="48"/>
        <v>0</v>
      </c>
      <c r="L571" s="141">
        <f t="shared" si="48"/>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50"/>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c r="G580" s="18"/>
      <c r="H580" s="18"/>
      <c r="I580" s="69">
        <f t="shared" si="50"/>
        <v>0</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50"/>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v>505825</v>
      </c>
      <c r="G583" s="18">
        <v>107799</v>
      </c>
      <c r="H583" s="18">
        <f>829222-613624</f>
        <v>215598</v>
      </c>
      <c r="I583" s="69">
        <f t="shared" si="50"/>
        <v>829222</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v>87434</v>
      </c>
      <c r="I585" s="69">
        <f t="shared" si="50"/>
        <v>87434</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f>270817</f>
        <v>270817</v>
      </c>
      <c r="I592" s="18">
        <v>78120</v>
      </c>
      <c r="J592" s="18">
        <v>171865</v>
      </c>
      <c r="K592" s="80">
        <f t="shared" ref="K592:K598" si="51">SUM(H592:J592)</f>
        <v>520802</v>
      </c>
      <c r="L592" s="23" t="s">
        <v>288</v>
      </c>
      <c r="M592" s="8"/>
      <c r="N592" s="165"/>
    </row>
    <row r="593" spans="1:14" s="3" customFormat="1" ht="12.4" customHeight="1" x14ac:dyDescent="0.15">
      <c r="A593" s="3" t="s">
        <v>638</v>
      </c>
      <c r="B593" s="22">
        <v>23</v>
      </c>
      <c r="C593" s="22">
        <v>2</v>
      </c>
      <c r="D593" s="2" t="s">
        <v>432</v>
      </c>
      <c r="E593" s="22"/>
      <c r="F593" s="78">
        <v>2722</v>
      </c>
      <c r="G593" s="79" t="s">
        <v>97</v>
      </c>
      <c r="H593" s="18">
        <f>66836+1545</f>
        <v>68381</v>
      </c>
      <c r="I593" s="18">
        <f>106614-92369</f>
        <v>14245</v>
      </c>
      <c r="J593" s="18">
        <f>301626-273137</f>
        <v>28489</v>
      </c>
      <c r="K593" s="80">
        <f t="shared" si="51"/>
        <v>111115</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v>54200</v>
      </c>
      <c r="K594" s="80">
        <f t="shared" si="51"/>
        <v>54200</v>
      </c>
      <c r="L594" s="23" t="s">
        <v>288</v>
      </c>
      <c r="M594" s="8"/>
      <c r="N594" s="165"/>
    </row>
    <row r="595" spans="1:14" s="3" customFormat="1" ht="12.4" customHeight="1" x14ac:dyDescent="0.15">
      <c r="A595" s="21" t="s">
        <v>640</v>
      </c>
      <c r="B595" s="22">
        <v>23</v>
      </c>
      <c r="C595" s="22">
        <v>4</v>
      </c>
      <c r="D595" s="2" t="s">
        <v>432</v>
      </c>
      <c r="E595" s="22"/>
      <c r="F595" s="78">
        <v>2724</v>
      </c>
      <c r="G595" s="79" t="s">
        <v>97</v>
      </c>
      <c r="H595" s="18"/>
      <c r="I595" s="18">
        <v>14133</v>
      </c>
      <c r="J595" s="18">
        <v>45117</v>
      </c>
      <c r="K595" s="80">
        <f t="shared" si="51"/>
        <v>59250</v>
      </c>
      <c r="L595" s="23" t="s">
        <v>288</v>
      </c>
      <c r="M595" s="8"/>
      <c r="N595" s="165"/>
    </row>
    <row r="596" spans="1:14" s="3" customFormat="1" ht="12.4" customHeight="1" x14ac:dyDescent="0.15">
      <c r="A596" s="103" t="s">
        <v>652</v>
      </c>
      <c r="B596" s="22">
        <v>23</v>
      </c>
      <c r="C596" s="22">
        <v>5</v>
      </c>
      <c r="D596" s="2" t="s">
        <v>432</v>
      </c>
      <c r="E596" s="22"/>
      <c r="F596" s="78">
        <v>2725</v>
      </c>
      <c r="G596" s="79" t="s">
        <v>97</v>
      </c>
      <c r="H596" s="18">
        <f>2294+1800</f>
        <v>4094</v>
      </c>
      <c r="I596" s="18">
        <v>116</v>
      </c>
      <c r="J596" s="18">
        <v>1955</v>
      </c>
      <c r="K596" s="80">
        <f t="shared" si="51"/>
        <v>6165</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343292</v>
      </c>
      <c r="I599" s="81">
        <f>SUM(I592:I598)</f>
        <v>106614</v>
      </c>
      <c r="J599" s="81">
        <f>SUM(J592:J598)</f>
        <v>301626</v>
      </c>
      <c r="K599" s="81">
        <f>SUM(K592:K598)</f>
        <v>751532</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259307+38842</f>
        <v>298149</v>
      </c>
      <c r="I605" s="18">
        <f>54898+3354</f>
        <v>58252</v>
      </c>
      <c r="J605" s="18">
        <f>128201+7826</f>
        <v>136027</v>
      </c>
      <c r="K605" s="80">
        <f>SUM(H605:J605)</f>
        <v>492428</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298149</v>
      </c>
      <c r="I606" s="81">
        <f>SUM(I603:I605)</f>
        <v>58252</v>
      </c>
      <c r="J606" s="81">
        <f>SUM(J603:J605)</f>
        <v>136027</v>
      </c>
      <c r="K606" s="81">
        <f>SUM(K603:K605)</f>
        <v>492428</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v>30164</v>
      </c>
      <c r="G612" s="18">
        <v>7399</v>
      </c>
      <c r="H612" s="18">
        <v>42464</v>
      </c>
      <c r="I612" s="18">
        <v>89</v>
      </c>
      <c r="J612" s="18"/>
      <c r="K612" s="18"/>
      <c r="L612" s="69">
        <f>SUM(F612:K612)</f>
        <v>80116</v>
      </c>
      <c r="M612" s="8"/>
      <c r="N612" s="165"/>
    </row>
    <row r="613" spans="1:14" s="3" customFormat="1" ht="12.4" customHeight="1" x14ac:dyDescent="0.15">
      <c r="A613" s="21" t="s">
        <v>634</v>
      </c>
      <c r="B613" s="22">
        <v>23</v>
      </c>
      <c r="C613" s="22">
        <v>14</v>
      </c>
      <c r="D613" s="2" t="s">
        <v>432</v>
      </c>
      <c r="E613" s="22"/>
      <c r="F613" s="18">
        <v>8701</v>
      </c>
      <c r="G613" s="18">
        <v>2134</v>
      </c>
      <c r="H613" s="18">
        <v>12249</v>
      </c>
      <c r="I613" s="18">
        <v>26</v>
      </c>
      <c r="J613" s="18"/>
      <c r="K613" s="18"/>
      <c r="L613" s="69">
        <f>SUM(F613:K613)</f>
        <v>23110</v>
      </c>
      <c r="M613" s="8"/>
      <c r="N613" s="165"/>
    </row>
    <row r="614" spans="1:14" s="3" customFormat="1" ht="12.4" customHeight="1" thickBot="1" x14ac:dyDescent="0.2">
      <c r="A614" s="21" t="s">
        <v>645</v>
      </c>
      <c r="B614" s="22">
        <v>23</v>
      </c>
      <c r="C614" s="22">
        <v>15</v>
      </c>
      <c r="D614" s="2" t="s">
        <v>432</v>
      </c>
      <c r="E614" s="22"/>
      <c r="F614" s="18">
        <f>58008-38865</f>
        <v>19143</v>
      </c>
      <c r="G614" s="18">
        <v>4696</v>
      </c>
      <c r="H614" s="18">
        <f>81661-54713</f>
        <v>26948</v>
      </c>
      <c r="I614" s="18">
        <f>172-115</f>
        <v>57</v>
      </c>
      <c r="J614" s="18"/>
      <c r="K614" s="18"/>
      <c r="L614" s="69">
        <f>SUM(F614:K614)</f>
        <v>50844</v>
      </c>
      <c r="M614" s="8"/>
      <c r="N614" s="165"/>
    </row>
    <row r="615" spans="1:14" s="3" customFormat="1" ht="12.4" customHeight="1" thickTop="1" x14ac:dyDescent="0.15">
      <c r="A615" s="75" t="s">
        <v>340</v>
      </c>
      <c r="B615" s="41">
        <v>23</v>
      </c>
      <c r="C615" s="41">
        <v>16</v>
      </c>
      <c r="D615" s="36" t="s">
        <v>432</v>
      </c>
      <c r="E615" s="41"/>
      <c r="F615" s="81">
        <f t="shared" ref="F615:L615" si="52">SUM(F612:F614)</f>
        <v>58008</v>
      </c>
      <c r="G615" s="81">
        <f t="shared" si="52"/>
        <v>14229</v>
      </c>
      <c r="H615" s="81">
        <f t="shared" si="52"/>
        <v>81661</v>
      </c>
      <c r="I615" s="81">
        <f t="shared" si="52"/>
        <v>172</v>
      </c>
      <c r="J615" s="81">
        <f t="shared" si="52"/>
        <v>0</v>
      </c>
      <c r="K615" s="81">
        <f t="shared" si="52"/>
        <v>0</v>
      </c>
      <c r="L615" s="70">
        <f t="shared" si="52"/>
        <v>154070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1969531</v>
      </c>
      <c r="H618" s="80">
        <f>SUM(F52)</f>
        <v>1969531</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100055</v>
      </c>
      <c r="H619" s="80">
        <f>SUM(G52)</f>
        <v>100055</v>
      </c>
      <c r="I619" s="87" t="s">
        <v>875</v>
      </c>
      <c r="J619" s="80">
        <f>G619-H619</f>
        <v>0</v>
      </c>
      <c r="K619" s="80"/>
      <c r="L619" s="80"/>
      <c r="M619" s="8"/>
    </row>
    <row r="620" spans="1:14" s="3" customFormat="1" ht="12.4" customHeight="1" x14ac:dyDescent="0.15">
      <c r="A620" s="74"/>
      <c r="B620" s="22"/>
      <c r="C620" s="22"/>
      <c r="D620" s="22"/>
      <c r="E620" s="22"/>
      <c r="F620" s="87" t="s">
        <v>685</v>
      </c>
      <c r="G620" s="80">
        <f>SUM(H19)</f>
        <v>212984</v>
      </c>
      <c r="H620" s="80">
        <f>SUM(H52)</f>
        <v>212984</v>
      </c>
      <c r="I620" s="87" t="s">
        <v>876</v>
      </c>
      <c r="J620" s="80">
        <f>G620-H620</f>
        <v>0</v>
      </c>
      <c r="K620" s="80"/>
      <c r="L620" s="80"/>
      <c r="M620" s="8"/>
    </row>
    <row r="621" spans="1:14" s="3" customFormat="1" ht="12.4" customHeight="1" x14ac:dyDescent="0.15">
      <c r="A621" s="74"/>
      <c r="B621" s="22"/>
      <c r="C621" s="22"/>
      <c r="D621" s="22"/>
      <c r="E621" s="22"/>
      <c r="F621" s="87" t="s">
        <v>686</v>
      </c>
      <c r="G621" s="80">
        <f>SUM(I19)</f>
        <v>262704</v>
      </c>
      <c r="H621" s="80">
        <f>SUM(I52)</f>
        <v>262704</v>
      </c>
      <c r="I621" s="87" t="s">
        <v>877</v>
      </c>
      <c r="J621" s="80">
        <f>G621-H621</f>
        <v>0</v>
      </c>
      <c r="K621" s="80"/>
      <c r="L621" s="80"/>
      <c r="M621" s="8"/>
    </row>
    <row r="622" spans="1:14" s="3" customFormat="1" ht="12.4" customHeight="1" x14ac:dyDescent="0.15">
      <c r="A622" s="74"/>
      <c r="B622" s="22"/>
      <c r="C622" s="22"/>
      <c r="D622" s="22"/>
      <c r="E622" s="22"/>
      <c r="F622" s="87" t="s">
        <v>687</v>
      </c>
      <c r="G622" s="80">
        <f>SUM(J19)</f>
        <v>868511</v>
      </c>
      <c r="H622" s="80">
        <f>SUM(J52)</f>
        <v>868511</v>
      </c>
      <c r="I622" s="87" t="s">
        <v>878</v>
      </c>
      <c r="J622" s="80">
        <f>G622-H622</f>
        <v>0</v>
      </c>
      <c r="K622" s="80"/>
      <c r="L622" s="80"/>
      <c r="M622" s="8"/>
    </row>
    <row r="623" spans="1:14" s="3" customFormat="1" ht="12.4" customHeight="1" x14ac:dyDescent="0.15">
      <c r="A623" s="74"/>
      <c r="B623" s="22"/>
      <c r="C623" s="22"/>
      <c r="D623" s="22"/>
      <c r="E623" s="22"/>
      <c r="F623" s="87" t="s">
        <v>864</v>
      </c>
      <c r="G623" s="80">
        <f>F51</f>
        <v>1581924</v>
      </c>
      <c r="H623" s="80">
        <f>F477</f>
        <v>1581924</v>
      </c>
      <c r="I623" s="87" t="s">
        <v>101</v>
      </c>
      <c r="J623" s="80">
        <f t="shared" ref="J623:J656" si="53">G623-H623</f>
        <v>0</v>
      </c>
      <c r="K623" s="80"/>
      <c r="L623" s="80"/>
      <c r="M623" s="8"/>
    </row>
    <row r="624" spans="1:14" s="3" customFormat="1" ht="12.4" customHeight="1" x14ac:dyDescent="0.15">
      <c r="A624" s="74"/>
      <c r="B624" s="22"/>
      <c r="C624" s="85"/>
      <c r="D624" s="85"/>
      <c r="E624" s="85"/>
      <c r="F624" s="85" t="s">
        <v>865</v>
      </c>
      <c r="G624" s="80">
        <f>G51</f>
        <v>81037</v>
      </c>
      <c r="H624" s="80">
        <f>G477</f>
        <v>81037</v>
      </c>
      <c r="I624" s="87" t="s">
        <v>102</v>
      </c>
      <c r="J624" s="80">
        <f t="shared" si="53"/>
        <v>0</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4" customHeight="1" x14ac:dyDescent="0.15">
      <c r="A626" s="74"/>
      <c r="B626" s="22"/>
      <c r="C626" s="22"/>
      <c r="D626" s="22"/>
      <c r="E626" s="22"/>
      <c r="F626" s="86" t="s">
        <v>867</v>
      </c>
      <c r="G626" s="80">
        <f>I51</f>
        <v>262704</v>
      </c>
      <c r="H626" s="80">
        <f>I477</f>
        <v>262704</v>
      </c>
      <c r="I626" s="87" t="s">
        <v>104</v>
      </c>
      <c r="J626" s="80">
        <f t="shared" si="53"/>
        <v>0</v>
      </c>
      <c r="K626" s="80"/>
      <c r="L626" s="80"/>
      <c r="M626" s="8"/>
    </row>
    <row r="627" spans="1:13" s="3" customFormat="1" ht="12.4" customHeight="1" x14ac:dyDescent="0.15">
      <c r="A627" s="21"/>
      <c r="B627" s="22"/>
      <c r="C627" s="22"/>
      <c r="D627" s="22"/>
      <c r="E627" s="22"/>
      <c r="F627" s="86" t="s">
        <v>868</v>
      </c>
      <c r="G627" s="80">
        <f>J51</f>
        <v>856214</v>
      </c>
      <c r="H627" s="80">
        <f>J477</f>
        <v>856214</v>
      </c>
      <c r="I627" s="87" t="s">
        <v>105</v>
      </c>
      <c r="J627" s="80">
        <f t="shared" si="53"/>
        <v>0</v>
      </c>
      <c r="K627" s="67"/>
      <c r="L627" s="69"/>
      <c r="M627" s="8"/>
    </row>
    <row r="628" spans="1:13" s="3" customFormat="1" ht="12.4" customHeight="1" x14ac:dyDescent="0.15">
      <c r="A628" s="21"/>
      <c r="B628" s="22"/>
      <c r="C628" s="22"/>
      <c r="D628" s="22"/>
      <c r="E628" s="22"/>
      <c r="F628" s="86" t="s">
        <v>658</v>
      </c>
      <c r="G628" s="80">
        <f>F194</f>
        <v>21454555</v>
      </c>
      <c r="H628" s="80">
        <f>SUM(F469)</f>
        <v>21454555</v>
      </c>
      <c r="I628" s="87" t="s">
        <v>106</v>
      </c>
      <c r="J628" s="80">
        <f>G628-H628</f>
        <v>0</v>
      </c>
      <c r="K628" s="67"/>
      <c r="L628" s="69"/>
      <c r="M628" s="8"/>
    </row>
    <row r="629" spans="1:13" s="3" customFormat="1" ht="12.4" customHeight="1" x14ac:dyDescent="0.15">
      <c r="A629" s="21"/>
      <c r="B629" s="22"/>
      <c r="C629" s="22"/>
      <c r="D629" s="22"/>
      <c r="E629" s="22"/>
      <c r="F629" s="86" t="s">
        <v>659</v>
      </c>
      <c r="G629" s="80">
        <f>G194</f>
        <v>512528</v>
      </c>
      <c r="H629" s="80">
        <f>SUM(G469)</f>
        <v>512528</v>
      </c>
      <c r="I629" s="87" t="s">
        <v>107</v>
      </c>
      <c r="J629" s="80">
        <f>G629-H629</f>
        <v>0</v>
      </c>
      <c r="K629" s="67"/>
      <c r="L629" s="69"/>
      <c r="M629" s="8"/>
    </row>
    <row r="630" spans="1:13" s="3" customFormat="1" ht="12.4" customHeight="1" x14ac:dyDescent="0.15">
      <c r="A630" s="21"/>
      <c r="B630" s="22"/>
      <c r="C630" s="22"/>
      <c r="D630" s="22"/>
      <c r="E630" s="22"/>
      <c r="F630" s="86" t="s">
        <v>660</v>
      </c>
      <c r="G630" s="80">
        <f>H194</f>
        <v>845081</v>
      </c>
      <c r="H630" s="80">
        <f>SUM(H469)</f>
        <v>845081</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543022</v>
      </c>
      <c r="H632" s="80">
        <f>SUM(J469)</f>
        <v>543022</v>
      </c>
      <c r="I632" s="87" t="s">
        <v>110</v>
      </c>
      <c r="J632" s="80">
        <f>G632-H632</f>
        <v>0</v>
      </c>
      <c r="K632" s="67"/>
      <c r="L632" s="69"/>
      <c r="M632" s="8"/>
    </row>
    <row r="633" spans="1:13" s="3" customFormat="1" ht="12.4" customHeight="1" x14ac:dyDescent="0.15">
      <c r="A633" s="21"/>
      <c r="B633" s="22"/>
      <c r="C633" s="22"/>
      <c r="D633" s="22"/>
      <c r="E633" s="22"/>
      <c r="F633" s="86" t="s">
        <v>394</v>
      </c>
      <c r="G633" s="80">
        <f>SUM(L272)</f>
        <v>22182228</v>
      </c>
      <c r="H633" s="80">
        <f>SUM(F473)</f>
        <v>22182228</v>
      </c>
      <c r="I633" s="87" t="s">
        <v>111</v>
      </c>
      <c r="J633" s="80">
        <f t="shared" si="53"/>
        <v>0</v>
      </c>
      <c r="K633" s="67"/>
      <c r="L633" s="69"/>
      <c r="M633" s="8"/>
    </row>
    <row r="634" spans="1:13" s="3" customFormat="1" ht="12.4" customHeight="1" x14ac:dyDescent="0.15">
      <c r="A634" s="21"/>
      <c r="B634" s="22"/>
      <c r="C634" s="22"/>
      <c r="D634" s="22"/>
      <c r="E634" s="22"/>
      <c r="F634" s="86" t="s">
        <v>395</v>
      </c>
      <c r="G634" s="80">
        <f>SUM(L353)</f>
        <v>845081</v>
      </c>
      <c r="H634" s="80">
        <f>SUM(H473)</f>
        <v>845081</v>
      </c>
      <c r="I634" s="87" t="s">
        <v>112</v>
      </c>
      <c r="J634" s="80">
        <f>G634-H634</f>
        <v>0</v>
      </c>
      <c r="K634" s="67"/>
      <c r="L634" s="69"/>
      <c r="M634" s="8"/>
    </row>
    <row r="635" spans="1:13" s="124" customFormat="1" ht="12.4" customHeight="1" x14ac:dyDescent="0.15">
      <c r="A635" s="21"/>
      <c r="B635" s="22"/>
      <c r="C635" s="22"/>
      <c r="D635" s="22"/>
      <c r="E635" s="22"/>
      <c r="F635" s="99" t="s">
        <v>247</v>
      </c>
      <c r="G635" s="80">
        <f>I363</f>
        <v>232524</v>
      </c>
      <c r="H635" s="80">
        <f>I370</f>
        <v>232524</v>
      </c>
      <c r="I635" s="100" t="s">
        <v>248</v>
      </c>
      <c r="J635" s="80">
        <f>G635-H635</f>
        <v>0</v>
      </c>
      <c r="K635" s="67"/>
      <c r="L635" s="69"/>
      <c r="M635" s="123"/>
    </row>
    <row r="636" spans="1:13" s="124" customFormat="1" ht="12.4" customHeight="1" x14ac:dyDescent="0.15">
      <c r="A636" s="21"/>
      <c r="B636" s="22"/>
      <c r="C636" s="22"/>
      <c r="D636" s="22"/>
      <c r="E636" s="22"/>
      <c r="F636" s="86" t="s">
        <v>113</v>
      </c>
      <c r="G636" s="80">
        <f>SUM(L363)</f>
        <v>546515</v>
      </c>
      <c r="H636" s="80">
        <f>SUM(G473)</f>
        <v>546515</v>
      </c>
      <c r="I636" s="87" t="s">
        <v>114</v>
      </c>
      <c r="J636" s="80">
        <f t="shared" si="53"/>
        <v>0</v>
      </c>
      <c r="K636" s="67"/>
      <c r="L636" s="69"/>
      <c r="M636" s="123"/>
    </row>
    <row r="637" spans="1:13" s="3" customFormat="1" ht="12.4" customHeight="1" x14ac:dyDescent="0.15">
      <c r="A637" s="21"/>
      <c r="B637" s="22"/>
      <c r="C637" s="22"/>
      <c r="D637" s="22"/>
      <c r="E637" s="22"/>
      <c r="F637" s="86" t="s">
        <v>115</v>
      </c>
      <c r="G637" s="80">
        <f>SUM(L383)</f>
        <v>226113</v>
      </c>
      <c r="H637" s="80">
        <f>SUM(I473)</f>
        <v>226113</v>
      </c>
      <c r="I637" s="87" t="s">
        <v>116</v>
      </c>
      <c r="J637" s="80">
        <f t="shared" si="53"/>
        <v>0</v>
      </c>
      <c r="K637" s="67"/>
      <c r="L637" s="69"/>
      <c r="M637" s="8"/>
    </row>
    <row r="638" spans="1:13" s="3" customFormat="1" ht="12.4" customHeight="1" x14ac:dyDescent="0.15">
      <c r="A638" s="117"/>
      <c r="B638" s="118"/>
      <c r="C638" s="118"/>
      <c r="D638" s="118"/>
      <c r="E638" s="118"/>
      <c r="F638" s="119" t="s">
        <v>477</v>
      </c>
      <c r="G638" s="108">
        <f>SUM(L409)</f>
        <v>543022</v>
      </c>
      <c r="H638" s="108">
        <f>SUM(J469)</f>
        <v>543022</v>
      </c>
      <c r="I638" s="120" t="s">
        <v>110</v>
      </c>
      <c r="J638" s="108">
        <f t="shared" si="53"/>
        <v>0</v>
      </c>
      <c r="K638" s="121"/>
      <c r="L638" s="122"/>
      <c r="M638" s="8"/>
    </row>
    <row r="639" spans="1:13" s="3" customFormat="1" ht="12.4" customHeight="1" x14ac:dyDescent="0.15">
      <c r="A639" s="117"/>
      <c r="B639" s="118"/>
      <c r="C639" s="118"/>
      <c r="D639" s="118"/>
      <c r="E639" s="118"/>
      <c r="F639" s="119" t="s">
        <v>478</v>
      </c>
      <c r="G639" s="108">
        <f>SUM(L435)</f>
        <v>219582</v>
      </c>
      <c r="H639" s="108">
        <f>SUM(J473)</f>
        <v>219582</v>
      </c>
      <c r="I639" s="120" t="s">
        <v>117</v>
      </c>
      <c r="J639" s="108">
        <f t="shared" si="53"/>
        <v>0</v>
      </c>
      <c r="K639" s="121"/>
      <c r="L639" s="122"/>
      <c r="M639" s="8"/>
    </row>
    <row r="640" spans="1:13" s="3" customFormat="1" ht="12.4" customHeight="1" x14ac:dyDescent="0.15">
      <c r="A640" s="21"/>
      <c r="B640" s="22"/>
      <c r="C640" s="22"/>
      <c r="D640" s="22"/>
      <c r="E640" s="22"/>
      <c r="F640" s="86" t="s">
        <v>118</v>
      </c>
      <c r="G640" s="80">
        <f>SUM(F447)</f>
        <v>277745</v>
      </c>
      <c r="H640" s="80">
        <f>SUM(F462)</f>
        <v>277745</v>
      </c>
      <c r="I640" s="87" t="s">
        <v>840</v>
      </c>
      <c r="J640" s="80">
        <f t="shared" si="53"/>
        <v>0</v>
      </c>
      <c r="K640" s="67"/>
      <c r="L640" s="69"/>
      <c r="M640" s="8"/>
    </row>
    <row r="641" spans="1:13" s="3" customFormat="1" ht="12.4" customHeight="1" x14ac:dyDescent="0.15">
      <c r="A641" s="21"/>
      <c r="B641" s="22"/>
      <c r="C641" s="22"/>
      <c r="D641" s="22"/>
      <c r="E641" s="22"/>
      <c r="F641" s="86" t="s">
        <v>119</v>
      </c>
      <c r="G641" s="80">
        <f>SUM(G447)</f>
        <v>590766</v>
      </c>
      <c r="H641" s="80">
        <f>SUM(G462)</f>
        <v>590766</v>
      </c>
      <c r="I641" s="87" t="s">
        <v>841</v>
      </c>
      <c r="J641" s="80">
        <f t="shared" si="53"/>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4" customHeight="1" x14ac:dyDescent="0.15">
      <c r="A643" s="21"/>
      <c r="B643" s="22"/>
      <c r="C643" s="22"/>
      <c r="D643" s="22"/>
      <c r="E643" s="22"/>
      <c r="F643" s="86" t="s">
        <v>121</v>
      </c>
      <c r="G643" s="80">
        <f>SUM(I447)</f>
        <v>868511</v>
      </c>
      <c r="H643" s="80">
        <f>SUM(I462)</f>
        <v>868511</v>
      </c>
      <c r="I643" s="87" t="s">
        <v>843</v>
      </c>
      <c r="J643" s="80">
        <f t="shared" si="53"/>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4" customHeight="1" x14ac:dyDescent="0.15">
      <c r="A645" s="21"/>
      <c r="B645" s="22"/>
      <c r="C645" s="22"/>
      <c r="D645" s="22"/>
      <c r="E645" s="22"/>
      <c r="F645" s="86" t="s">
        <v>663</v>
      </c>
      <c r="G645" s="80">
        <f>J96</f>
        <v>18022</v>
      </c>
      <c r="H645" s="80">
        <f>H409</f>
        <v>18022</v>
      </c>
      <c r="I645" s="87" t="s">
        <v>480</v>
      </c>
      <c r="J645" s="80">
        <f t="shared" si="53"/>
        <v>0</v>
      </c>
      <c r="K645" s="67"/>
      <c r="L645" s="69"/>
      <c r="M645" s="8"/>
    </row>
    <row r="646" spans="1:13" s="3" customFormat="1" ht="12.4" customHeight="1" x14ac:dyDescent="0.15">
      <c r="A646" s="21"/>
      <c r="B646" s="22"/>
      <c r="C646" s="22"/>
      <c r="D646" s="22"/>
      <c r="E646" s="22"/>
      <c r="F646" s="86" t="s">
        <v>664</v>
      </c>
      <c r="G646" s="80">
        <f>J184</f>
        <v>525000</v>
      </c>
      <c r="H646" s="80">
        <f>G409</f>
        <v>525000</v>
      </c>
      <c r="I646" s="87" t="s">
        <v>481</v>
      </c>
      <c r="J646" s="80">
        <f t="shared" si="53"/>
        <v>0</v>
      </c>
      <c r="K646" s="67"/>
      <c r="L646" s="69"/>
      <c r="M646" s="8"/>
    </row>
    <row r="647" spans="1:13" s="3" customFormat="1" ht="12.4" customHeight="1" x14ac:dyDescent="0.15">
      <c r="A647" s="21"/>
      <c r="B647" s="22"/>
      <c r="C647" s="22"/>
      <c r="D647" s="22"/>
      <c r="E647" s="22"/>
      <c r="F647" s="86" t="s">
        <v>662</v>
      </c>
      <c r="G647" s="80">
        <f>J194</f>
        <v>543022</v>
      </c>
      <c r="H647" s="80">
        <f>L409</f>
        <v>543022</v>
      </c>
      <c r="I647" s="87" t="s">
        <v>477</v>
      </c>
      <c r="J647" s="80">
        <f t="shared" si="53"/>
        <v>0</v>
      </c>
      <c r="K647" s="67"/>
      <c r="L647" s="69"/>
      <c r="M647" s="8"/>
    </row>
    <row r="648" spans="1:13" s="3" customFormat="1" ht="12.4" customHeight="1" x14ac:dyDescent="0.15">
      <c r="A648" s="21"/>
      <c r="B648" s="22"/>
      <c r="C648" s="22"/>
      <c r="D648" s="22"/>
      <c r="E648" s="22"/>
      <c r="F648" s="86" t="s">
        <v>51</v>
      </c>
      <c r="G648" s="80">
        <f>K599</f>
        <v>751532</v>
      </c>
      <c r="H648" s="80">
        <f>L209+L227+L245</f>
        <v>751532</v>
      </c>
      <c r="I648" s="87" t="s">
        <v>396</v>
      </c>
      <c r="J648" s="80">
        <f t="shared" si="53"/>
        <v>0</v>
      </c>
      <c r="K648" s="67"/>
      <c r="L648" s="69"/>
      <c r="M648" s="8"/>
    </row>
    <row r="649" spans="1:13" s="3" customFormat="1" ht="12.4" customHeight="1" x14ac:dyDescent="0.15">
      <c r="A649" s="21"/>
      <c r="B649" s="22"/>
      <c r="C649" s="22"/>
      <c r="D649" s="22"/>
      <c r="E649" s="22"/>
      <c r="F649" s="86" t="s">
        <v>52</v>
      </c>
      <c r="G649" s="80">
        <f>K606</f>
        <v>492428</v>
      </c>
      <c r="H649" s="80">
        <f>(J258+J339)-(J256+J337)</f>
        <v>492428</v>
      </c>
      <c r="I649" s="87" t="s">
        <v>699</v>
      </c>
      <c r="J649" s="80">
        <f t="shared" si="53"/>
        <v>0</v>
      </c>
      <c r="K649" s="67"/>
      <c r="L649" s="69"/>
      <c r="M649" s="8"/>
    </row>
    <row r="650" spans="1:13" s="3" customFormat="1" ht="12.4" customHeight="1" x14ac:dyDescent="0.15">
      <c r="A650" s="21"/>
      <c r="B650" s="22"/>
      <c r="C650" s="22"/>
      <c r="D650" s="22"/>
      <c r="E650" s="22"/>
      <c r="F650" s="86" t="s">
        <v>387</v>
      </c>
      <c r="G650" s="80">
        <f>L209</f>
        <v>343292</v>
      </c>
      <c r="H650" s="80">
        <f>H599</f>
        <v>343292</v>
      </c>
      <c r="I650" s="87" t="s">
        <v>388</v>
      </c>
      <c r="J650" s="80">
        <f t="shared" si="53"/>
        <v>0</v>
      </c>
      <c r="K650" s="67"/>
      <c r="L650" s="69"/>
      <c r="M650" s="8"/>
    </row>
    <row r="651" spans="1:13" s="3" customFormat="1" ht="12.4" customHeight="1" x14ac:dyDescent="0.15">
      <c r="A651" s="21"/>
      <c r="B651" s="22"/>
      <c r="C651" s="22"/>
      <c r="D651" s="22"/>
      <c r="E651" s="22"/>
      <c r="F651" s="86" t="s">
        <v>392</v>
      </c>
      <c r="G651" s="80">
        <f>L227</f>
        <v>106614</v>
      </c>
      <c r="H651" s="80">
        <f>I599</f>
        <v>106614</v>
      </c>
      <c r="I651" s="87" t="s">
        <v>389</v>
      </c>
      <c r="J651" s="80">
        <f t="shared" si="53"/>
        <v>0</v>
      </c>
      <c r="K651" s="67"/>
      <c r="L651" s="69"/>
      <c r="M651" s="8"/>
    </row>
    <row r="652" spans="1:13" s="3" customFormat="1" ht="12.4" customHeight="1" x14ac:dyDescent="0.15">
      <c r="A652" s="21"/>
      <c r="B652" s="22"/>
      <c r="C652" s="22"/>
      <c r="D652" s="22"/>
      <c r="E652" s="22"/>
      <c r="F652" s="86" t="s">
        <v>393</v>
      </c>
      <c r="G652" s="80">
        <f>L245</f>
        <v>301626</v>
      </c>
      <c r="H652" s="80">
        <f>J599</f>
        <v>301626</v>
      </c>
      <c r="I652" s="87" t="s">
        <v>390</v>
      </c>
      <c r="J652" s="80">
        <f t="shared" si="53"/>
        <v>0</v>
      </c>
      <c r="K652" s="67"/>
      <c r="L652" s="69"/>
      <c r="M652" s="8"/>
    </row>
    <row r="653" spans="1:13" s="3" customFormat="1" ht="12.4"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4" customHeight="1" x14ac:dyDescent="0.15">
      <c r="A654" s="21"/>
      <c r="B654" s="22"/>
      <c r="C654" s="22"/>
      <c r="D654" s="22"/>
      <c r="E654" s="22"/>
      <c r="F654" s="86" t="s">
        <v>666</v>
      </c>
      <c r="G654" s="80">
        <f>H180</f>
        <v>46994</v>
      </c>
      <c r="H654" s="80">
        <f>K265</f>
        <v>46994</v>
      </c>
      <c r="I654" s="87" t="s">
        <v>398</v>
      </c>
      <c r="J654" s="80">
        <f t="shared" si="53"/>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4" customHeight="1" x14ac:dyDescent="0.15">
      <c r="A656" s="21"/>
      <c r="B656" s="22"/>
      <c r="C656" s="22"/>
      <c r="D656" s="22"/>
      <c r="E656" s="22"/>
      <c r="F656" s="86" t="s">
        <v>668</v>
      </c>
      <c r="G656" s="80">
        <f>J180+J182</f>
        <v>525000</v>
      </c>
      <c r="H656" s="80">
        <f>K267+K348</f>
        <v>525000</v>
      </c>
      <c r="I656" s="87" t="s">
        <v>400</v>
      </c>
      <c r="J656" s="80">
        <f t="shared" si="53"/>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11981372</v>
      </c>
      <c r="G661" s="13">
        <f>(L230+L310+L360)</f>
        <v>3293106</v>
      </c>
      <c r="H661" s="13">
        <f>(L248+L329+L361)</f>
        <v>7041665</v>
      </c>
      <c r="I661" s="13">
        <f>SUM(F661:H661)</f>
        <v>22316143</v>
      </c>
      <c r="J661" s="13"/>
      <c r="K661" s="13"/>
      <c r="L661" s="13"/>
      <c r="M661" s="9"/>
    </row>
    <row r="662" spans="1:13" s="3" customFormat="1" ht="12.4" customHeight="1" x14ac:dyDescent="0.2">
      <c r="A662" s="1" t="s">
        <v>127</v>
      </c>
      <c r="F662" s="13">
        <f>(L359/IF(SUM(L359:L361)=0,1,SUM(L359:L361))*(SUM(G97:G110)))</f>
        <v>168613.56801734629</v>
      </c>
      <c r="G662" s="13">
        <f>(L360/IF(SUM(L359:L361)=0,1,SUM(L359:L361))*(SUM(G97:G110)))</f>
        <v>53106.093843718838</v>
      </c>
      <c r="H662" s="13">
        <f>(L361/IF(SUM(L359:L361)=0,1,SUM(L359:L361))*(SUM(G97:G110)))</f>
        <v>123249.33813893489</v>
      </c>
      <c r="I662" s="13">
        <f>SUM(F662:H662)</f>
        <v>344969</v>
      </c>
      <c r="J662"/>
      <c r="K662" s="13"/>
      <c r="L662" s="13"/>
      <c r="M662" s="8"/>
    </row>
    <row r="663" spans="1:13" s="3" customFormat="1" ht="12.4" customHeight="1" x14ac:dyDescent="0.2">
      <c r="A663" s="1" t="s">
        <v>128</v>
      </c>
      <c r="F663" s="13">
        <f>(L209+L288)-(J209+J288)</f>
        <v>343485</v>
      </c>
      <c r="G663" s="13">
        <f>(L227+L307)-(J227+J307)</f>
        <v>106614</v>
      </c>
      <c r="H663" s="13">
        <f>(L245+L326)-(J245+J326)</f>
        <v>301626</v>
      </c>
      <c r="I663" s="13">
        <f>SUM(F663:H663)</f>
        <v>751725</v>
      </c>
      <c r="J663"/>
      <c r="K663" s="13"/>
      <c r="L663" s="13"/>
      <c r="M663" s="9"/>
    </row>
    <row r="664" spans="1:13" s="3" customFormat="1" ht="12.4" customHeight="1" x14ac:dyDescent="0.15">
      <c r="A664" s="142" t="s">
        <v>129</v>
      </c>
      <c r="B664" s="124"/>
      <c r="C664" s="124"/>
      <c r="D664" s="124"/>
      <c r="E664" s="124"/>
      <c r="F664" s="143">
        <f>SUM(F576:F588)+SUM(H603:H605)+SUM(L612)</f>
        <v>884090</v>
      </c>
      <c r="G664" s="143">
        <f>SUM(G576:G588)+SUM(I603:I605)+L613</f>
        <v>189161</v>
      </c>
      <c r="H664" s="143">
        <f>SUM(H576:H588)+SUM(J603:J605)+L614</f>
        <v>489903</v>
      </c>
      <c r="I664" s="13">
        <f>SUM(F664:H664)</f>
        <v>1563154</v>
      </c>
      <c r="J664" s="13"/>
      <c r="K664" s="13"/>
      <c r="L664" s="13"/>
      <c r="M664" s="9"/>
    </row>
    <row r="665" spans="1:13" s="3" customFormat="1" ht="12.4" customHeight="1" x14ac:dyDescent="0.15">
      <c r="A665" s="1" t="s">
        <v>130</v>
      </c>
      <c r="F665" s="13">
        <f>F661-SUM(F662:F664)</f>
        <v>10585183.431982653</v>
      </c>
      <c r="G665" s="13">
        <f>G661-SUM(G662:G664)</f>
        <v>2944224.906156281</v>
      </c>
      <c r="H665" s="13">
        <f>H661-SUM(H662:H664)</f>
        <v>6126886.6618610648</v>
      </c>
      <c r="I665" s="13">
        <f>I661-SUM(I662:I664)</f>
        <v>19656295</v>
      </c>
      <c r="J665" s="13"/>
      <c r="K665" s="13"/>
      <c r="L665" s="13"/>
      <c r="M665" s="8"/>
    </row>
    <row r="666" spans="1:13" s="3" customFormat="1" ht="12.4" customHeight="1" x14ac:dyDescent="0.2">
      <c r="A666" s="1" t="s">
        <v>131</v>
      </c>
      <c r="F666" s="183">
        <v>471.68</v>
      </c>
      <c r="G666" s="184">
        <v>133.16999999999999</v>
      </c>
      <c r="H666" s="184">
        <v>302.08</v>
      </c>
      <c r="I666" s="13">
        <f>SUM(F666:H666)</f>
        <v>906.93000000000006</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22441.45</v>
      </c>
      <c r="G668" s="13">
        <f>ROUND(G665/G666,2)</f>
        <v>22108.77</v>
      </c>
      <c r="H668" s="13">
        <f>ROUND(H665/H666,2)</f>
        <v>20282.330000000002</v>
      </c>
      <c r="I668" s="13">
        <f>ROUND(I665/I666,2)</f>
        <v>21673.439999999999</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4" customHeight="1" x14ac:dyDescent="0.15">
      <c r="A671" s="1" t="s">
        <v>135</v>
      </c>
      <c r="F671" s="18"/>
      <c r="G671" s="18"/>
      <c r="H671" s="18">
        <v>-9.2200000000000006</v>
      </c>
      <c r="I671" s="13">
        <f>SUM(F671:H671)</f>
        <v>-9.2200000000000006</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22441.45</v>
      </c>
      <c r="G673" s="13">
        <f>ROUND((G665+G670)/(G666+G671),2)</f>
        <v>22108.77</v>
      </c>
      <c r="H673" s="13">
        <f>ROUND((H665+H670)/(H666+H671),2)</f>
        <v>20920.87</v>
      </c>
      <c r="I673" s="13">
        <f>ROUND((I665+I670)/(I666+I671),2)</f>
        <v>21896.04</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6" zoomScaleNormal="100" workbookViewId="0">
      <selection activeCell="E10" sqref="E10"/>
    </sheetView>
  </sheetViews>
  <sheetFormatPr defaultColWidth="9.33203125" defaultRowHeight="15" x14ac:dyDescent="0.25"/>
  <cols>
    <col min="1" max="2" width="9.33203125" style="259"/>
    <col min="3" max="3" width="154.33203125" style="259" customWidth="1"/>
    <col min="4" max="4" width="9.33203125" style="259"/>
    <col min="5" max="5" width="14" style="259" customWidth="1"/>
    <col min="6" max="6" width="13"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53867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31057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458+13002+9350</f>
        <v>22810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 customWidth="1"/>
    <col min="6" max="6" width="46.6640625" customWidth="1"/>
    <col min="9" max="9" width="8"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Hopkinton</v>
      </c>
      <c r="C5" s="317"/>
      <c r="D5" s="317"/>
      <c r="E5" s="317"/>
      <c r="F5" s="317"/>
    </row>
    <row r="8" spans="1:9" ht="18" x14ac:dyDescent="0.25">
      <c r="A8" s="240" t="s">
        <v>1560</v>
      </c>
      <c r="F8" s="247" t="s">
        <v>1578</v>
      </c>
    </row>
    <row r="9" spans="1:9" ht="15" x14ac:dyDescent="0.2">
      <c r="A9" s="238" t="s">
        <v>1561</v>
      </c>
      <c r="B9" s="241">
        <f>'DOE25'!G97</f>
        <v>340971</v>
      </c>
      <c r="F9" s="238" t="s">
        <v>1574</v>
      </c>
    </row>
    <row r="10" spans="1:9" ht="15" x14ac:dyDescent="0.2">
      <c r="A10" s="238" t="s">
        <v>1562</v>
      </c>
      <c r="B10" s="241">
        <f>'DOE25'!G112-'DOE25'!G97</f>
        <v>3998</v>
      </c>
      <c r="F10" s="238" t="s">
        <v>1575</v>
      </c>
    </row>
    <row r="11" spans="1:9" ht="15" x14ac:dyDescent="0.2">
      <c r="A11" s="238" t="s">
        <v>1563</v>
      </c>
      <c r="B11" s="241">
        <f>'DOE25'!G140</f>
        <v>47224</v>
      </c>
      <c r="F11" s="238" t="s">
        <v>1576</v>
      </c>
    </row>
    <row r="12" spans="1:9" ht="15" x14ac:dyDescent="0.2">
      <c r="A12" s="238" t="s">
        <v>1564</v>
      </c>
      <c r="B12" s="241">
        <f>'DOE25'!G170</f>
        <v>120335</v>
      </c>
      <c r="F12" s="238" t="s">
        <v>1577</v>
      </c>
    </row>
    <row r="13" spans="1:9" ht="15" x14ac:dyDescent="0.2">
      <c r="A13" s="238" t="s">
        <v>1565</v>
      </c>
      <c r="B13" s="241">
        <f>'DOE25'!G193-'DOE25'!G180</f>
        <v>0</v>
      </c>
      <c r="F13" s="238" t="s">
        <v>1587</v>
      </c>
    </row>
    <row r="14" spans="1:9" ht="18" x14ac:dyDescent="0.25">
      <c r="A14" s="240" t="s">
        <v>732</v>
      </c>
      <c r="B14" s="242">
        <f>SUM(B9:B13)</f>
        <v>512528</v>
      </c>
    </row>
    <row r="16" spans="1:9" ht="18" x14ac:dyDescent="0.25">
      <c r="A16" s="240" t="s">
        <v>786</v>
      </c>
      <c r="F16" s="247" t="s">
        <v>1579</v>
      </c>
    </row>
    <row r="17" spans="1:6" ht="15" x14ac:dyDescent="0.2">
      <c r="A17" s="238" t="s">
        <v>1566</v>
      </c>
      <c r="B17" s="241">
        <f>'DOE25'!L363-'DOE25'!L362</f>
        <v>546515</v>
      </c>
      <c r="F17" s="238" t="s">
        <v>1580</v>
      </c>
    </row>
    <row r="18" spans="1:6" ht="15" x14ac:dyDescent="0.2">
      <c r="A18" s="238" t="s">
        <v>1567</v>
      </c>
      <c r="B18" s="251"/>
      <c r="F18" s="247" t="s">
        <v>1604</v>
      </c>
    </row>
    <row r="19" spans="1:6" ht="18" x14ac:dyDescent="0.25">
      <c r="A19" s="240" t="s">
        <v>725</v>
      </c>
      <c r="B19" s="242">
        <f>SUM(B17:B18)</f>
        <v>546515</v>
      </c>
    </row>
    <row r="21" spans="1:6" ht="18.75" thickBot="1" x14ac:dyDescent="0.3">
      <c r="A21" s="240" t="s">
        <v>1568</v>
      </c>
    </row>
    <row r="22" spans="1:6" ht="18.75" thickTop="1" x14ac:dyDescent="0.25">
      <c r="A22" s="240" t="s">
        <v>1569</v>
      </c>
      <c r="B22" s="246">
        <f>B14-B19</f>
        <v>-33987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115024</v>
      </c>
      <c r="F31" s="238" t="s">
        <v>1584</v>
      </c>
    </row>
    <row r="33" spans="1:6" ht="15" x14ac:dyDescent="0.2">
      <c r="A33" s="238" t="s">
        <v>1798</v>
      </c>
      <c r="B33" s="241">
        <f>'DOE25'!G477</f>
        <v>81037</v>
      </c>
      <c r="F33" s="238" t="s">
        <v>1585</v>
      </c>
    </row>
    <row r="36" spans="1:6" ht="15" x14ac:dyDescent="0.2">
      <c r="A36" s="238" t="s">
        <v>1571</v>
      </c>
      <c r="B36" s="252">
        <v>21783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6640625" customWidth="1"/>
    <col min="3" max="3" width="29.33203125" customWidth="1"/>
  </cols>
  <sheetData>
    <row r="1" spans="1:3" x14ac:dyDescent="0.2">
      <c r="A1" s="171" t="s">
        <v>781</v>
      </c>
      <c r="B1" s="170" t="str">
        <f>'DOE25'!A2</f>
        <v>Hopkinton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5501587</v>
      </c>
      <c r="C9" s="167">
        <f>'DOE25'!G198+'DOE25'!G216+'DOE25'!G234+'DOE25'!G277+'DOE25'!G296+'DOE25'!G315</f>
        <v>3243487</v>
      </c>
    </row>
    <row r="10" spans="1:3" x14ac:dyDescent="0.2">
      <c r="A10" t="s">
        <v>775</v>
      </c>
      <c r="B10" s="177">
        <v>5473699</v>
      </c>
      <c r="C10" s="177">
        <v>3227773</v>
      </c>
    </row>
    <row r="11" spans="1:3" x14ac:dyDescent="0.2">
      <c r="A11" t="s">
        <v>776</v>
      </c>
      <c r="B11" s="177">
        <v>27888</v>
      </c>
      <c r="C11" s="177">
        <v>15714</v>
      </c>
    </row>
    <row r="12" spans="1:3" x14ac:dyDescent="0.2">
      <c r="A12" t="s">
        <v>777</v>
      </c>
      <c r="B12" s="177"/>
      <c r="C12" s="177"/>
    </row>
    <row r="13" spans="1:3" x14ac:dyDescent="0.2">
      <c r="A13" t="str">
        <f>IF(B9=B13,IF(C9=C13,"Check Total OK","Check Total Error"),"Check Total Error")</f>
        <v>Check Total OK</v>
      </c>
      <c r="B13" s="169">
        <f>SUM(B10:B12)</f>
        <v>5501587</v>
      </c>
      <c r="C13" s="169">
        <f>SUM(C10:C12)</f>
        <v>3243487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2180332</v>
      </c>
      <c r="C18" s="167">
        <f>'DOE25'!G199+'DOE25'!G217+'DOE25'!G235+'DOE25'!G278+'DOE25'!G297+'DOE25'!G316</f>
        <v>1169144</v>
      </c>
    </row>
    <row r="19" spans="1:3" x14ac:dyDescent="0.2">
      <c r="A19" t="s">
        <v>775</v>
      </c>
      <c r="B19" s="177">
        <v>1298586</v>
      </c>
      <c r="C19" s="177">
        <v>762415</v>
      </c>
    </row>
    <row r="20" spans="1:3" x14ac:dyDescent="0.2">
      <c r="A20" t="s">
        <v>776</v>
      </c>
      <c r="B20" s="177">
        <v>881746</v>
      </c>
      <c r="C20" s="177">
        <v>406729</v>
      </c>
    </row>
    <row r="21" spans="1:3" x14ac:dyDescent="0.2">
      <c r="A21" t="s">
        <v>777</v>
      </c>
      <c r="B21" s="177"/>
      <c r="C21" s="177"/>
    </row>
    <row r="22" spans="1:3" x14ac:dyDescent="0.2">
      <c r="A22" t="str">
        <f>IF(B18=B22,IF(C18=C22,"Check Total OK","Check Total Error"),"Check Total Error")</f>
        <v>Check Total OK</v>
      </c>
      <c r="B22" s="169">
        <f>SUM(B19:B21)</f>
        <v>2180332</v>
      </c>
      <c r="C22" s="169">
        <f>SUM(C19:C21)</f>
        <v>1169144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254116</v>
      </c>
      <c r="C36" s="173">
        <f>'DOE25'!G201+'DOE25'!G219+'DOE25'!G237+'DOE25'!G280+'DOE25'!G299+'DOE25'!G318</f>
        <v>50082</v>
      </c>
    </row>
    <row r="37" spans="1:3" x14ac:dyDescent="0.2">
      <c r="A37" t="s">
        <v>775</v>
      </c>
      <c r="B37" s="177">
        <v>254116</v>
      </c>
      <c r="C37" s="177">
        <v>50082</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254116</v>
      </c>
      <c r="C40" s="169">
        <f>SUM(C37:C39)</f>
        <v>50082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6640625" customWidth="1"/>
    <col min="2" max="2" width="41" customWidth="1"/>
    <col min="3" max="3" width="22.6640625" customWidth="1"/>
    <col min="4" max="4" width="20.33203125" customWidth="1"/>
    <col min="5" max="5" width="19" customWidth="1"/>
    <col min="6" max="6" width="26.6640625" customWidth="1"/>
    <col min="7" max="7" width="17.6640625" customWidth="1"/>
    <col min="8" max="8" width="17"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Hopkinton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13409813</v>
      </c>
      <c r="D5" s="19">
        <f>SUM('DOE25'!L198:L201)+SUM('DOE25'!L216:L219)+SUM('DOE25'!L234:L237)-F5-G5-H5</f>
        <v>12111920</v>
      </c>
      <c r="E5" s="180"/>
      <c r="F5" s="181">
        <f>250784+767875+61347+87434+45760</f>
        <v>1213200</v>
      </c>
      <c r="G5" s="19">
        <f>SUM('DOE25'!J198:J201)+SUM('DOE25'!J216:J219)+SUM('DOE25'!J234:J237)</f>
        <v>31561</v>
      </c>
      <c r="H5" s="19">
        <f>SUM('DOE25'!K198:K201)+SUM('DOE25'!K216:K219)+SUM('DOE25'!K234:K237)</f>
        <v>53132</v>
      </c>
      <c r="I5" s="192"/>
    </row>
    <row r="6" spans="1:9" x14ac:dyDescent="0.2">
      <c r="A6" s="31">
        <v>2100</v>
      </c>
      <c r="B6" t="s">
        <v>796</v>
      </c>
      <c r="C6" s="206">
        <f t="shared" si="0"/>
        <v>1534931</v>
      </c>
      <c r="D6" s="19">
        <f>'DOE25'!L203+'DOE25'!L221+'DOE25'!L239-F6-G6-H6</f>
        <v>1488774</v>
      </c>
      <c r="E6" s="180"/>
      <c r="F6" s="181">
        <v>44519</v>
      </c>
      <c r="G6" s="19">
        <f>'DOE25'!J203+'DOE25'!J221+'DOE25'!J239</f>
        <v>0</v>
      </c>
      <c r="H6" s="19">
        <f>'DOE25'!K203+'DOE25'!K221+'DOE25'!K239</f>
        <v>1638</v>
      </c>
      <c r="I6" s="192"/>
    </row>
    <row r="7" spans="1:9" x14ac:dyDescent="0.2">
      <c r="A7" s="31">
        <v>2200</v>
      </c>
      <c r="B7" t="s">
        <v>820</v>
      </c>
      <c r="C7" s="206">
        <f t="shared" si="0"/>
        <v>992178</v>
      </c>
      <c r="D7" s="19">
        <f>'DOE25'!L204+'DOE25'!L222+'DOE25'!L240-F7-G7-H7</f>
        <v>892451</v>
      </c>
      <c r="E7" s="180"/>
      <c r="F7" s="181">
        <v>34648</v>
      </c>
      <c r="G7" s="19">
        <f>'DOE25'!J204+'DOE25'!J222+'DOE25'!J240</f>
        <v>53717</v>
      </c>
      <c r="H7" s="19">
        <f>'DOE25'!K204+'DOE25'!K222+'DOE25'!K240</f>
        <v>11362</v>
      </c>
      <c r="I7" s="192"/>
    </row>
    <row r="8" spans="1:9" x14ac:dyDescent="0.2">
      <c r="A8" s="31">
        <v>2300</v>
      </c>
      <c r="B8" t="s">
        <v>797</v>
      </c>
      <c r="C8" s="206">
        <f t="shared" si="0"/>
        <v>661052</v>
      </c>
      <c r="D8" s="180"/>
      <c r="E8" s="19">
        <f>'DOE25'!L205+'DOE25'!L223+'DOE25'!L241-F8-G8-H8-D9-D11</f>
        <v>644453</v>
      </c>
      <c r="F8" s="181">
        <v>0</v>
      </c>
      <c r="G8" s="19">
        <f>'DOE25'!J205+'DOE25'!J223+'DOE25'!J241</f>
        <v>0</v>
      </c>
      <c r="H8" s="19">
        <f>'DOE25'!K205+'DOE25'!K223+'DOE25'!K241</f>
        <v>16599</v>
      </c>
      <c r="I8" s="192"/>
    </row>
    <row r="9" spans="1:9" ht="14.25" x14ac:dyDescent="0.2">
      <c r="A9" s="31">
        <v>2310</v>
      </c>
      <c r="B9" s="71" t="s">
        <v>887</v>
      </c>
      <c r="C9" s="206">
        <f t="shared" si="0"/>
        <v>54893</v>
      </c>
      <c r="D9" s="181">
        <v>54893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998658</v>
      </c>
      <c r="D12" s="19">
        <f>'DOE25'!L206+'DOE25'!L224+'DOE25'!L242-F12-G12-H12</f>
        <v>994223</v>
      </c>
      <c r="E12" s="180"/>
      <c r="F12" s="181">
        <v>0</v>
      </c>
      <c r="G12" s="19">
        <f>'DOE25'!J206+'DOE25'!J224+'DOE25'!J242</f>
        <v>0</v>
      </c>
      <c r="H12" s="19">
        <f>'DOE25'!K206+'DOE25'!K224+'DOE25'!K242</f>
        <v>4435</v>
      </c>
      <c r="I12" s="192"/>
    </row>
    <row r="13" spans="1:9" x14ac:dyDescent="0.2">
      <c r="A13" s="31">
        <v>2500</v>
      </c>
      <c r="B13" t="s">
        <v>798</v>
      </c>
      <c r="C13" s="206">
        <f t="shared" si="0"/>
        <v>389627</v>
      </c>
      <c r="D13" s="180"/>
      <c r="E13" s="19">
        <f>'DOE25'!L207+'DOE25'!L225+'DOE25'!L243-F13-G13-H13</f>
        <v>389627</v>
      </c>
      <c r="F13" s="181">
        <v>0</v>
      </c>
      <c r="G13" s="19">
        <f>'DOE25'!J207+'DOE25'!J225+'DOE25'!J243</f>
        <v>0</v>
      </c>
      <c r="H13" s="19">
        <f>'DOE25'!K207+'DOE25'!K225+'DOE25'!K243</f>
        <v>0</v>
      </c>
      <c r="I13" s="192"/>
    </row>
    <row r="14" spans="1:9" x14ac:dyDescent="0.2">
      <c r="A14" s="31">
        <v>2600</v>
      </c>
      <c r="B14" t="s">
        <v>818</v>
      </c>
      <c r="C14" s="206">
        <f t="shared" si="0"/>
        <v>1814194</v>
      </c>
      <c r="D14" s="19">
        <f>'DOE25'!L208+'DOE25'!L226+'DOE25'!L244-F14-G14-H14</f>
        <v>1377860</v>
      </c>
      <c r="E14" s="180"/>
      <c r="F14" s="181">
        <f>56557+25000</f>
        <v>81557</v>
      </c>
      <c r="G14" s="19">
        <f>'DOE25'!J208+'DOE25'!J226+'DOE25'!J244</f>
        <v>354777</v>
      </c>
      <c r="H14" s="19">
        <f>'DOE25'!K208+'DOE25'!K226+'DOE25'!K244</f>
        <v>0</v>
      </c>
      <c r="I14" s="192"/>
    </row>
    <row r="15" spans="1:9" x14ac:dyDescent="0.2">
      <c r="A15" s="31">
        <v>2700</v>
      </c>
      <c r="B15" t="s">
        <v>799</v>
      </c>
      <c r="C15" s="206">
        <f t="shared" si="0"/>
        <v>751532</v>
      </c>
      <c r="D15" s="19">
        <f>'DOE25'!L209+'DOE25'!L227+'DOE25'!L245-F15-G15-H15</f>
        <v>76601</v>
      </c>
      <c r="E15" s="180"/>
      <c r="F15" s="181">
        <v>674710</v>
      </c>
      <c r="G15" s="19">
        <f>'DOE25'!J209+'DOE25'!J227+'DOE25'!J245</f>
        <v>0</v>
      </c>
      <c r="H15" s="19">
        <f>'DOE25'!K209+'DOE25'!K227+'DOE25'!K245</f>
        <v>221</v>
      </c>
      <c r="I15" s="192"/>
    </row>
    <row r="16" spans="1:9" x14ac:dyDescent="0.2">
      <c r="A16" s="31">
        <v>2800</v>
      </c>
      <c r="B16" t="s">
        <v>800</v>
      </c>
      <c r="C16" s="206">
        <f t="shared" si="0"/>
        <v>319551</v>
      </c>
      <c r="D16" s="180"/>
      <c r="E16" s="19">
        <f>'DOE25'!L210+'DOE25'!L228+'DOE25'!L246-F16-G16-H16</f>
        <v>312142</v>
      </c>
      <c r="F16" s="181">
        <v>0</v>
      </c>
      <c r="G16" s="19">
        <f>'DOE25'!J210+'DOE25'!J228+'DOE25'!J246</f>
        <v>2351</v>
      </c>
      <c r="H16" s="19">
        <f>'DOE25'!K210+'DOE25'!K228+'DOE25'!K246</f>
        <v>5058</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101250</v>
      </c>
      <c r="D22" s="180"/>
      <c r="E22" s="180"/>
      <c r="F22" s="180"/>
      <c r="G22" s="19">
        <f>'DOE25'!L256+'DOE25'!L337</f>
        <v>101250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582555</v>
      </c>
      <c r="D25" s="180"/>
      <c r="E25" s="180"/>
      <c r="F25" s="191"/>
      <c r="G25" s="180"/>
      <c r="H25" s="180"/>
      <c r="I25" s="190">
        <f>'DOE25'!L261+'DOE25'!L262+'DOE25'!L342+'DOE25'!L343</f>
        <v>582555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392593</v>
      </c>
      <c r="D29" s="212">
        <f>'DOE25'!L359+'DOE25'!L360+'DOE25'!L361-'DOE25'!I368-F29-G29-H29-F39</f>
        <v>356667</v>
      </c>
      <c r="E29" s="180"/>
      <c r="F29" s="180"/>
      <c r="G29" s="19">
        <f>'DOE25'!J359+'DOE25'!J360+'DOE25'!J361</f>
        <v>34932</v>
      </c>
      <c r="H29" s="19">
        <f>'DOE25'!K359+'DOE25'!K360+'DOE25'!K361</f>
        <v>994</v>
      </c>
      <c r="I29" s="192"/>
    </row>
    <row r="30" spans="1:9" x14ac:dyDescent="0.2">
      <c r="A30" s="31"/>
      <c r="C30" s="207"/>
      <c r="D30" s="19"/>
      <c r="F30" s="201"/>
      <c r="G30" s="19"/>
      <c r="H30" s="19"/>
      <c r="I30" s="192"/>
    </row>
    <row r="31" spans="1:9" x14ac:dyDescent="0.2">
      <c r="A31" s="31" t="s">
        <v>817</v>
      </c>
      <c r="B31" t="s">
        <v>816</v>
      </c>
      <c r="C31" s="206">
        <f>SUM(D31:I31)</f>
        <v>845081</v>
      </c>
      <c r="D31" s="19">
        <f>'DOE25'!L291+'DOE25'!L310+'DOE25'!L329+'DOE25'!L334+'DOE25'!L335+'DOE25'!L336-F31-G31-H31</f>
        <v>718315</v>
      </c>
      <c r="E31" s="180"/>
      <c r="F31" s="181">
        <v>45000</v>
      </c>
      <c r="G31" s="19">
        <f>'DOE25'!J291+'DOE25'!J310+'DOE25'!J329+'DOE25'!J334+'DOE25'!J335+'DOE25'!J336</f>
        <v>50022</v>
      </c>
      <c r="H31" s="19">
        <f>'DOE25'!K291+'DOE25'!K310+'DOE25'!K329+'DOE25'!K334+'DOE25'!K335+'DOE25'!K336</f>
        <v>31744</v>
      </c>
      <c r="I31" s="192"/>
    </row>
    <row r="32" spans="1:9" ht="12" thickBot="1" x14ac:dyDescent="0.25">
      <c r="C32" s="207"/>
      <c r="G32" s="188"/>
      <c r="H32" s="188"/>
      <c r="I32" s="194"/>
    </row>
    <row r="33" spans="1:9" ht="12" thickTop="1" x14ac:dyDescent="0.2">
      <c r="B33" t="s">
        <v>809</v>
      </c>
      <c r="D33" s="182">
        <f t="shared" ref="D33:I33" si="1">SUM(D5:D31)</f>
        <v>18071704</v>
      </c>
      <c r="E33" s="182">
        <f t="shared" si="1"/>
        <v>1346222</v>
      </c>
      <c r="F33" s="182">
        <f t="shared" si="1"/>
        <v>2093634</v>
      </c>
      <c r="G33" s="182">
        <f t="shared" si="1"/>
        <v>628610</v>
      </c>
      <c r="H33" s="182">
        <f t="shared" si="1"/>
        <v>125183</v>
      </c>
      <c r="I33" s="182">
        <f t="shared" si="1"/>
        <v>582555</v>
      </c>
    </row>
    <row r="34" spans="1:9" ht="12" thickBot="1" x14ac:dyDescent="0.25"/>
    <row r="35" spans="1:9" ht="12" thickBot="1" x14ac:dyDescent="0.25">
      <c r="B35" s="188" t="s">
        <v>830</v>
      </c>
      <c r="D35" s="189">
        <f>E33</f>
        <v>1346222</v>
      </c>
      <c r="E35" s="185"/>
      <c r="F35" s="295" t="s">
        <v>1608</v>
      </c>
      <c r="G35" s="296"/>
      <c r="H35" s="296"/>
      <c r="I35" s="297"/>
    </row>
    <row r="36" spans="1:9" ht="12" thickTop="1" x14ac:dyDescent="0.2">
      <c r="B36" t="s">
        <v>810</v>
      </c>
      <c r="D36" s="19">
        <f>D33</f>
        <v>18071704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7" zoomScale="80" zoomScaleNormal="80" workbookViewId="0">
      <selection activeCell="A8" sqref="A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 customWidth="1"/>
    <col min="9" max="9" width="24.33203125" customWidth="1"/>
    <col min="10" max="10" width="39.6640625" customWidth="1"/>
    <col min="11" max="11" width="27" customWidth="1"/>
    <col min="12" max="12" width="26.6640625" customWidth="1"/>
    <col min="13" max="13" width="22.6640625" customWidth="1"/>
    <col min="14" max="15" width="18.6640625" customWidth="1"/>
    <col min="16" max="16" width="15" customWidth="1"/>
    <col min="17" max="17" width="19.6640625" customWidth="1"/>
    <col min="18" max="18" width="19.3320312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Hopkinton</v>
      </c>
      <c r="B2">
        <f>'DOE25'!B2</f>
        <v>263</v>
      </c>
      <c r="J2" s="224" t="s">
        <v>1808</v>
      </c>
      <c r="K2" s="309">
        <f>SUM('DOE25'!L198:L201)+SUM('DOE25'!L216:L219)+SUM('DOE25'!L234:L237)+SUM('DOE25'!L277:L280)+SUM('DOE25'!L296:L299)+SUM('DOE25'!L315:L318)</f>
        <v>14108653</v>
      </c>
      <c r="L2" s="309">
        <f>'DOE25'!L203+'DOE25'!L221+'DOE25'!L239+'DOE25'!L282+'DOE25'!L301+'DOE25'!L320</f>
        <v>1566153</v>
      </c>
      <c r="M2" s="309">
        <f>'DOE25'!L204+'DOE25'!L222+'DOE25'!L240+'DOE25'!L283+'DOE25'!L302+'DOE25'!L321</f>
        <v>1045572</v>
      </c>
      <c r="N2" s="309">
        <f>'DOE25'!L206+'DOE25'!L224+'DOE25'!L242+'DOE25'!L285+'DOE25'!L304+'DOE25'!L323</f>
        <v>998883</v>
      </c>
      <c r="O2" s="309">
        <f>'Salaries-Benefits'!B10+'Salaries-Benefits'!B12+'Salaries-Benefits'!B19+'Salaries-Benefits'!B21+'Salaries-Benefits'!B28+'Salaries-Benefits'!B30+'Salaries-Benefits'!B37+'Salaries-Benefits'!B39</f>
        <v>7026401</v>
      </c>
      <c r="P2" s="309">
        <f>'Salaries-Benefits'!B11+'Salaries-Benefits'!B20+'Salaries-Benefits'!B29+'Salaries-Benefits'!B38</f>
        <v>909634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-14108653</v>
      </c>
      <c r="L3" s="311">
        <f t="shared" ref="L3:P3" si="0">L21+L33+L43-L2</f>
        <v>-1566153</v>
      </c>
      <c r="M3" s="311">
        <f t="shared" si="0"/>
        <v>-1045572</v>
      </c>
      <c r="N3" s="311">
        <f t="shared" si="0"/>
        <v>-998883</v>
      </c>
      <c r="O3" s="311">
        <f t="shared" si="0"/>
        <v>-7026401</v>
      </c>
      <c r="P3" s="311">
        <f t="shared" si="0"/>
        <v>-909634</v>
      </c>
      <c r="Q3" s="310"/>
      <c r="R3" s="306"/>
      <c r="S3" s="215"/>
      <c r="T3" s="215"/>
      <c r="U3" s="216"/>
    </row>
    <row r="4" spans="1:21" ht="55.5" customHeight="1" thickBot="1" x14ac:dyDescent="0.25">
      <c r="A4" s="224" t="s">
        <v>1522</v>
      </c>
      <c r="B4" s="224" t="s">
        <v>1523</v>
      </c>
      <c r="C4" s="224" t="s">
        <v>896</v>
      </c>
      <c r="D4" s="224" t="s">
        <v>786</v>
      </c>
      <c r="E4" s="224" t="s">
        <v>786</v>
      </c>
      <c r="F4" s="228">
        <f>SUM(F5:F20)</f>
        <v>11714247</v>
      </c>
      <c r="G4" s="229">
        <f>'DOE25'!L212+'DOE25'!L291</f>
        <v>11714247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Harold Martin School</v>
      </c>
      <c r="B6" s="230">
        <f>IFERROR(VLOOKUP(A6,'School Tables'!$C$3:$D$365,2,FALSE),"")</f>
        <v>20975</v>
      </c>
      <c r="C6" s="223" t="str">
        <f>IFERROR(INDEX('School Tables'!$B$3:$B$365,MATCH('School Level Expenditures'!B6,'School Tables'!$D$3:$D$365,0)),"")</f>
        <v>Hopkinton</v>
      </c>
      <c r="D6" s="220">
        <v>6098142</v>
      </c>
      <c r="E6" s="220">
        <f>1021+8734+41888+46667+4691+18179+3034+32671+78369</f>
        <v>235254</v>
      </c>
      <c r="F6" s="232">
        <f t="shared" ref="F6:F20" si="1">D6+E6</f>
        <v>6333396</v>
      </c>
      <c r="G6" s="223"/>
      <c r="H6" s="223"/>
      <c r="J6" t="str">
        <f>A6</f>
        <v>Harold Martin School</v>
      </c>
      <c r="K6" s="20"/>
      <c r="L6" s="20"/>
      <c r="M6" s="308"/>
      <c r="N6" s="20"/>
      <c r="O6" s="20"/>
      <c r="P6" s="20"/>
      <c r="Q6" s="20"/>
    </row>
    <row r="7" spans="1:21" x14ac:dyDescent="0.2">
      <c r="A7" t="str" cm="1">
        <f t="array" ref="A7">IFERROR(INDEX('School Tables'!$A$4:$G$325,'School Tables'!$J5,3),"")</f>
        <v>Maple Street Elementary School</v>
      </c>
      <c r="B7" s="230">
        <f>IFERROR(VLOOKUP(A7,'School Tables'!$C$3:$D$365,2,FALSE),"")</f>
        <v>20965</v>
      </c>
      <c r="C7" s="223" t="str">
        <f>IFERROR(INDEX('School Tables'!$B$3:$B$365,MATCH('School Level Expenditures'!B7,'School Tables'!$D$3:$D$365,0)),"")</f>
        <v>Hopkinton</v>
      </c>
      <c r="D7" s="220">
        <v>5188994</v>
      </c>
      <c r="E7" s="220">
        <f>82241+12888+2139+27831+66758</f>
        <v>191857</v>
      </c>
      <c r="F7" s="232">
        <f t="shared" si="1"/>
        <v>5380851</v>
      </c>
      <c r="G7" s="223"/>
      <c r="H7" s="223"/>
      <c r="J7" t="str">
        <f t="shared" ref="J7:J20" si="2">A7</f>
        <v>Maple Street Elementary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11287136</v>
      </c>
      <c r="E21" s="262">
        <f>SUM(E5:E20)</f>
        <v>427111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3208973</v>
      </c>
      <c r="G24" s="229">
        <f>'DOE25'!L230+'DOE25'!L310</f>
        <v>3208973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Hopkinton Middle School</v>
      </c>
      <c r="B26" s="230">
        <f>IFERROR(VLOOKUP(A26,'School Tables'!$N$4:$O$75,2,FALSE),"")</f>
        <v>27000</v>
      </c>
      <c r="C26" s="223" t="str">
        <f>IFERROR(INDEX('School Tables'!$M$4:$M$75,MATCH('School Level Expenditures'!A26,'School Tables'!$N$4:$N$75,0)),"")</f>
        <v>Hopkinton</v>
      </c>
      <c r="D26" s="220">
        <v>3092101</v>
      </c>
      <c r="E26" s="220">
        <f>58202+16806+41864</f>
        <v>116872</v>
      </c>
      <c r="F26" s="232">
        <f t="shared" ref="F26:F32" si="4">D26+E26</f>
        <v>3208973</v>
      </c>
      <c r="G26" s="223"/>
      <c r="H26" s="223"/>
      <c r="J26" t="str">
        <f t="shared" ref="J26:J32" si="5">A26</f>
        <v>Hopkinton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3092101</v>
      </c>
      <c r="E33" s="262">
        <f>SUM(E25:E32)</f>
        <v>116872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6846408</v>
      </c>
      <c r="G36" s="229">
        <f>'DOE25'!L248+'DOE25'!L329</f>
        <v>6846408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Hopkinton High School</v>
      </c>
      <c r="B38" s="230">
        <f>IFERROR(VLOOKUP(A38,'School Tables'!$Y$4:$Z$100,2,FALSE),"")</f>
        <v>20970</v>
      </c>
      <c r="C38" s="223" t="str">
        <f>IFERROR(INDEX('School Tables'!$X$4:$X$100,MATCH('School Level Expenditures'!A38,'School Tables'!$Y$4:$Y$100,0)),"")</f>
        <v>Hopkinton</v>
      </c>
      <c r="D38" s="220">
        <v>6676511</v>
      </c>
      <c r="E38" s="220">
        <f>45349-4525+36973+92100</f>
        <v>169897</v>
      </c>
      <c r="F38" s="232">
        <f t="shared" si="7"/>
        <v>6846408</v>
      </c>
      <c r="G38" s="223"/>
      <c r="H38" s="223"/>
      <c r="J38" t="str">
        <f t="shared" ref="J38:J42" si="8">A38</f>
        <v>Hopkinton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6676511</v>
      </c>
      <c r="E43" s="263">
        <f>SUM(E37:E42)</f>
        <v>169897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3" sqref="A3"/>
    </sheetView>
  </sheetViews>
  <sheetFormatPr defaultRowHeight="11.25" x14ac:dyDescent="0.2"/>
  <cols>
    <col min="1" max="1" width="52.6640625" customWidth="1"/>
    <col min="2" max="2" width="16.6640625" customWidth="1"/>
    <col min="3" max="3" width="19" customWidth="1"/>
    <col min="4" max="4" width="19.3320312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Hopkinton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1758843</v>
      </c>
      <c r="D8" s="73">
        <f>'DOE25'!G9</f>
        <v>100</v>
      </c>
      <c r="E8" s="73">
        <f>'DOE25'!H9</f>
        <v>0</v>
      </c>
      <c r="F8" s="73">
        <f>'DOE25'!I9</f>
        <v>220285</v>
      </c>
      <c r="G8" s="73">
        <f>'DOE25'!J9</f>
        <v>868511</v>
      </c>
      <c r="H8" s="13">
        <f>SUM(C8:G8)</f>
        <v>2847739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128829</v>
      </c>
      <c r="D11" s="73">
        <f>'DOE25'!G12</f>
        <v>93473</v>
      </c>
      <c r="E11" s="73">
        <f>'DOE25'!H12</f>
        <v>93019</v>
      </c>
      <c r="F11" s="73">
        <f>'DOE25'!I12</f>
        <v>42419</v>
      </c>
      <c r="G11" s="73">
        <f>'DOE25'!J12</f>
        <v>0</v>
      </c>
      <c r="H11" s="13">
        <f t="shared" si="0"/>
        <v>357740</v>
      </c>
      <c r="I11" s="90"/>
    </row>
    <row r="12" spans="1:9" x14ac:dyDescent="0.2">
      <c r="A12" s="1" t="s">
        <v>143</v>
      </c>
      <c r="B12" s="6">
        <v>140</v>
      </c>
      <c r="C12" s="73">
        <f>'DOE25'!F13</f>
        <v>54065</v>
      </c>
      <c r="D12" s="73">
        <f>'DOE25'!G13</f>
        <v>6307</v>
      </c>
      <c r="E12" s="73">
        <f>'DOE25'!H13</f>
        <v>119740</v>
      </c>
      <c r="F12" s="73">
        <f>'DOE25'!I13</f>
        <v>0</v>
      </c>
      <c r="G12" s="73">
        <f>'DOE25'!J13</f>
        <v>0</v>
      </c>
      <c r="H12" s="13">
        <f t="shared" si="0"/>
        <v>180112</v>
      </c>
      <c r="I12" s="90"/>
    </row>
    <row r="13" spans="1:9" x14ac:dyDescent="0.2">
      <c r="A13" s="1" t="s">
        <v>144</v>
      </c>
      <c r="B13" s="6">
        <v>150</v>
      </c>
      <c r="C13" s="73">
        <f>'DOE25'!F14</f>
        <v>19207</v>
      </c>
      <c r="D13" s="73">
        <f>'DOE25'!G14</f>
        <v>175</v>
      </c>
      <c r="E13" s="73">
        <f>'DOE25'!H14</f>
        <v>225</v>
      </c>
      <c r="F13" s="73">
        <f>'DOE25'!I14</f>
        <v>0</v>
      </c>
      <c r="G13" s="73">
        <f>'DOE25'!J14</f>
        <v>0</v>
      </c>
      <c r="H13" s="13">
        <f t="shared" si="0"/>
        <v>19607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8587</v>
      </c>
      <c r="D16" s="73">
        <f>'DOE25'!G17</f>
        <v>0</v>
      </c>
      <c r="E16" s="73">
        <f>'DOE25'!H17</f>
        <v>0</v>
      </c>
      <c r="F16" s="73">
        <f>'DOE25'!I17</f>
        <v>0</v>
      </c>
      <c r="G16" s="73">
        <f>'DOE25'!J17</f>
        <v>0</v>
      </c>
      <c r="H16" s="13">
        <f t="shared" si="0"/>
        <v>8587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1969531</v>
      </c>
      <c r="D18" s="38">
        <f>SUM(D8:D17)</f>
        <v>100055</v>
      </c>
      <c r="E18" s="38">
        <f>SUM(E8:E17)</f>
        <v>212984</v>
      </c>
      <c r="F18" s="38">
        <f>SUM(F8:F17)</f>
        <v>262704</v>
      </c>
      <c r="G18" s="38">
        <f>SUM(G8:G17)</f>
        <v>868511</v>
      </c>
      <c r="H18" s="38">
        <f t="shared" si="0"/>
        <v>3413785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228910</v>
      </c>
      <c r="D21" s="73">
        <f>'DOE25'!G22</f>
        <v>0</v>
      </c>
      <c r="E21" s="73">
        <f>'DOE25'!H22</f>
        <v>116532</v>
      </c>
      <c r="F21" s="73">
        <f>'DOE25'!I22</f>
        <v>0</v>
      </c>
      <c r="G21" s="73">
        <f>'DOE25'!J22</f>
        <v>12297</v>
      </c>
      <c r="H21" s="13">
        <f t="shared" ref="H21:H31" si="1">SUM(C21:G21)</f>
        <v>357739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131819</v>
      </c>
      <c r="D23" s="73">
        <f>'DOE25'!G24</f>
        <v>859</v>
      </c>
      <c r="E23" s="73">
        <f>'DOE25'!H24</f>
        <v>7982</v>
      </c>
      <c r="F23" s="73">
        <f>'DOE25'!I24</f>
        <v>0</v>
      </c>
      <c r="G23" s="73">
        <f>'DOE25'!J24</f>
        <v>0</v>
      </c>
      <c r="H23" s="13">
        <f t="shared" si="1"/>
        <v>140660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25578</v>
      </c>
      <c r="D27" s="73">
        <f>'DOE25'!G28</f>
        <v>0</v>
      </c>
      <c r="E27" s="73">
        <f>'DOE25'!H28</f>
        <v>588</v>
      </c>
      <c r="F27" s="73">
        <f>'DOE25'!I28</f>
        <v>0</v>
      </c>
      <c r="G27" s="23" t="s">
        <v>288</v>
      </c>
      <c r="H27" s="13">
        <f t="shared" si="1"/>
        <v>26166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1300</v>
      </c>
      <c r="D29" s="73">
        <f>'DOE25'!G30</f>
        <v>18159</v>
      </c>
      <c r="E29" s="73">
        <f>'DOE25'!H30</f>
        <v>87882</v>
      </c>
      <c r="F29" s="73">
        <f>'DOE25'!I30</f>
        <v>0</v>
      </c>
      <c r="G29" s="23" t="s">
        <v>288</v>
      </c>
      <c r="H29" s="13">
        <f t="shared" si="1"/>
        <v>107341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387607</v>
      </c>
      <c r="D31" s="38">
        <f>SUM(D21:D30)</f>
        <v>19018</v>
      </c>
      <c r="E31" s="38">
        <f>SUM(E21:E30)</f>
        <v>212984</v>
      </c>
      <c r="F31" s="38">
        <f>SUM(F21:F30)</f>
        <v>0</v>
      </c>
      <c r="G31" s="38">
        <f>SUM(G21:G30)</f>
        <v>12297</v>
      </c>
      <c r="H31" s="38">
        <f t="shared" si="1"/>
        <v>631906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8587</v>
      </c>
      <c r="D35" s="73">
        <f>'DOE25'!G36</f>
        <v>0</v>
      </c>
      <c r="E35" s="73">
        <f>'DOE25'!H36</f>
        <v>0</v>
      </c>
      <c r="F35" s="73">
        <f>'DOE25'!I36</f>
        <v>0</v>
      </c>
      <c r="G35" s="23" t="s">
        <v>288</v>
      </c>
      <c r="H35" s="13">
        <f t="shared" si="2"/>
        <v>8587</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119953</v>
      </c>
      <c r="D44" s="73">
        <f>'DOE25'!G45</f>
        <v>0</v>
      </c>
      <c r="E44" s="73">
        <f>'DOE25'!H45</f>
        <v>0</v>
      </c>
      <c r="F44" s="73">
        <f>'DOE25'!I45</f>
        <v>0</v>
      </c>
      <c r="G44" s="73">
        <f>'DOE25'!J45</f>
        <v>0</v>
      </c>
      <c r="H44" s="13">
        <f t="shared" si="2"/>
        <v>119953</v>
      </c>
      <c r="I44" s="90"/>
    </row>
    <row r="45" spans="1:9" x14ac:dyDescent="0.2">
      <c r="A45" s="1" t="s">
        <v>879</v>
      </c>
      <c r="B45" s="6"/>
      <c r="C45" s="73">
        <f>'DOE25'!F46</f>
        <v>785404</v>
      </c>
      <c r="D45" s="23" t="s">
        <v>288</v>
      </c>
      <c r="E45" s="23" t="s">
        <v>288</v>
      </c>
      <c r="F45" s="23" t="s">
        <v>288</v>
      </c>
      <c r="G45" s="23" t="s">
        <v>288</v>
      </c>
      <c r="H45" s="13">
        <f t="shared" si="2"/>
        <v>785404</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81037</v>
      </c>
      <c r="E47" s="73">
        <f>'DOE25'!H48</f>
        <v>0</v>
      </c>
      <c r="F47" s="73">
        <f>'DOE25'!I48</f>
        <v>262704</v>
      </c>
      <c r="G47" s="73">
        <f>'DOE25'!J48</f>
        <v>856214</v>
      </c>
      <c r="H47" s="13">
        <f t="shared" si="2"/>
        <v>1199955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667980</v>
      </c>
      <c r="D49" s="23" t="s">
        <v>288</v>
      </c>
      <c r="E49" s="23" t="s">
        <v>288</v>
      </c>
      <c r="F49" s="23" t="s">
        <v>288</v>
      </c>
      <c r="G49" s="23" t="s">
        <v>288</v>
      </c>
      <c r="H49" s="13">
        <f t="shared" si="2"/>
        <v>667980</v>
      </c>
      <c r="I49" s="90"/>
    </row>
    <row r="50" spans="1:9" ht="12.75" thickTop="1" thickBot="1" x14ac:dyDescent="0.25">
      <c r="A50" s="35" t="s">
        <v>883</v>
      </c>
      <c r="B50" s="44"/>
      <c r="C50" s="38">
        <f>SUM(C34:C49)</f>
        <v>1581924</v>
      </c>
      <c r="D50" s="38">
        <f>SUM(D34:D49)</f>
        <v>81037</v>
      </c>
      <c r="E50" s="38">
        <f>SUM(E34:E49)</f>
        <v>0</v>
      </c>
      <c r="F50" s="38">
        <f>SUM(F34:F49)</f>
        <v>262704</v>
      </c>
      <c r="G50" s="38">
        <f>SUM(G34:G49)</f>
        <v>856214</v>
      </c>
      <c r="H50" s="38">
        <f t="shared" si="2"/>
        <v>2781879</v>
      </c>
      <c r="I50" s="90"/>
    </row>
    <row r="51" spans="1:9" ht="12" thickTop="1" x14ac:dyDescent="0.2">
      <c r="A51" s="35" t="s">
        <v>884</v>
      </c>
      <c r="B51" s="2"/>
      <c r="C51" s="38">
        <f>C50+C31</f>
        <v>1969531</v>
      </c>
      <c r="D51" s="38">
        <f>D50+D31</f>
        <v>100055</v>
      </c>
      <c r="E51" s="38">
        <f>E50+E31</f>
        <v>212984</v>
      </c>
      <c r="F51" s="38">
        <f>F50+F31</f>
        <v>262704</v>
      </c>
      <c r="G51" s="38">
        <f>G50+G31</f>
        <v>868511</v>
      </c>
      <c r="H51" s="38">
        <f t="shared" si="2"/>
        <v>3413785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16866677</v>
      </c>
      <c r="D56" s="73">
        <f>'DOE25'!G60</f>
        <v>0</v>
      </c>
      <c r="E56" s="73">
        <f>'DOE25'!H60</f>
        <v>0</v>
      </c>
      <c r="F56" s="73">
        <f>'DOE25'!I60</f>
        <v>0</v>
      </c>
      <c r="G56" s="73">
        <f>'DOE25'!J60</f>
        <v>0</v>
      </c>
      <c r="H56" s="13">
        <f t="shared" ref="H56:H63" si="3">SUM(C56:G56)</f>
        <v>16866677</v>
      </c>
      <c r="I56"/>
    </row>
    <row r="57" spans="1:9" x14ac:dyDescent="0.2">
      <c r="A57" s="1" t="s">
        <v>164</v>
      </c>
      <c r="B57" s="6" t="s">
        <v>165</v>
      </c>
      <c r="C57" s="73">
        <f>'DOE25'!F79</f>
        <v>93803</v>
      </c>
      <c r="D57" s="23" t="s">
        <v>288</v>
      </c>
      <c r="E57" s="73">
        <f>'DOE25'!H79</f>
        <v>0</v>
      </c>
      <c r="F57" s="23" t="s">
        <v>288</v>
      </c>
      <c r="G57" s="23" t="s">
        <v>288</v>
      </c>
      <c r="H57" s="13">
        <f t="shared" si="3"/>
        <v>93803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17114</v>
      </c>
      <c r="D59" s="73">
        <f>'DOE25'!G96</f>
        <v>0</v>
      </c>
      <c r="E59" s="73">
        <f>'DOE25'!H96</f>
        <v>0</v>
      </c>
      <c r="F59" s="73">
        <f>'DOE25'!I96</f>
        <v>0</v>
      </c>
      <c r="G59" s="73">
        <f>'DOE25'!J96</f>
        <v>18022</v>
      </c>
      <c r="H59" s="13">
        <f t="shared" si="3"/>
        <v>35136</v>
      </c>
      <c r="I59"/>
    </row>
    <row r="60" spans="1:9" x14ac:dyDescent="0.2">
      <c r="A60" s="1" t="s">
        <v>170</v>
      </c>
      <c r="B60" s="22" t="s">
        <v>171</v>
      </c>
      <c r="C60" s="23" t="s">
        <v>288</v>
      </c>
      <c r="D60" s="73">
        <f>'DOE25'!G97</f>
        <v>340971</v>
      </c>
      <c r="E60" s="23" t="s">
        <v>288</v>
      </c>
      <c r="F60" s="23" t="s">
        <v>288</v>
      </c>
      <c r="G60" s="23" t="s">
        <v>288</v>
      </c>
      <c r="H60" s="13">
        <f t="shared" si="3"/>
        <v>340971</v>
      </c>
      <c r="I60"/>
    </row>
    <row r="61" spans="1:9" ht="12" thickBot="1" x14ac:dyDescent="0.25">
      <c r="A61" s="1" t="s">
        <v>172</v>
      </c>
      <c r="B61" s="22" t="s">
        <v>173</v>
      </c>
      <c r="C61" s="73">
        <f>SUM('DOE25'!F98:F110)</f>
        <v>159397</v>
      </c>
      <c r="D61" s="73">
        <f>SUM('DOE25'!G98:G110)</f>
        <v>3998</v>
      </c>
      <c r="E61" s="73">
        <f>SUM('DOE25'!H98:H110)</f>
        <v>183525</v>
      </c>
      <c r="F61" s="73">
        <f>SUM('DOE25'!I98:I110)</f>
        <v>0</v>
      </c>
      <c r="G61" s="73">
        <f>SUM('DOE25'!J98:J110)</f>
        <v>0</v>
      </c>
      <c r="H61" s="13">
        <f t="shared" si="3"/>
        <v>346920</v>
      </c>
      <c r="I61"/>
    </row>
    <row r="62" spans="1:9" ht="12.75" thickTop="1" thickBot="1" x14ac:dyDescent="0.25">
      <c r="A62" s="28" t="s">
        <v>174</v>
      </c>
      <c r="B62" s="6"/>
      <c r="C62" s="93">
        <f>SUM(C57:C61)</f>
        <v>270314</v>
      </c>
      <c r="D62" s="93">
        <f>SUM(D57:D61)</f>
        <v>344969</v>
      </c>
      <c r="E62" s="93">
        <f>SUM(E57:E61)</f>
        <v>183525</v>
      </c>
      <c r="F62" s="93">
        <f>SUM(F57:F61)</f>
        <v>0</v>
      </c>
      <c r="G62" s="93">
        <f>SUM(G57:G61)</f>
        <v>18022</v>
      </c>
      <c r="H62" s="13">
        <f t="shared" si="3"/>
        <v>816830</v>
      </c>
      <c r="I62"/>
    </row>
    <row r="63" spans="1:9" ht="12" thickTop="1" x14ac:dyDescent="0.2">
      <c r="A63" s="28" t="s">
        <v>175</v>
      </c>
      <c r="B63" s="6"/>
      <c r="C63" s="21">
        <f>C56+C62</f>
        <v>17136991</v>
      </c>
      <c r="D63" s="21">
        <f>D56+D62</f>
        <v>344969</v>
      </c>
      <c r="E63" s="21">
        <f>E56+E62</f>
        <v>183525</v>
      </c>
      <c r="F63" s="21">
        <f>F56+F62</f>
        <v>0</v>
      </c>
      <c r="G63" s="21">
        <f>G56+G62</f>
        <v>18022</v>
      </c>
      <c r="H63" s="13">
        <f t="shared" si="3"/>
        <v>17683507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2832379</v>
      </c>
      <c r="D66" s="23" t="s">
        <v>288</v>
      </c>
      <c r="E66" s="23" t="s">
        <v>288</v>
      </c>
      <c r="F66" s="23" t="s">
        <v>288</v>
      </c>
      <c r="G66" s="23" t="s">
        <v>288</v>
      </c>
      <c r="H66" s="13">
        <f t="shared" ref="H66:H81" si="4">SUM(C66:G66)</f>
        <v>2832379</v>
      </c>
      <c r="I66"/>
    </row>
    <row r="67" spans="1:9" x14ac:dyDescent="0.2">
      <c r="A67" s="1" t="s">
        <v>770</v>
      </c>
      <c r="B67" s="6">
        <v>3112</v>
      </c>
      <c r="C67" s="73">
        <f>'DOE25'!F118</f>
        <v>1025173</v>
      </c>
      <c r="D67" s="23"/>
      <c r="E67" s="23"/>
      <c r="F67" s="23"/>
      <c r="G67" s="23"/>
      <c r="H67" s="13">
        <f t="shared" si="4"/>
        <v>1025173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125554</v>
      </c>
      <c r="D69" s="73">
        <f>'DOE25'!G120</f>
        <v>0</v>
      </c>
      <c r="E69" s="73">
        <f>'DOE25'!H120</f>
        <v>0</v>
      </c>
      <c r="F69" s="73">
        <f>'DOE25'!I120</f>
        <v>0</v>
      </c>
      <c r="G69" s="73">
        <f>'DOE25'!J120</f>
        <v>0</v>
      </c>
      <c r="H69" s="13">
        <f t="shared" si="4"/>
        <v>125554</v>
      </c>
      <c r="I69"/>
    </row>
    <row r="70" spans="1:9" ht="12" thickTop="1" x14ac:dyDescent="0.2">
      <c r="A70" s="28" t="s">
        <v>252</v>
      </c>
      <c r="B70" s="2"/>
      <c r="C70" s="97">
        <f>SUM(C66:C69)</f>
        <v>3983106</v>
      </c>
      <c r="D70" s="97">
        <f>D69</f>
        <v>0</v>
      </c>
      <c r="E70" s="97">
        <f>E69</f>
        <v>0</v>
      </c>
      <c r="F70" s="97">
        <f>F69</f>
        <v>0</v>
      </c>
      <c r="G70" s="97">
        <f>G69</f>
        <v>0</v>
      </c>
      <c r="H70" s="13">
        <f t="shared" si="4"/>
        <v>3983106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213008</v>
      </c>
      <c r="D75" s="23" t="s">
        <v>288</v>
      </c>
      <c r="E75" s="23" t="s">
        <v>288</v>
      </c>
      <c r="F75" s="23" t="s">
        <v>288</v>
      </c>
      <c r="G75" s="23" t="s">
        <v>288</v>
      </c>
      <c r="H75" s="13">
        <f t="shared" si="4"/>
        <v>213008</v>
      </c>
      <c r="I75"/>
    </row>
    <row r="76" spans="1:9" x14ac:dyDescent="0.2">
      <c r="A76" s="1" t="s">
        <v>257</v>
      </c>
      <c r="B76" s="6" t="s">
        <v>179</v>
      </c>
      <c r="C76" s="73">
        <f>SUM('DOE25'!F127:F130)</f>
        <v>9410</v>
      </c>
      <c r="D76" s="23" t="s">
        <v>288</v>
      </c>
      <c r="E76" s="73">
        <f>SUM('DOE25'!H127:H130)</f>
        <v>7218</v>
      </c>
      <c r="F76" s="73">
        <f>SUM('DOE25'!I127:I130)</f>
        <v>0</v>
      </c>
      <c r="G76" s="23" t="s">
        <v>288</v>
      </c>
      <c r="H76" s="13">
        <f t="shared" si="4"/>
        <v>16628</v>
      </c>
      <c r="I76"/>
    </row>
    <row r="77" spans="1:9" ht="12" thickBot="1" x14ac:dyDescent="0.25">
      <c r="A77" s="1" t="s">
        <v>258</v>
      </c>
      <c r="B77" s="6" t="s">
        <v>180</v>
      </c>
      <c r="C77" s="73">
        <f>SUM('DOE25'!F131:F135)</f>
        <v>0</v>
      </c>
      <c r="D77" s="73">
        <f>SUM('DOE25'!G131:G135)</f>
        <v>47224</v>
      </c>
      <c r="E77" s="73">
        <f>SUM('DOE25'!H131:H135)</f>
        <v>5505</v>
      </c>
      <c r="F77" s="73">
        <f>SUM('DOE25'!I131:I135)</f>
        <v>0</v>
      </c>
      <c r="G77" s="73">
        <f>SUM('DOE25'!J131:J135)</f>
        <v>0</v>
      </c>
      <c r="H77" s="13">
        <f t="shared" si="4"/>
        <v>52729</v>
      </c>
      <c r="I77"/>
    </row>
    <row r="78" spans="1:9" ht="12.75" thickTop="1" thickBot="1" x14ac:dyDescent="0.25">
      <c r="A78" s="28" t="s">
        <v>259</v>
      </c>
      <c r="B78" s="6"/>
      <c r="C78" s="93">
        <f>SUM(C72:C77)</f>
        <v>222418</v>
      </c>
      <c r="D78" s="93">
        <f>SUM(D72:D77)</f>
        <v>47224</v>
      </c>
      <c r="E78" s="93">
        <f>SUM(E72:E77)</f>
        <v>12723</v>
      </c>
      <c r="F78" s="93">
        <f>SUM(F72:F77)</f>
        <v>0</v>
      </c>
      <c r="G78" s="93">
        <f>SUM(G72:G77)</f>
        <v>0</v>
      </c>
      <c r="H78" s="13">
        <f t="shared" si="4"/>
        <v>282365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4205524</v>
      </c>
      <c r="D81" s="93">
        <f>SUM(D79:D80)+D78+D70</f>
        <v>47224</v>
      </c>
      <c r="E81" s="93">
        <f>SUM(E79:E80)+E78+E70</f>
        <v>12723</v>
      </c>
      <c r="F81" s="93">
        <f>SUM(F79:F80)+F78+F70</f>
        <v>0</v>
      </c>
      <c r="G81" s="93">
        <f>SUM(G79:G80)+G78+G70</f>
        <v>0</v>
      </c>
      <c r="H81" s="93">
        <f t="shared" si="4"/>
        <v>4265471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112040</v>
      </c>
      <c r="D88" s="253">
        <f>SUM('DOE25'!G153:G162)</f>
        <v>120335</v>
      </c>
      <c r="E88" s="253">
        <f>SUM('DOE25'!H153:H162)</f>
        <v>601839</v>
      </c>
      <c r="F88" s="253">
        <f>SUM('DOE25'!I153:I162)</f>
        <v>0</v>
      </c>
      <c r="G88" s="23" t="s">
        <v>288</v>
      </c>
      <c r="H88" s="13">
        <f t="shared" si="5"/>
        <v>834214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112040</v>
      </c>
      <c r="D91" s="94">
        <f>SUM(D85:D90)</f>
        <v>120335</v>
      </c>
      <c r="E91" s="94">
        <f>SUM(E85:E90)</f>
        <v>601839</v>
      </c>
      <c r="F91" s="94">
        <f>SUM(F85:F90)</f>
        <v>0</v>
      </c>
      <c r="G91" s="23" t="s">
        <v>288</v>
      </c>
      <c r="H91" s="13">
        <f t="shared" si="5"/>
        <v>834214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46994</v>
      </c>
      <c r="F96" s="73">
        <f>'DOE25'!I180</f>
        <v>0</v>
      </c>
      <c r="G96" s="73">
        <f>'DOE25'!J180</f>
        <v>525000</v>
      </c>
      <c r="H96" s="13">
        <f t="shared" si="5"/>
        <v>571994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46994</v>
      </c>
      <c r="F103" s="68">
        <f>SUM(F93:F102)</f>
        <v>0</v>
      </c>
      <c r="G103" s="68">
        <f>SUM(G93:G102)</f>
        <v>525000</v>
      </c>
      <c r="H103" s="68">
        <f t="shared" si="5"/>
        <v>571994</v>
      </c>
    </row>
    <row r="104" spans="1:8" ht="12.75" thickTop="1" thickBot="1" x14ac:dyDescent="0.25">
      <c r="A104" s="32" t="s">
        <v>761</v>
      </c>
      <c r="C104" s="68">
        <f>C63+C81+C91+C103</f>
        <v>21454555</v>
      </c>
      <c r="D104" s="68">
        <f>D63+D81+D91+D103</f>
        <v>512528</v>
      </c>
      <c r="E104" s="68">
        <f>E63+E81+E91+E103</f>
        <v>845081</v>
      </c>
      <c r="F104" s="68">
        <f>F63+F81+F91+F103</f>
        <v>0</v>
      </c>
      <c r="G104" s="68">
        <f>G63+G81+G103</f>
        <v>543022</v>
      </c>
      <c r="H104" s="68">
        <f t="shared" si="5"/>
        <v>23355186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8636252</v>
      </c>
      <c r="D109" s="23" t="s">
        <v>288</v>
      </c>
      <c r="E109" s="73">
        <f>('DOE25'!L277)+('DOE25'!L296)+('DOE25'!L315)</f>
        <v>472169</v>
      </c>
      <c r="F109" s="23" t="s">
        <v>288</v>
      </c>
      <c r="G109" s="23" t="s">
        <v>288</v>
      </c>
      <c r="H109" s="13">
        <f t="shared" ref="H109:H115" si="6">SUM(C109:G109)</f>
        <v>9108421</v>
      </c>
    </row>
    <row r="110" spans="1:8" x14ac:dyDescent="0.2">
      <c r="A110" t="s">
        <v>198</v>
      </c>
      <c r="B110" s="31" t="s">
        <v>199</v>
      </c>
      <c r="C110" s="73">
        <f>('DOE25'!L199)+('DOE25'!L217)+('DOE25'!L235)</f>
        <v>4266992</v>
      </c>
      <c r="D110" s="23" t="s">
        <v>288</v>
      </c>
      <c r="E110" s="73">
        <f>('DOE25'!L278)+('DOE25'!L297)+('DOE25'!L316)</f>
        <v>215025</v>
      </c>
      <c r="F110" s="23" t="s">
        <v>288</v>
      </c>
      <c r="G110" s="23" t="s">
        <v>288</v>
      </c>
      <c r="H110" s="13">
        <f t="shared" si="6"/>
        <v>4482017</v>
      </c>
    </row>
    <row r="111" spans="1:8" x14ac:dyDescent="0.2">
      <c r="A111" t="s">
        <v>200</v>
      </c>
      <c r="B111" s="31" t="s">
        <v>165</v>
      </c>
      <c r="C111" s="73">
        <f>('DOE25'!L200)+('DOE25'!L218)+('DOE25'!L236)</f>
        <v>87434</v>
      </c>
      <c r="D111" s="23" t="s">
        <v>288</v>
      </c>
      <c r="E111" s="73">
        <f>('DOE25'!L279)+('DOE25'!L298)+('DOE25'!L317)</f>
        <v>0</v>
      </c>
      <c r="F111" s="23" t="s">
        <v>288</v>
      </c>
      <c r="G111" s="23" t="s">
        <v>288</v>
      </c>
      <c r="H111" s="13">
        <f t="shared" si="6"/>
        <v>87434</v>
      </c>
    </row>
    <row r="112" spans="1:8" x14ac:dyDescent="0.2">
      <c r="A112" t="s">
        <v>201</v>
      </c>
      <c r="B112" s="31" t="s">
        <v>167</v>
      </c>
      <c r="C112" s="73">
        <f>('DOE25'!L201)+('DOE25'!L219)+('DOE25'!L237)</f>
        <v>419135</v>
      </c>
      <c r="D112" s="23" t="s">
        <v>288</v>
      </c>
      <c r="E112" s="73">
        <f>+('DOE25'!L280)+('DOE25'!L299)+('DOE25'!L318)</f>
        <v>11646</v>
      </c>
      <c r="F112" s="23" t="s">
        <v>288</v>
      </c>
      <c r="G112" s="23" t="s">
        <v>288</v>
      </c>
      <c r="H112" s="13">
        <f t="shared" si="6"/>
        <v>430781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1882</v>
      </c>
      <c r="F114" s="23" t="s">
        <v>288</v>
      </c>
      <c r="G114" s="23" t="s">
        <v>288</v>
      </c>
      <c r="H114" s="13">
        <f t="shared" si="6"/>
        <v>1882</v>
      </c>
    </row>
    <row r="115" spans="1:8" ht="12.75" thickTop="1" thickBot="1" x14ac:dyDescent="0.25">
      <c r="A115" s="32" t="s">
        <v>205</v>
      </c>
      <c r="C115" s="68">
        <f>SUM(C109:C114)</f>
        <v>13409813</v>
      </c>
      <c r="D115" s="68">
        <f>SUM(D109:D114)</f>
        <v>0</v>
      </c>
      <c r="E115" s="68">
        <f>SUM(E109:E114)</f>
        <v>700722</v>
      </c>
      <c r="F115" s="68">
        <f>SUM(F109:F114)</f>
        <v>0</v>
      </c>
      <c r="G115" s="68">
        <f>SUM(G109:G114)</f>
        <v>0</v>
      </c>
      <c r="H115" s="68">
        <f t="shared" si="6"/>
        <v>14110535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1534931</v>
      </c>
      <c r="D118" s="23" t="s">
        <v>288</v>
      </c>
      <c r="E118" s="73">
        <f>+('DOE25'!L282)+('DOE25'!L301)+('DOE25'!L320)</f>
        <v>31222</v>
      </c>
      <c r="F118" s="23" t="s">
        <v>288</v>
      </c>
      <c r="G118" s="23" t="s">
        <v>288</v>
      </c>
      <c r="H118" s="13">
        <f t="shared" ref="H118:H145" si="7">SUM(C118:G118)</f>
        <v>1566153</v>
      </c>
    </row>
    <row r="119" spans="1:8" x14ac:dyDescent="0.2">
      <c r="A119" t="s">
        <v>208</v>
      </c>
      <c r="B119" s="31" t="s">
        <v>209</v>
      </c>
      <c r="C119" s="73">
        <f>('DOE25'!L204)+('DOE25'!L222)+('DOE25'!L240)</f>
        <v>992178</v>
      </c>
      <c r="D119" s="23" t="s">
        <v>288</v>
      </c>
      <c r="E119" s="73">
        <f>+('DOE25'!L283)+('DOE25'!L302)+('DOE25'!L321)</f>
        <v>53394</v>
      </c>
      <c r="F119" s="23" t="s">
        <v>288</v>
      </c>
      <c r="G119" s="23" t="s">
        <v>288</v>
      </c>
      <c r="H119" s="13">
        <f t="shared" si="7"/>
        <v>1045572</v>
      </c>
    </row>
    <row r="120" spans="1:8" x14ac:dyDescent="0.2">
      <c r="A120" t="s">
        <v>210</v>
      </c>
      <c r="B120" s="31" t="s">
        <v>211</v>
      </c>
      <c r="C120" s="73">
        <f>('DOE25'!L205)+('DOE25'!L223)+('DOE25'!L241)</f>
        <v>715945</v>
      </c>
      <c r="D120" s="23" t="s">
        <v>288</v>
      </c>
      <c r="E120" s="73">
        <f>+('DOE25'!L284)+('DOE25'!L303)+('DOE25'!L322)</f>
        <v>2333</v>
      </c>
      <c r="F120" s="23" t="s">
        <v>288</v>
      </c>
      <c r="G120" s="23" t="s">
        <v>288</v>
      </c>
      <c r="H120" s="13">
        <f t="shared" si="7"/>
        <v>718278</v>
      </c>
    </row>
    <row r="121" spans="1:8" x14ac:dyDescent="0.2">
      <c r="A121" t="s">
        <v>212</v>
      </c>
      <c r="B121" s="31" t="s">
        <v>213</v>
      </c>
      <c r="C121" s="73">
        <f>('DOE25'!L206)+('DOE25'!L224)+('DOE25'!L242)</f>
        <v>998658</v>
      </c>
      <c r="D121" s="23" t="s">
        <v>288</v>
      </c>
      <c r="E121" s="73">
        <f>+('DOE25'!L285)+('DOE25'!L304)+('DOE25'!L323)</f>
        <v>225</v>
      </c>
      <c r="F121" s="23" t="s">
        <v>288</v>
      </c>
      <c r="G121" s="23" t="s">
        <v>288</v>
      </c>
      <c r="H121" s="13">
        <f t="shared" si="7"/>
        <v>998883</v>
      </c>
    </row>
    <row r="122" spans="1:8" x14ac:dyDescent="0.2">
      <c r="A122" t="s">
        <v>214</v>
      </c>
      <c r="B122" s="31" t="s">
        <v>215</v>
      </c>
      <c r="C122" s="73">
        <f>('DOE25'!L207)+('DOE25'!L225)+('DOE25'!L243)</f>
        <v>389627</v>
      </c>
      <c r="D122" s="23" t="s">
        <v>288</v>
      </c>
      <c r="E122" s="73">
        <f>+('DOE25'!L286)+('DOE25'!L305)+('DOE25'!L324)</f>
        <v>0</v>
      </c>
      <c r="F122" s="23" t="s">
        <v>288</v>
      </c>
      <c r="G122" s="23" t="s">
        <v>288</v>
      </c>
      <c r="H122" s="13">
        <f t="shared" si="7"/>
        <v>389627</v>
      </c>
    </row>
    <row r="123" spans="1:8" x14ac:dyDescent="0.2">
      <c r="A123" t="s">
        <v>216</v>
      </c>
      <c r="B123" s="31" t="s">
        <v>217</v>
      </c>
      <c r="C123" s="73">
        <f>('DOE25'!L208)+('DOE25'!L226)+('DOE25'!L244)</f>
        <v>1814194</v>
      </c>
      <c r="D123" s="23" t="s">
        <v>288</v>
      </c>
      <c r="E123" s="73">
        <f>+('DOE25'!L287)+('DOE25'!L306)+('DOE25'!L325)</f>
        <v>47226</v>
      </c>
      <c r="F123" s="23" t="s">
        <v>288</v>
      </c>
      <c r="G123" s="23" t="s">
        <v>288</v>
      </c>
      <c r="H123" s="13">
        <f t="shared" si="7"/>
        <v>1861420</v>
      </c>
    </row>
    <row r="124" spans="1:8" x14ac:dyDescent="0.2">
      <c r="A124" t="s">
        <v>218</v>
      </c>
      <c r="B124" s="31" t="s">
        <v>219</v>
      </c>
      <c r="C124" s="73">
        <f>('DOE25'!L209)+('DOE25'!L227)+('DOE25'!L245+'DOE25'!L255)</f>
        <v>751532</v>
      </c>
      <c r="D124" s="23" t="s">
        <v>288</v>
      </c>
      <c r="E124" s="73">
        <f>+('DOE25'!L288)+('DOE25'!L307)+('DOE25'!L326)</f>
        <v>193</v>
      </c>
      <c r="F124" s="23" t="s">
        <v>288</v>
      </c>
      <c r="G124" s="23" t="s">
        <v>288</v>
      </c>
      <c r="H124" s="13">
        <f t="shared" si="7"/>
        <v>751725</v>
      </c>
    </row>
    <row r="125" spans="1:8" x14ac:dyDescent="0.2">
      <c r="A125" t="s">
        <v>220</v>
      </c>
      <c r="B125" s="31" t="s">
        <v>221</v>
      </c>
      <c r="C125" s="73">
        <f>('DOE25'!L210)+('DOE25'!L228)+('DOE25'!L246)</f>
        <v>319551</v>
      </c>
      <c r="D125" s="23" t="s">
        <v>288</v>
      </c>
      <c r="E125" s="73">
        <f>+('DOE25'!L289)+('DOE25'!L308)+('DOE25'!L327)</f>
        <v>9766</v>
      </c>
      <c r="F125" s="23" t="s">
        <v>288</v>
      </c>
      <c r="G125" s="23" t="s">
        <v>288</v>
      </c>
      <c r="H125" s="13">
        <f t="shared" si="7"/>
        <v>329317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546515</v>
      </c>
      <c r="E127" s="23" t="s">
        <v>288</v>
      </c>
      <c r="F127" s="23" t="s">
        <v>288</v>
      </c>
      <c r="G127" s="23" t="s">
        <v>288</v>
      </c>
      <c r="H127" s="13">
        <f t="shared" si="7"/>
        <v>546515</v>
      </c>
    </row>
    <row r="128" spans="1:8" ht="12.75" thickTop="1" thickBot="1" x14ac:dyDescent="0.25">
      <c r="A128" s="32" t="s">
        <v>226</v>
      </c>
      <c r="C128" s="68">
        <f>SUM(C118:C127)</f>
        <v>7516616</v>
      </c>
      <c r="D128" s="68">
        <f>SUM(D118:D127)</f>
        <v>546515</v>
      </c>
      <c r="E128" s="68">
        <f>SUM(E118:E127)</f>
        <v>144359</v>
      </c>
      <c r="F128" s="68">
        <f>SUM(F118:F127)</f>
        <v>0</v>
      </c>
      <c r="G128" s="68">
        <f>SUM(G118:G127)</f>
        <v>0</v>
      </c>
      <c r="H128" s="68">
        <f t="shared" si="7"/>
        <v>8207490</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101250</v>
      </c>
      <c r="D130" s="23" t="s">
        <v>288</v>
      </c>
      <c r="E130" s="92">
        <f>'DOE25'!L337</f>
        <v>0</v>
      </c>
      <c r="F130" s="92">
        <f>SUM('DOE25'!L375:'DOE25'!L381)</f>
        <v>226113</v>
      </c>
      <c r="G130" s="23" t="s">
        <v>288</v>
      </c>
      <c r="H130" s="13">
        <f t="shared" si="7"/>
        <v>327363</v>
      </c>
    </row>
    <row r="131" spans="1:8" x14ac:dyDescent="0.2">
      <c r="A131" t="s">
        <v>229</v>
      </c>
      <c r="B131" s="31">
        <v>5110</v>
      </c>
      <c r="C131" s="73">
        <f>'DOE25'!L261</f>
        <v>283625</v>
      </c>
      <c r="D131" s="23" t="s">
        <v>288</v>
      </c>
      <c r="E131" s="92">
        <f>'DOE25'!L342</f>
        <v>0</v>
      </c>
      <c r="F131" s="23" t="s">
        <v>288</v>
      </c>
      <c r="G131" s="23" t="s">
        <v>288</v>
      </c>
      <c r="H131" s="13">
        <f t="shared" si="7"/>
        <v>283625</v>
      </c>
    </row>
    <row r="132" spans="1:8" x14ac:dyDescent="0.2">
      <c r="A132" t="s">
        <v>230</v>
      </c>
      <c r="B132" s="31">
        <v>5120</v>
      </c>
      <c r="C132" s="73">
        <f>'DOE25'!L262</f>
        <v>298930</v>
      </c>
      <c r="D132" s="23" t="s">
        <v>288</v>
      </c>
      <c r="E132" s="92">
        <f>'DOE25'!L343</f>
        <v>0</v>
      </c>
      <c r="F132" s="23" t="s">
        <v>288</v>
      </c>
      <c r="G132" s="23" t="s">
        <v>288</v>
      </c>
      <c r="H132" s="13">
        <f t="shared" si="7"/>
        <v>298930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46994</v>
      </c>
      <c r="D136" s="23" t="s">
        <v>288</v>
      </c>
      <c r="E136" s="23" t="s">
        <v>288</v>
      </c>
      <c r="F136" s="23" t="s">
        <v>288</v>
      </c>
      <c r="G136" s="23" t="s">
        <v>288</v>
      </c>
      <c r="H136" s="13">
        <f t="shared" si="7"/>
        <v>46994</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101134</v>
      </c>
      <c r="D138" s="23" t="s">
        <v>288</v>
      </c>
      <c r="E138" s="23" t="s">
        <v>288</v>
      </c>
      <c r="F138" s="23" t="s">
        <v>288</v>
      </c>
      <c r="G138" s="23" t="s">
        <v>288</v>
      </c>
      <c r="H138" s="13">
        <f t="shared" si="7"/>
        <v>101134</v>
      </c>
    </row>
    <row r="139" spans="1:8" x14ac:dyDescent="0.2">
      <c r="A139" t="s">
        <v>239</v>
      </c>
      <c r="B139" s="31">
        <v>5252</v>
      </c>
      <c r="C139" s="73">
        <f>'DOE25'!L402</f>
        <v>441888</v>
      </c>
      <c r="D139" s="23" t="s">
        <v>288</v>
      </c>
      <c r="E139" s="23" t="s">
        <v>288</v>
      </c>
      <c r="F139" s="23" t="s">
        <v>288</v>
      </c>
      <c r="G139" s="23" t="s">
        <v>288</v>
      </c>
      <c r="H139" s="13">
        <f t="shared" si="7"/>
        <v>441888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-18022</v>
      </c>
      <c r="D141" s="23" t="s">
        <v>288</v>
      </c>
      <c r="E141" s="23" t="s">
        <v>288</v>
      </c>
      <c r="F141" s="23" t="s">
        <v>288</v>
      </c>
      <c r="G141" s="23" t="s">
        <v>288</v>
      </c>
      <c r="H141" s="13">
        <f t="shared" si="7"/>
        <v>-18022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1255799</v>
      </c>
      <c r="D144" s="98">
        <f>SUM(D130:D143)</f>
        <v>0</v>
      </c>
      <c r="E144" s="98">
        <f>SUM(E130:E143)</f>
        <v>0</v>
      </c>
      <c r="F144" s="98">
        <f>SUM(F130:F143)</f>
        <v>226113</v>
      </c>
      <c r="G144" s="98">
        <f>SUM(G130:G143)</f>
        <v>0</v>
      </c>
      <c r="H144" s="98">
        <f t="shared" si="7"/>
        <v>1481912</v>
      </c>
    </row>
    <row r="145" spans="1:9" ht="12.75" thickTop="1" thickBot="1" x14ac:dyDescent="0.25">
      <c r="A145" s="32" t="s">
        <v>244</v>
      </c>
      <c r="C145" s="68">
        <f>(C115+C128+C144)</f>
        <v>22182228</v>
      </c>
      <c r="D145" s="68">
        <f>(D115+D128+D144)</f>
        <v>546515</v>
      </c>
      <c r="E145" s="68">
        <f>(E115+E128+E144)</f>
        <v>845081</v>
      </c>
      <c r="F145" s="68">
        <f>(F115+F128+F144)</f>
        <v>226113</v>
      </c>
      <c r="G145" s="68">
        <f>(G115+G128+G144)</f>
        <v>0</v>
      </c>
      <c r="H145" s="68">
        <f t="shared" si="7"/>
        <v>23799937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07/20</v>
      </c>
      <c r="C152" s="109" t="str">
        <f>'DOE25'!G492</f>
        <v>07/21</v>
      </c>
      <c r="D152" s="109">
        <f>'DOE25'!H492</f>
        <v>0</v>
      </c>
      <c r="E152" s="109">
        <f>'DOE25'!I492</f>
        <v>0</v>
      </c>
      <c r="F152" s="109">
        <f>'DOE25'!J492</f>
        <v>0</v>
      </c>
      <c r="G152" s="23" t="s">
        <v>288</v>
      </c>
    </row>
    <row r="153" spans="1:9" x14ac:dyDescent="0.2">
      <c r="A153" s="21" t="s">
        <v>29</v>
      </c>
      <c r="B153" s="109" t="str">
        <f>'DOE25'!F493</f>
        <v>8/15/40</v>
      </c>
      <c r="C153" s="109" t="str">
        <f>'DOE25'!G493</f>
        <v>8/15/41</v>
      </c>
      <c r="D153" s="109">
        <f>'DOE25'!H493</f>
        <v>0</v>
      </c>
      <c r="E153" s="109">
        <f>'DOE25'!I493</f>
        <v>0</v>
      </c>
      <c r="F153" s="109">
        <f>'DOE25'!J493</f>
        <v>0</v>
      </c>
      <c r="G153" s="23" t="s">
        <v>288</v>
      </c>
    </row>
    <row r="154" spans="1:9" x14ac:dyDescent="0.2">
      <c r="A154" s="21" t="s">
        <v>30</v>
      </c>
      <c r="B154" s="19">
        <f>'DOE25'!F494</f>
        <v>4467525</v>
      </c>
      <c r="C154" s="19">
        <f>'DOE25'!G494</f>
        <v>4168625</v>
      </c>
      <c r="D154" s="19">
        <f>'DOE25'!H494</f>
        <v>0</v>
      </c>
      <c r="E154" s="19">
        <f>'DOE25'!I494</f>
        <v>0</v>
      </c>
      <c r="F154" s="19">
        <f>'DOE25'!J494</f>
        <v>0</v>
      </c>
      <c r="G154" s="23" t="s">
        <v>288</v>
      </c>
    </row>
    <row r="155" spans="1:9" x14ac:dyDescent="0.2">
      <c r="A155" s="21" t="s">
        <v>31</v>
      </c>
      <c r="B155" s="19" t="str">
        <f>'DOE25'!F495</f>
        <v>varies 2.10-5.10</v>
      </c>
      <c r="C155" s="19" t="str">
        <f>'DOE25'!G495</f>
        <v>varies 2.10-5.10</v>
      </c>
      <c r="D155" s="19">
        <f>'DOE25'!H495</f>
        <v>0</v>
      </c>
      <c r="E155" s="19">
        <f>'DOE25'!I495</f>
        <v>0</v>
      </c>
      <c r="F155" s="19">
        <f>'DOE25'!J495</f>
        <v>0</v>
      </c>
      <c r="G155" s="23" t="s">
        <v>288</v>
      </c>
    </row>
    <row r="156" spans="1:9" x14ac:dyDescent="0.2">
      <c r="A156" s="21" t="s">
        <v>32</v>
      </c>
      <c r="B156" s="19">
        <f>'DOE25'!F496</f>
        <v>4324750</v>
      </c>
      <c r="C156" s="19">
        <f>'DOE25'!G496</f>
        <v>4168625</v>
      </c>
      <c r="D156" s="19">
        <f>'DOE25'!H496</f>
        <v>0</v>
      </c>
      <c r="E156" s="19">
        <f>'DOE25'!I496</f>
        <v>0</v>
      </c>
      <c r="F156" s="19">
        <f>'DOE25'!J496</f>
        <v>0</v>
      </c>
      <c r="G156" s="96">
        <f>SUM(B156:F156)</f>
        <v>8493375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150000</v>
      </c>
      <c r="C158" s="19">
        <f>'DOE25'!G498</f>
        <v>154543</v>
      </c>
      <c r="D158" s="19">
        <f>'DOE25'!H498</f>
        <v>0</v>
      </c>
      <c r="E158" s="19">
        <f>'DOE25'!I498</f>
        <v>0</v>
      </c>
      <c r="F158" s="19">
        <f>'DOE25'!J498</f>
        <v>0</v>
      </c>
      <c r="G158" s="96">
        <f t="shared" si="8"/>
        <v>304543</v>
      </c>
    </row>
    <row r="159" spans="1:9" x14ac:dyDescent="0.2">
      <c r="A159" s="21" t="s">
        <v>35</v>
      </c>
      <c r="B159" s="19">
        <f>'DOE25'!F499</f>
        <v>4174750</v>
      </c>
      <c r="C159" s="19">
        <f>'DOE25'!G499</f>
        <v>4014082</v>
      </c>
      <c r="D159" s="19">
        <f>'DOE25'!H499</f>
        <v>0</v>
      </c>
      <c r="E159" s="19">
        <f>'DOE25'!I499</f>
        <v>0</v>
      </c>
      <c r="F159" s="19">
        <f>'DOE25'!J499</f>
        <v>0</v>
      </c>
      <c r="G159" s="96">
        <f t="shared" si="8"/>
        <v>8188832</v>
      </c>
    </row>
    <row r="160" spans="1:9" x14ac:dyDescent="0.2">
      <c r="A160" s="21" t="s">
        <v>36</v>
      </c>
      <c r="B160" s="19">
        <f>'DOE25'!F500</f>
        <v>1128691.1300000004</v>
      </c>
      <c r="C160" s="19">
        <f>'DOE25'!G500</f>
        <v>1364062.5</v>
      </c>
      <c r="D160" s="19">
        <f>'DOE25'!H500</f>
        <v>0</v>
      </c>
      <c r="E160" s="19">
        <f>'DOE25'!I500</f>
        <v>0</v>
      </c>
      <c r="F160" s="19">
        <f>'DOE25'!J500</f>
        <v>0</v>
      </c>
      <c r="G160" s="96">
        <f t="shared" si="8"/>
        <v>2492753.6300000004</v>
      </c>
    </row>
    <row r="161" spans="1:7" x14ac:dyDescent="0.2">
      <c r="A161" s="21" t="s">
        <v>37</v>
      </c>
      <c r="B161" s="19">
        <f>'DOE25'!F501</f>
        <v>5303441.1300000008</v>
      </c>
      <c r="C161" s="19">
        <f>'DOE25'!G501</f>
        <v>5378144.5</v>
      </c>
      <c r="D161" s="19">
        <f>'DOE25'!H501</f>
        <v>0</v>
      </c>
      <c r="E161" s="19">
        <f>'DOE25'!I501</f>
        <v>0</v>
      </c>
      <c r="F161" s="19">
        <f>'DOE25'!J501</f>
        <v>0</v>
      </c>
      <c r="G161" s="96">
        <f t="shared" si="8"/>
        <v>10681585.630000001</v>
      </c>
    </row>
    <row r="162" spans="1:7" x14ac:dyDescent="0.2">
      <c r="A162" s="21" t="s">
        <v>38</v>
      </c>
      <c r="B162" s="19">
        <f>'DOE25'!F502</f>
        <v>159750</v>
      </c>
      <c r="C162" s="19">
        <f>'DOE25'!G502</f>
        <v>135000</v>
      </c>
      <c r="D162" s="19">
        <f>'DOE25'!H502</f>
        <v>0</v>
      </c>
      <c r="E162" s="19">
        <f>'DOE25'!I502</f>
        <v>0</v>
      </c>
      <c r="F162" s="19">
        <f>'DOE25'!J502</f>
        <v>0</v>
      </c>
      <c r="G162" s="96">
        <f t="shared" si="8"/>
        <v>294750</v>
      </c>
    </row>
    <row r="163" spans="1:7" x14ac:dyDescent="0.2">
      <c r="A163" s="21" t="s">
        <v>39</v>
      </c>
      <c r="B163" s="19">
        <f>'DOE25'!F503</f>
        <v>136488.63</v>
      </c>
      <c r="C163" s="19">
        <f>'DOE25'!G503</f>
        <v>147692.5</v>
      </c>
      <c r="D163" s="19">
        <f>'DOE25'!H503</f>
        <v>0</v>
      </c>
      <c r="E163" s="19">
        <f>'DOE25'!I503</f>
        <v>0</v>
      </c>
      <c r="F163" s="19">
        <f>'DOE25'!J503</f>
        <v>0</v>
      </c>
      <c r="G163" s="96">
        <f t="shared" si="8"/>
        <v>284181.13</v>
      </c>
    </row>
    <row r="164" spans="1:7" x14ac:dyDescent="0.2">
      <c r="A164" s="21" t="s">
        <v>246</v>
      </c>
      <c r="B164" s="19">
        <f>'DOE25'!F504</f>
        <v>296238.63</v>
      </c>
      <c r="C164" s="19">
        <f>'DOE25'!G504</f>
        <v>282692.5</v>
      </c>
      <c r="D164" s="19">
        <f>'DOE25'!H504</f>
        <v>0</v>
      </c>
      <c r="E164" s="19">
        <f>'DOE25'!I504</f>
        <v>0</v>
      </c>
      <c r="F164" s="19">
        <f>'DOE25'!J504</f>
        <v>0</v>
      </c>
      <c r="G164" s="96">
        <f t="shared" si="8"/>
        <v>578931.13</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33203125" customWidth="1"/>
    <col min="4" max="4" width="10.33203125" customWidth="1"/>
  </cols>
  <sheetData>
    <row r="1" spans="1:4" ht="18" x14ac:dyDescent="0.25">
      <c r="A1" s="326" t="s">
        <v>736</v>
      </c>
      <c r="B1" s="326"/>
      <c r="C1" s="326"/>
      <c r="D1" s="326"/>
    </row>
    <row r="2" spans="1:4" x14ac:dyDescent="0.2">
      <c r="A2" s="136" t="s">
        <v>713</v>
      </c>
      <c r="B2" s="135" t="str">
        <f>'DOE25'!A2</f>
        <v>Hopkinton</v>
      </c>
    </row>
    <row r="3" spans="1:4" x14ac:dyDescent="0.2">
      <c r="B3" s="137" t="s">
        <v>1799</v>
      </c>
    </row>
    <row r="4" spans="1:4" x14ac:dyDescent="0.2">
      <c r="B4" t="s">
        <v>61</v>
      </c>
      <c r="C4" s="129">
        <f>IF('DOE25'!F666+'DOE25'!F671=0,0,ROUND('DOE25'!F673,0))</f>
        <v>22441</v>
      </c>
    </row>
    <row r="5" spans="1:4" x14ac:dyDescent="0.2">
      <c r="B5" t="s">
        <v>700</v>
      </c>
      <c r="C5" s="129">
        <f>IF('DOE25'!G666+'DOE25'!G671=0,0,ROUND('DOE25'!G673,0))</f>
        <v>22109</v>
      </c>
    </row>
    <row r="6" spans="1:4" x14ac:dyDescent="0.2">
      <c r="B6" t="s">
        <v>62</v>
      </c>
      <c r="C6" s="129">
        <f>IF('DOE25'!H666+'DOE25'!H671=0,0,ROUND('DOE25'!H673,0))</f>
        <v>20921</v>
      </c>
    </row>
    <row r="7" spans="1:4" x14ac:dyDescent="0.2">
      <c r="B7" t="s">
        <v>701</v>
      </c>
      <c r="C7" s="129">
        <f>IF('DOE25'!I666+'DOE25'!I671=0,0,ROUND('DOE25'!I673,0))</f>
        <v>21896</v>
      </c>
    </row>
    <row r="9" spans="1:4" x14ac:dyDescent="0.2">
      <c r="A9" s="136" t="s">
        <v>94</v>
      </c>
      <c r="B9" s="137" t="s">
        <v>1800</v>
      </c>
      <c r="C9" s="131" t="s">
        <v>720</v>
      </c>
      <c r="D9" s="131" t="s">
        <v>721</v>
      </c>
    </row>
    <row r="10" spans="1:4" x14ac:dyDescent="0.2">
      <c r="A10">
        <v>1100</v>
      </c>
      <c r="B10" t="s">
        <v>702</v>
      </c>
      <c r="C10" s="129">
        <f>ROUND('DOE25'!L198+'DOE25'!L216+'DOE25'!L234+'DOE25'!L277+'DOE25'!L296+'DOE25'!L315,0)</f>
        <v>9108421</v>
      </c>
      <c r="D10" s="132">
        <f>ROUND((C10/$C$28)*100,1)</f>
        <v>40.9</v>
      </c>
    </row>
    <row r="11" spans="1:4" x14ac:dyDescent="0.2">
      <c r="A11">
        <v>1200</v>
      </c>
      <c r="B11" t="s">
        <v>703</v>
      </c>
      <c r="C11" s="129">
        <f>ROUND('DOE25'!L199+'DOE25'!L217+'DOE25'!L235+'DOE25'!L278+'DOE25'!L297+'DOE25'!L316,0)</f>
        <v>4482017</v>
      </c>
      <c r="D11" s="132">
        <f>ROUND((C11/$C$28)*100,1)</f>
        <v>20.100000000000001</v>
      </c>
    </row>
    <row r="12" spans="1:4" x14ac:dyDescent="0.2">
      <c r="A12">
        <v>1300</v>
      </c>
      <c r="B12" t="s">
        <v>704</v>
      </c>
      <c r="C12" s="129">
        <f>ROUND('DOE25'!L200+'DOE25'!L218+'DOE25'!L236+'DOE25'!L279+'DOE25'!L298+'DOE25'!L317,0)</f>
        <v>87434</v>
      </c>
      <c r="D12" s="132">
        <f>ROUND((C12/$C$28)*100,1)</f>
        <v>0.4</v>
      </c>
    </row>
    <row r="13" spans="1:4" x14ac:dyDescent="0.2">
      <c r="A13">
        <v>1400</v>
      </c>
      <c r="B13" t="s">
        <v>705</v>
      </c>
      <c r="C13" s="129">
        <f>ROUND('DOE25'!L201+'DOE25'!L219+'DOE25'!L237+'DOE25'!L280+'DOE25'!L299+'DOE25'!L318,0)</f>
        <v>430781</v>
      </c>
      <c r="D13" s="132">
        <f>ROUND((C13/$C$28)*100,1)</f>
        <v>1.9</v>
      </c>
    </row>
    <row r="14" spans="1:4" x14ac:dyDescent="0.2">
      <c r="D14" s="132"/>
    </row>
    <row r="15" spans="1:4" x14ac:dyDescent="0.2">
      <c r="A15">
        <v>2100</v>
      </c>
      <c r="B15" t="s">
        <v>706</v>
      </c>
      <c r="C15" s="129">
        <f>ROUND('DOE25'!L203+'DOE25'!L221+'DOE25'!L239+'DOE25'!L282+'DOE25'!L301+'DOE25'!L320,0)</f>
        <v>1566153</v>
      </c>
      <c r="D15" s="132">
        <f t="shared" ref="D15:D27" si="0">ROUND((C15/$C$28)*100,1)</f>
        <v>7</v>
      </c>
    </row>
    <row r="16" spans="1:4" x14ac:dyDescent="0.2">
      <c r="A16">
        <v>2200</v>
      </c>
      <c r="B16" t="s">
        <v>707</v>
      </c>
      <c r="C16" s="129">
        <f>ROUND('DOE25'!L204+'DOE25'!L222+'DOE25'!L240+'DOE25'!L283+'DOE25'!L302+'DOE25'!L321,0)</f>
        <v>1045572</v>
      </c>
      <c r="D16" s="132">
        <f t="shared" si="0"/>
        <v>4.7</v>
      </c>
    </row>
    <row r="17" spans="1:4" x14ac:dyDescent="0.2">
      <c r="A17" s="133" t="s">
        <v>723</v>
      </c>
      <c r="B17" t="s">
        <v>738</v>
      </c>
      <c r="C17" s="129">
        <f>ROUND('DOE25'!L205+'DOE25'!L210+'DOE25'!L223+'DOE25'!L228+'DOE25'!L241+'DOE25'!L246+'DOE25'!L284+'DOE25'!L289+'DOE25'!L303+'DOE25'!L308+'DOE25'!L322+'DOE25'!L327,0)</f>
        <v>1047595</v>
      </c>
      <c r="D17" s="132">
        <f t="shared" si="0"/>
        <v>4.7</v>
      </c>
    </row>
    <row r="18" spans="1:4" x14ac:dyDescent="0.2">
      <c r="A18">
        <v>2400</v>
      </c>
      <c r="B18" t="s">
        <v>711</v>
      </c>
      <c r="C18" s="129">
        <f>ROUND('DOE25'!L206+'DOE25'!L224+'DOE25'!L242+'DOE25'!L285+'DOE25'!L304+'DOE25'!L323,0)</f>
        <v>998883</v>
      </c>
      <c r="D18" s="132">
        <f t="shared" si="0"/>
        <v>4.5</v>
      </c>
    </row>
    <row r="19" spans="1:4" x14ac:dyDescent="0.2">
      <c r="A19">
        <v>2500</v>
      </c>
      <c r="B19" t="s">
        <v>708</v>
      </c>
      <c r="C19" s="129">
        <f>ROUND('DOE25'!L207+'DOE25'!L225+'DOE25'!L243+'DOE25'!L286+'DOE25'!L305+'DOE25'!L324,0)</f>
        <v>389627</v>
      </c>
      <c r="D19" s="132">
        <f t="shared" si="0"/>
        <v>1.7</v>
      </c>
    </row>
    <row r="20" spans="1:4" x14ac:dyDescent="0.2">
      <c r="A20">
        <v>2600</v>
      </c>
      <c r="B20" t="s">
        <v>709</v>
      </c>
      <c r="C20" s="129">
        <f>ROUND('DOE25'!L208+'DOE25'!L226+'DOE25'!L244+'DOE25'!L287+'DOE25'!L306+'DOE25'!L325,0)</f>
        <v>1861420</v>
      </c>
      <c r="D20" s="132">
        <f t="shared" si="0"/>
        <v>8.4</v>
      </c>
    </row>
    <row r="21" spans="1:4" x14ac:dyDescent="0.2">
      <c r="A21">
        <v>2700</v>
      </c>
      <c r="B21" t="s">
        <v>710</v>
      </c>
      <c r="C21" s="129">
        <f>ROUND('DOE25'!L209+'DOE25'!L227+'DOE25'!L245+'DOE25'!L288+'DOE25'!L307+'DOE25'!L326,0)</f>
        <v>751725</v>
      </c>
      <c r="D21" s="132">
        <f t="shared" si="0"/>
        <v>3.4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1882</v>
      </c>
      <c r="D24" s="132">
        <f t="shared" si="0"/>
        <v>0</v>
      </c>
    </row>
    <row r="25" spans="1:4" x14ac:dyDescent="0.2">
      <c r="A25">
        <v>5120</v>
      </c>
      <c r="B25" t="s">
        <v>716</v>
      </c>
      <c r="C25" s="129">
        <f>ROUND('DOE25'!L262+'DOE25'!L343,0)</f>
        <v>298930</v>
      </c>
      <c r="D25" s="132">
        <f t="shared" si="0"/>
        <v>1.3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201546</v>
      </c>
      <c r="D27" s="132">
        <f t="shared" si="0"/>
        <v>0.9</v>
      </c>
    </row>
    <row r="28" spans="1:4" x14ac:dyDescent="0.2">
      <c r="B28" s="136" t="s">
        <v>719</v>
      </c>
      <c r="C28" s="130">
        <f>SUM(C10:C27)</f>
        <v>22271986</v>
      </c>
      <c r="D28" s="134">
        <f>ROUND(SUM(D10:D27),0)</f>
        <v>100</v>
      </c>
    </row>
    <row r="29" spans="1:4" x14ac:dyDescent="0.2">
      <c r="A29">
        <v>4000</v>
      </c>
      <c r="B29" t="s">
        <v>724</v>
      </c>
      <c r="C29" s="129">
        <f>ROUND('DOE25'!L256+'DOE25'!L337+'DOE25'!L375+'DOE25'!L376+'DOE25'!L377+'DOE25'!L378+'DOE25'!L379+'DOE25'!L380+'DOE25'!L381,0)</f>
        <v>327363</v>
      </c>
    </row>
    <row r="30" spans="1:4" x14ac:dyDescent="0.2">
      <c r="B30" s="136" t="s">
        <v>725</v>
      </c>
      <c r="C30" s="130">
        <f>SUM(C28:C29)</f>
        <v>22599349</v>
      </c>
    </row>
    <row r="31" spans="1:4" x14ac:dyDescent="0.2">
      <c r="B31" s="32"/>
      <c r="C31" s="130"/>
    </row>
    <row r="32" spans="1:4" x14ac:dyDescent="0.2">
      <c r="A32">
        <v>5100</v>
      </c>
      <c r="B32" s="32" t="s">
        <v>726</v>
      </c>
      <c r="C32" s="130">
        <f>ROUND('DOE25'!L261+'DOE25'!L342,0)</f>
        <v>283625</v>
      </c>
    </row>
    <row r="34" spans="1:4" x14ac:dyDescent="0.2">
      <c r="A34" s="136" t="s">
        <v>94</v>
      </c>
      <c r="B34" s="137" t="s">
        <v>1801</v>
      </c>
      <c r="C34" s="131" t="s">
        <v>720</v>
      </c>
      <c r="D34" s="131" t="s">
        <v>721</v>
      </c>
    </row>
    <row r="35" spans="1:4" x14ac:dyDescent="0.2">
      <c r="A35">
        <v>1100</v>
      </c>
      <c r="B35" s="71" t="s">
        <v>727</v>
      </c>
      <c r="C35" s="129">
        <f>ROUND('DOE25'!F60+'DOE25'!G60+'DOE25'!H60+'DOE25'!I60+'DOE25'!J60,0)</f>
        <v>16866677</v>
      </c>
      <c r="D35" s="132">
        <f t="shared" ref="D35:D40" si="1">ROUND((C35/$C$41)*100,1)</f>
        <v>75.2</v>
      </c>
    </row>
    <row r="36" spans="1:4" x14ac:dyDescent="0.2">
      <c r="B36" s="71" t="s">
        <v>739</v>
      </c>
      <c r="C36" s="129">
        <f>SUM('DOE25'!F112:J112)-SUM('DOE25'!G97:G110)+('DOE25'!F175+'DOE25'!F176+'DOE25'!I175+'DOE25'!I176)-C35</f>
        <v>471861</v>
      </c>
      <c r="D36" s="132">
        <f t="shared" si="1"/>
        <v>2.1</v>
      </c>
    </row>
    <row r="37" spans="1:4" x14ac:dyDescent="0.2">
      <c r="A37" s="133" t="s">
        <v>834</v>
      </c>
      <c r="B37" s="71" t="s">
        <v>728</v>
      </c>
      <c r="C37" s="129">
        <f>ROUND('DOE25'!F117+'DOE25'!F118,0)</f>
        <v>3857552</v>
      </c>
      <c r="D37" s="132">
        <f t="shared" si="1"/>
        <v>17.2</v>
      </c>
    </row>
    <row r="38" spans="1:4" x14ac:dyDescent="0.2">
      <c r="A38" s="133" t="s">
        <v>734</v>
      </c>
      <c r="B38" s="71" t="s">
        <v>729</v>
      </c>
      <c r="C38" s="129">
        <f>ROUND(SUM('DOE25'!F140:J140)-SUM('DOE25'!F117:F119),0)</f>
        <v>407919</v>
      </c>
      <c r="D38" s="132">
        <f t="shared" si="1"/>
        <v>1.8</v>
      </c>
    </row>
    <row r="39" spans="1:4" x14ac:dyDescent="0.2">
      <c r="A39">
        <v>4000</v>
      </c>
      <c r="B39" s="71" t="s">
        <v>730</v>
      </c>
      <c r="C39" s="129">
        <f>ROUND('DOE25'!F170+'DOE25'!G170+'DOE25'!H170+'DOE25'!I170,0)</f>
        <v>834214</v>
      </c>
      <c r="D39" s="132">
        <f t="shared" si="1"/>
        <v>3.7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22438223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Hopkinton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 customWidth="1"/>
    <col min="3" max="3" width="34" customWidth="1"/>
    <col min="4" max="4" width="10.33203125" customWidth="1"/>
    <col min="5" max="5" width="13" customWidth="1"/>
    <col min="7" max="10" width="15" customWidth="1"/>
    <col min="11" max="11" width="16.6640625" customWidth="1"/>
    <col min="12" max="12" width="16" customWidth="1"/>
    <col min="13" max="13" width="17.33203125" customWidth="1"/>
    <col min="14" max="14" width="13.6640625" customWidth="1"/>
    <col min="17" max="17" width="15.33203125" customWidth="1"/>
    <col min="18" max="21" width="17.33203125" customWidth="1"/>
    <col min="22" max="22" width="13" customWidth="1"/>
    <col min="24" max="24" width="17.6640625" customWidth="1"/>
    <col min="25" max="25" width="16" customWidth="1"/>
    <col min="26" max="26" width="14.33203125" customWidth="1"/>
    <col min="29" max="32" width="15.33203125" customWidth="1"/>
    <col min="36" max="36" width="19.6640625" customWidth="1"/>
    <col min="38" max="38" width="13.6640625" customWidth="1"/>
    <col min="40" max="40" width="16" customWidth="1"/>
    <col min="42" max="42" width="23"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172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f>IF('School Level Expenditures'!$B$2='School Tables'!L31,'School Tables'!S31,"")</f>
        <v>28</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f>IF('School Level Expenditures'!$B$2='School Tables'!W36,'School Tables'!AD36,"")</f>
        <v>33</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63.75"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f>IF('School Level Expenditures'!$B$2=A119,'School Tables'!H119,"")</f>
        <v>116</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f>IF('School Level Expenditures'!$B$2=A175,'School Tables'!H175,"")</f>
        <v>172</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25.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2023-09-12T13:05:52Z</cp:lastPrinted>
  <dcterms:created xsi:type="dcterms:W3CDTF">1997-12-04T19:04:30Z</dcterms:created>
  <dcterms:modified xsi:type="dcterms:W3CDTF">2023-12-28T18:42:54Z</dcterms:modified>
</cp:coreProperties>
</file>