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323D6C8C-5605-431D-9CE1-639E62A6A281}"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H24" i="2" s="1"/>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H76" i="2" s="1"/>
  <c r="F76" i="2"/>
  <c r="C77" i="2"/>
  <c r="D77" i="2"/>
  <c r="D78" i="2" s="1"/>
  <c r="E77" i="2"/>
  <c r="F77" i="2"/>
  <c r="G77" i="2"/>
  <c r="G78" i="2" s="1"/>
  <c r="C79" i="2"/>
  <c r="D79" i="2"/>
  <c r="E79" i="2"/>
  <c r="C80" i="2"/>
  <c r="E80" i="2"/>
  <c r="C85" i="2"/>
  <c r="F85" i="2"/>
  <c r="C87" i="2"/>
  <c r="E87" i="2"/>
  <c r="F87" i="2"/>
  <c r="C89" i="2"/>
  <c r="H89" i="2" s="1"/>
  <c r="D89" i="2"/>
  <c r="E89" i="2"/>
  <c r="F89" i="2"/>
  <c r="C90" i="2"/>
  <c r="H90" i="2" s="1"/>
  <c r="C93" i="2"/>
  <c r="H93" i="2" s="1"/>
  <c r="F93" i="2"/>
  <c r="C94" i="2"/>
  <c r="H94" i="2" s="1"/>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C125" i="2"/>
  <c r="H125" i="2" s="1"/>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H653" i="1"/>
  <c r="G654" i="1"/>
  <c r="H654" i="1"/>
  <c r="H655" i="1"/>
  <c r="H656" i="1"/>
  <c r="I170" i="1"/>
  <c r="I409" i="1" l="1"/>
  <c r="H69" i="2"/>
  <c r="H30" i="2"/>
  <c r="H28" i="2"/>
  <c r="H25" i="2"/>
  <c r="H17" i="2"/>
  <c r="H102" i="2"/>
  <c r="H100" i="2"/>
  <c r="H98" i="2"/>
  <c r="H73" i="2"/>
  <c r="H23" i="2"/>
  <c r="H15" i="2"/>
  <c r="H143" i="2"/>
  <c r="G409" i="1"/>
  <c r="H646" i="1" s="1"/>
  <c r="J646" i="1" s="1"/>
  <c r="H80" i="2"/>
  <c r="H77" i="2"/>
  <c r="E124" i="2"/>
  <c r="C13" i="10"/>
  <c r="H29" i="2"/>
  <c r="J140" i="1"/>
  <c r="D18" i="13"/>
  <c r="C18" i="13" s="1"/>
  <c r="C121" i="2"/>
  <c r="H121" i="2" s="1"/>
  <c r="C120" i="2"/>
  <c r="H61" i="2"/>
  <c r="H132" i="2"/>
  <c r="H36" i="2"/>
  <c r="H44" i="2"/>
  <c r="H48" i="2"/>
  <c r="H101" i="2"/>
  <c r="H99" i="2"/>
  <c r="H79" i="2"/>
  <c r="H58" i="2"/>
  <c r="H13" i="2"/>
  <c r="H113" i="2"/>
  <c r="E121" i="2"/>
  <c r="H131" i="2"/>
  <c r="H97" i="2"/>
  <c r="H87" i="2"/>
  <c r="H26" i="2"/>
  <c r="H47" i="2"/>
  <c r="J652" i="1"/>
  <c r="G477" i="1"/>
  <c r="B33" i="16" s="1"/>
  <c r="D29" i="13"/>
  <c r="C29" i="13" s="1"/>
  <c r="H12" i="2"/>
  <c r="H11" i="2"/>
  <c r="D15" i="13"/>
  <c r="C15" i="13" s="1"/>
  <c r="C12" i="10"/>
  <c r="E13" i="13"/>
  <c r="C13" i="13" s="1"/>
  <c r="N2" i="14"/>
  <c r="N3" i="14" s="1"/>
  <c r="D6" i="13"/>
  <c r="C6" i="13" s="1"/>
  <c r="H112" i="2"/>
  <c r="A40" i="12"/>
  <c r="H120" i="2"/>
  <c r="H8" i="2"/>
  <c r="H477" i="1"/>
  <c r="H625" i="1" s="1"/>
  <c r="M2" i="14"/>
  <c r="M3" i="14" s="1"/>
  <c r="L2" i="14"/>
  <c r="L3" i="14" s="1"/>
  <c r="K2" i="14"/>
  <c r="K3" i="14" s="1"/>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7" i="2" l="1"/>
  <c r="H42" i="2"/>
  <c r="H21" i="2"/>
  <c r="H134" i="2"/>
  <c r="H16" i="2"/>
  <c r="H103" i="2"/>
  <c r="L572" i="1"/>
  <c r="H85" i="2"/>
  <c r="D128" i="2"/>
  <c r="D145" i="2" s="1"/>
  <c r="H127" i="2"/>
  <c r="I662" i="1"/>
  <c r="H123" i="2"/>
  <c r="H31" i="2"/>
  <c r="H91" i="2"/>
  <c r="C81" i="2"/>
  <c r="F194" i="1"/>
  <c r="G628" i="1" s="1"/>
  <c r="J628" i="1" s="1"/>
  <c r="H18" i="2"/>
  <c r="E128" i="2"/>
  <c r="H118" i="2"/>
  <c r="E81" i="2"/>
  <c r="H78" i="2"/>
  <c r="E63" i="2"/>
  <c r="H62" i="2"/>
  <c r="E51" i="2"/>
  <c r="H50" i="2"/>
  <c r="M24" i="14"/>
  <c r="F661" i="1"/>
  <c r="E115" i="2"/>
  <c r="H109" i="2"/>
  <c r="F144" i="2"/>
  <c r="H130" i="2"/>
  <c r="H661" i="1"/>
  <c r="H665" i="1" s="1"/>
  <c r="H194" i="1"/>
  <c r="G630" i="1" s="1"/>
  <c r="J630" i="1" s="1"/>
  <c r="H649" i="1"/>
  <c r="J649" i="1" s="1"/>
  <c r="C141" i="2"/>
  <c r="F51" i="2"/>
  <c r="G36" i="14"/>
  <c r="H36" i="14" s="1"/>
  <c r="E104" i="2"/>
  <c r="C36" i="10"/>
  <c r="L435" i="1"/>
  <c r="G639" i="1" s="1"/>
  <c r="J639" i="1" s="1"/>
  <c r="F665" i="1"/>
  <c r="F670"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H81" i="2"/>
  <c r="H104" i="2"/>
  <c r="H63" i="2"/>
  <c r="C144" i="2"/>
  <c r="C145" i="2" s="1"/>
  <c r="H141"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<sst xmlns="http://schemas.openxmlformats.org/spreadsheetml/2006/main" count="6558" uniqueCount="1813">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</sst>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5" zoomScaleNormal="115"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1128</v>
      </c>
      <c r="B2">
        <f>INDEX('School Tables'!$AH$3:$AH$209,MATCH('DOE25'!A2,'School Tables'!$AJ$3:$AJ$209,0))</f>
        <v>269</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3278730.61</v>
      </c>
      <c r="G9" s="18"/>
      <c r="H9" s="18"/>
      <c r="I9" s="18">
        <v>3231</v>
      </c>
      <c r="J9" s="13">
        <f>SUM(I440)</f>
        <v>797865.99</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2140675.9</v>
      </c>
      <c r="G12" s="18">
        <v>90458.02</v>
      </c>
      <c r="H12" s="18">
        <v>72929.33</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57266.34</v>
      </c>
      <c r="G13" s="18">
        <v>39047.06</v>
      </c>
      <c r="H13" s="18">
        <v>75434.97</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3902.37</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21373.27</v>
      </c>
      <c r="G17" s="18">
        <v>7004.06</v>
      </c>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5501948.4899999993</v>
      </c>
      <c r="G19" s="38">
        <f>SUM(G9:G18)</f>
        <v>136509.14000000001</v>
      </c>
      <c r="H19" s="38">
        <f>SUM(H9:H18)</f>
        <v>148364.29999999999</v>
      </c>
      <c r="I19" s="38">
        <f>SUM(I9:I18)</f>
        <v>3231</v>
      </c>
      <c r="J19" s="38">
        <f>SUM(J9:J18)</f>
        <v>797865.99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2304134.91</v>
      </c>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v>2581.44</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58971.17</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31629.439999999999</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-11695.2</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371.19</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2395106.71</v>
      </c>
      <c r="G32" s="38">
        <f>SUM(G22:G31)</f>
        <v>-11695.2</v>
      </c>
      <c r="H32" s="38">
        <f>SUM(H22:H31)</f>
        <v>2581.44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325063</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148204.34</v>
      </c>
      <c r="H48" s="18">
        <v>145782.85999999999</v>
      </c>
      <c r="I48" s="18">
        <v>3231</v>
      </c>
      <c r="J48" s="13">
        <f>SUM(I460)</f>
        <v>797865.99</v>
      </c>
      <c r="K48" s="23" t="s">
        <v>288</v>
      </c>
      <c r="L48" s="23" t="s">
        <v>288</v>
      </c>
      <c r="M48" s="8"/>
      <c r="N48" s="165"/>
    </row>
    <row r="49" spans="1:14" s="3" customFormat="1" ht="12.2" customHeight="1" x14ac:dyDescent="0.15">
      <c r="A49" s="1" t="s">
        <v>858</v>
      </c>
      <c r="B49" s="2" t="s">
        <v>289</v>
      </c>
      <c r="C49" s="6">
        <v>34</v>
      </c>
      <c r="D49" s="2"/>
      <c r="E49" s="6">
        <v>753</v>
      </c>
      <c r="F49" s="18">
        <v>1669231.88</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862546.9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3106841.78</v>
      </c>
      <c r="G51" s="38">
        <f>SUM(G35:G50)</f>
        <v>148204.34</v>
      </c>
      <c r="H51" s="38">
        <f>SUM(H35:H50)</f>
        <v>145782.85999999999</v>
      </c>
      <c r="I51" s="38">
        <f>SUM(I35:I50)</f>
        <v>3231</v>
      </c>
      <c r="J51" s="38">
        <f>SUM(J35:J50)</f>
        <v>797865.99</v>
      </c>
      <c r="K51" s="42" t="s">
        <v>288</v>
      </c>
      <c r="L51" s="42" t="s">
        <v>288</v>
      </c>
      <c r="N51" s="131"/>
    </row>
    <row r="52" spans="1:14" s="3" customFormat="1" ht="12.2" customHeight="1" thickTop="1" x14ac:dyDescent="0.15">
      <c r="A52" s="35" t="s">
        <v>455</v>
      </c>
      <c r="B52" s="36" t="s">
        <v>289</v>
      </c>
      <c r="C52" s="6">
        <v>37</v>
      </c>
      <c r="D52" s="36" t="s">
        <v>653</v>
      </c>
      <c r="E52" s="36"/>
      <c r="F52" s="38">
        <f>F51+F32</f>
        <v>5501948.4900000002</v>
      </c>
      <c r="G52" s="38">
        <f>G51+G32</f>
        <v>136509.13999999998</v>
      </c>
      <c r="H52" s="38">
        <f>H51+H32</f>
        <v>148364.29999999999</v>
      </c>
      <c r="I52" s="38">
        <f>I51+I32</f>
        <v>3231</v>
      </c>
      <c r="J52" s="38">
        <f>J51+J32</f>
        <v>797865.99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21700054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21700054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61122.54</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61122.54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5948.72</v>
      </c>
      <c r="G96" s="18"/>
      <c r="H96" s="18"/>
      <c r="I96" s="18"/>
      <c r="J96" s="18">
        <v>14319.35</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191868.65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32825</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84136.01</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35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11710.46</v>
      </c>
      <c r="G110" s="18"/>
      <c r="H110" s="18">
        <v>2496.6</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50519.18</v>
      </c>
      <c r="G111" s="38">
        <f>SUM(G96:G110)</f>
        <v>191868.65</v>
      </c>
      <c r="H111" s="38">
        <f>SUM(H96:H110)</f>
        <v>86632.61</v>
      </c>
      <c r="I111" s="38">
        <f>SUM(I96:I110)</f>
        <v>0</v>
      </c>
      <c r="J111" s="38">
        <f>SUM(J96:J110)</f>
        <v>14319.35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21811695.719999999</v>
      </c>
      <c r="G112" s="38">
        <f>G60+G111</f>
        <v>191868.65</v>
      </c>
      <c r="H112" s="38">
        <f>H60+H79+H94+H111</f>
        <v>86632.61</v>
      </c>
      <c r="I112" s="38">
        <f>I60+I111</f>
        <v>0</v>
      </c>
      <c r="J112" s="38">
        <f>J60+J111</f>
        <v>14319.35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1893964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4304957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3597.02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6202518.0199999996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90930.54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9986.7999999999993</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8450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5847.01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146810.54</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247727.88</v>
      </c>
      <c r="G136" s="38">
        <f>SUM(G123:G135)</f>
        <v>5847.01</v>
      </c>
      <c r="H136" s="38">
        <f>SUM(H123:H135)</f>
        <v>8450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6450245.8999999994</v>
      </c>
      <c r="G140" s="38">
        <f>G121+SUM(G136:G137)</f>
        <v>5847.01</v>
      </c>
      <c r="H140" s="38">
        <f>H121+SUM(H136:H139)</f>
        <v>8450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265443.73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108500.35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159378.62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289993.71999999997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109971.09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53818.720000000001</v>
      </c>
      <c r="G161" s="18"/>
      <c r="H161" s="18">
        <v>19356.86</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178078.58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163789.81</v>
      </c>
      <c r="G163" s="38">
        <f>SUM(G150:G162)</f>
        <v>159378.62</v>
      </c>
      <c r="H163" s="38">
        <f>SUM(H150:H162)</f>
        <v>861373.23999999987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8012.52</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171802.33</v>
      </c>
      <c r="G170" s="38">
        <f>G147+G163+SUM(G164:G169)</f>
        <v>159378.62</v>
      </c>
      <c r="H170" s="38">
        <f>H147+H163+SUM(H164:H169)</f>
        <v>861373.23999999987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170000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170000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660095</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660095</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660095</v>
      </c>
      <c r="G193" s="38">
        <f>G184+SUM(G189:G192)</f>
        <v>0</v>
      </c>
      <c r="H193" s="38">
        <f>+H184+SUM(H189:H192)</f>
        <v>0</v>
      </c>
      <c r="I193" s="38">
        <f>I178+I184+SUM(I189:I192)</f>
        <v>0</v>
      </c>
      <c r="J193" s="38">
        <f>J184</f>
        <v>170000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29093838.949999996</v>
      </c>
      <c r="G194" s="38">
        <f>G112+G140+G170+G193</f>
        <v>357094.28</v>
      </c>
      <c r="H194" s="38">
        <f>H112+H140+H170+H193</f>
        <v>956455.84999999986</v>
      </c>
      <c r="I194" s="38">
        <f>I112+I140+I170+I193</f>
        <v>0</v>
      </c>
      <c r="J194" s="38">
        <f>J112+J140+J193</f>
        <v>184319.35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4421460.09</v>
      </c>
      <c r="G198" s="18">
        <v>2220180.16</v>
      </c>
      <c r="H198" s="18">
        <v>70485.570000000007</v>
      </c>
      <c r="I198" s="18">
        <v>88329.77</v>
      </c>
      <c r="J198" s="18">
        <v>9754.75</v>
      </c>
      <c r="K198" s="18">
        <v>9135</v>
      </c>
      <c r="L198" s="13">
        <f>SUM(F198:K198)</f>
        <v>6819345.3399999999</v>
      </c>
      <c r="M198" s="8"/>
      <c r="N198" s="165"/>
    </row>
    <row r="199" spans="1:14" s="3" customFormat="1" ht="12.2" customHeight="1" x14ac:dyDescent="0.15">
      <c r="A199" s="1" t="s">
        <v>439</v>
      </c>
      <c r="B199" s="2" t="s">
        <v>341</v>
      </c>
      <c r="C199" s="2" t="s">
        <v>291</v>
      </c>
      <c r="D199" s="2" t="s">
        <v>431</v>
      </c>
      <c r="E199" s="6">
        <v>1200</v>
      </c>
      <c r="F199" s="18">
        <v>2055615.72</v>
      </c>
      <c r="G199" s="18">
        <v>935900.19</v>
      </c>
      <c r="H199" s="18">
        <v>192380.53</v>
      </c>
      <c r="I199" s="18">
        <v>2205.63</v>
      </c>
      <c r="J199" s="18"/>
      <c r="K199" s="18"/>
      <c r="L199" s="13">
        <f>SUM(F199:K199)</f>
        <v>3186102.07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121096.5</v>
      </c>
      <c r="G201" s="18">
        <v>26802.35</v>
      </c>
      <c r="H201" s="18">
        <v>686.19</v>
      </c>
      <c r="I201" s="18">
        <v>2406.39</v>
      </c>
      <c r="J201" s="18"/>
      <c r="K201" s="18">
        <v>7375</v>
      </c>
      <c r="L201" s="13">
        <f>SUM(F201:K201)</f>
        <v>158366.43000000002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878342.62</v>
      </c>
      <c r="G203" s="18">
        <v>424398.86</v>
      </c>
      <c r="H203" s="18">
        <v>53293.24</v>
      </c>
      <c r="I203" s="18">
        <v>6637.44</v>
      </c>
      <c r="J203" s="18"/>
      <c r="K203" s="18">
        <v>225.88</v>
      </c>
      <c r="L203" s="13">
        <f t="shared" ref="L203:L209" si="0">SUM(F203:K203)</f>
        <v>1362898.0399999998</v>
      </c>
      <c r="M203" s="8"/>
      <c r="N203" s="165"/>
    </row>
    <row r="204" spans="1:14" s="3" customFormat="1" ht="12.2" customHeight="1" x14ac:dyDescent="0.15">
      <c r="A204" s="1" t="s">
        <v>443</v>
      </c>
      <c r="B204" s="2" t="s">
        <v>341</v>
      </c>
      <c r="C204" s="2" t="s">
        <v>295</v>
      </c>
      <c r="D204" s="2" t="s">
        <v>431</v>
      </c>
      <c r="E204" s="6">
        <v>2200</v>
      </c>
      <c r="F204" s="18">
        <v>447597.73</v>
      </c>
      <c r="G204" s="18">
        <v>221853.34</v>
      </c>
      <c r="H204" s="18">
        <v>225796.78</v>
      </c>
      <c r="I204" s="18">
        <v>160312</v>
      </c>
      <c r="J204" s="18">
        <v>167440.46</v>
      </c>
      <c r="K204" s="18">
        <v>118.18</v>
      </c>
      <c r="L204" s="13">
        <f t="shared" si="0"/>
        <v>1223118.49</v>
      </c>
      <c r="M204" s="8"/>
      <c r="N204" s="165"/>
    </row>
    <row r="205" spans="1:14" s="3" customFormat="1" ht="12.2" customHeight="1" x14ac:dyDescent="0.15">
      <c r="A205" s="1" t="s">
        <v>444</v>
      </c>
      <c r="B205" s="2" t="s">
        <v>341</v>
      </c>
      <c r="C205" s="2" t="s">
        <v>296</v>
      </c>
      <c r="D205" s="2" t="s">
        <v>431</v>
      </c>
      <c r="E205" s="6">
        <v>2300</v>
      </c>
      <c r="F205" s="18">
        <v>8393.43</v>
      </c>
      <c r="G205" s="18">
        <v>642.1</v>
      </c>
      <c r="H205" s="18">
        <v>865237.44</v>
      </c>
      <c r="I205" s="18">
        <v>1181.71</v>
      </c>
      <c r="J205" s="18"/>
      <c r="K205" s="18">
        <v>10577.96</v>
      </c>
      <c r="L205" s="13">
        <f t="shared" si="0"/>
        <v>886032.6399999999</v>
      </c>
      <c r="M205" s="8"/>
      <c r="N205" s="165"/>
    </row>
    <row r="206" spans="1:14" s="3" customFormat="1" ht="12.2" customHeight="1" x14ac:dyDescent="0.15">
      <c r="A206" s="1" t="s">
        <v>445</v>
      </c>
      <c r="B206" s="2" t="s">
        <v>341</v>
      </c>
      <c r="C206" s="2" t="s">
        <v>297</v>
      </c>
      <c r="D206" s="2" t="s">
        <v>431</v>
      </c>
      <c r="E206" s="6">
        <v>2400</v>
      </c>
      <c r="F206" s="18">
        <v>613680.80000000005</v>
      </c>
      <c r="G206" s="18">
        <v>316057.65000000002</v>
      </c>
      <c r="H206" s="18">
        <v>43329.01</v>
      </c>
      <c r="I206" s="18">
        <v>3077.91</v>
      </c>
      <c r="J206" s="18">
        <v>319.7</v>
      </c>
      <c r="K206" s="18">
        <v>607.6</v>
      </c>
      <c r="L206" s="13">
        <f t="shared" si="0"/>
        <v>977072.67</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495044.45</v>
      </c>
      <c r="G208" s="18">
        <v>291027.51</v>
      </c>
      <c r="H208" s="18">
        <v>771676.29</v>
      </c>
      <c r="I208" s="18">
        <v>315217.56</v>
      </c>
      <c r="J208" s="18">
        <v>614384.44999999995</v>
      </c>
      <c r="K208" s="18"/>
      <c r="L208" s="13">
        <f t="shared" si="0"/>
        <v>2487350.2599999998</v>
      </c>
      <c r="M208" s="8"/>
      <c r="N208" s="165"/>
    </row>
    <row r="209" spans="1:14" s="3" customFormat="1" ht="12.2" customHeight="1" x14ac:dyDescent="0.15">
      <c r="A209" s="1" t="s">
        <v>448</v>
      </c>
      <c r="B209" s="2" t="s">
        <v>341</v>
      </c>
      <c r="C209" s="2" t="s">
        <v>300</v>
      </c>
      <c r="D209" s="2" t="s">
        <v>431</v>
      </c>
      <c r="E209" s="6">
        <v>2700</v>
      </c>
      <c r="F209" s="18"/>
      <c r="G209" s="18"/>
      <c r="H209" s="18">
        <v>1009839.6</v>
      </c>
      <c r="I209" s="18"/>
      <c r="J209" s="18">
        <v>66140.539999999994</v>
      </c>
      <c r="K209" s="18"/>
      <c r="L209" s="13">
        <f t="shared" si="0"/>
        <v>1075980.1399999999</v>
      </c>
      <c r="M209" s="8"/>
      <c r="N209" s="165"/>
    </row>
    <row r="210" spans="1:14" s="3" customFormat="1" ht="12.2" customHeight="1" x14ac:dyDescent="0.15">
      <c r="A210" s="1" t="s">
        <v>449</v>
      </c>
      <c r="B210" s="2" t="s">
        <v>341</v>
      </c>
      <c r="C210" s="2" t="s">
        <v>343</v>
      </c>
      <c r="D210" s="2" t="s">
        <v>431</v>
      </c>
      <c r="E210" s="6">
        <v>2800</v>
      </c>
      <c r="F210" s="18">
        <v>57168.71</v>
      </c>
      <c r="G210" s="18">
        <v>913072.4</v>
      </c>
      <c r="H210" s="18"/>
      <c r="I210" s="18"/>
      <c r="J210" s="18"/>
      <c r="K210" s="18"/>
      <c r="L210" s="13">
        <f>SUM(F210:K210)</f>
        <v>970241.11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9098400.0500000007</v>
      </c>
      <c r="G212" s="38">
        <f t="shared" si="1"/>
        <v>5349934.5600000005</v>
      </c>
      <c r="H212" s="38">
        <f t="shared" si="1"/>
        <v>3232724.65</v>
      </c>
      <c r="I212" s="38">
        <f t="shared" si="1"/>
        <v>579368.40999999992</v>
      </c>
      <c r="J212" s="38">
        <f t="shared" si="1"/>
        <v>858039.9</v>
      </c>
      <c r="K212" s="38">
        <f t="shared" si="1"/>
        <v>28039.62</v>
      </c>
      <c r="L212" s="38">
        <f t="shared" si="1"/>
        <v>19146507.189999998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1906310.18</v>
      </c>
      <c r="G234" s="18">
        <v>891575.43</v>
      </c>
      <c r="H234" s="18">
        <v>18695.14</v>
      </c>
      <c r="I234" s="18">
        <v>72577.89</v>
      </c>
      <c r="J234" s="18">
        <v>23255.74</v>
      </c>
      <c r="K234" s="18"/>
      <c r="L234" s="13">
        <f>SUM(F234:K234)</f>
        <v>2912414.3800000004</v>
      </c>
      <c r="M234" s="8"/>
      <c r="N234" s="165"/>
    </row>
    <row r="235" spans="1:14" s="3" customFormat="1" ht="12.2" customHeight="1" x14ac:dyDescent="0.15">
      <c r="A235" s="1" t="s">
        <v>439</v>
      </c>
      <c r="B235" s="2" t="s">
        <v>350</v>
      </c>
      <c r="C235" s="2" t="s">
        <v>291</v>
      </c>
      <c r="D235" s="2" t="s">
        <v>431</v>
      </c>
      <c r="E235" s="6">
        <v>1200</v>
      </c>
      <c r="F235" s="18">
        <v>614451.04</v>
      </c>
      <c r="G235" s="18">
        <v>291803.37</v>
      </c>
      <c r="H235" s="18">
        <v>316106.28000000003</v>
      </c>
      <c r="I235" s="18">
        <v>2022.09</v>
      </c>
      <c r="J235" s="18"/>
      <c r="K235" s="18"/>
      <c r="L235" s="13">
        <f>SUM(F235:K235)</f>
        <v>1224382.78</v>
      </c>
      <c r="M235" s="8"/>
      <c r="N235" s="165"/>
    </row>
    <row r="236" spans="1:14" s="3" customFormat="1" ht="12.2" customHeight="1" x14ac:dyDescent="0.15">
      <c r="A236" s="1" t="s">
        <v>440</v>
      </c>
      <c r="B236" s="2" t="s">
        <v>350</v>
      </c>
      <c r="C236" s="2" t="s">
        <v>292</v>
      </c>
      <c r="D236" s="2" t="s">
        <v>431</v>
      </c>
      <c r="E236" s="6">
        <v>1300</v>
      </c>
      <c r="F236" s="18"/>
      <c r="G236" s="18"/>
      <c r="H236" s="18">
        <v>101878.59</v>
      </c>
      <c r="I236" s="18"/>
      <c r="J236" s="18"/>
      <c r="K236" s="18"/>
      <c r="L236" s="13">
        <f>SUM(F236:K236)</f>
        <v>101878.59</v>
      </c>
      <c r="M236" s="8"/>
      <c r="N236" s="165"/>
    </row>
    <row r="237" spans="1:14" s="3" customFormat="1" ht="12.2" customHeight="1" x14ac:dyDescent="0.15">
      <c r="A237" s="1" t="s">
        <v>441</v>
      </c>
      <c r="B237" s="2" t="s">
        <v>350</v>
      </c>
      <c r="C237" s="2" t="s">
        <v>293</v>
      </c>
      <c r="D237" s="2" t="s">
        <v>431</v>
      </c>
      <c r="E237" s="6">
        <v>1400</v>
      </c>
      <c r="F237" s="18">
        <v>283059</v>
      </c>
      <c r="G237" s="18">
        <v>72582.070000000007</v>
      </c>
      <c r="H237" s="18">
        <v>87754.27</v>
      </c>
      <c r="I237" s="18">
        <v>36682.17</v>
      </c>
      <c r="J237" s="18">
        <v>4419.55</v>
      </c>
      <c r="K237" s="18">
        <v>14132.5</v>
      </c>
      <c r="L237" s="13">
        <f>SUM(F237:K237)</f>
        <v>498629.56</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423329.57</v>
      </c>
      <c r="G239" s="18">
        <v>207528.17</v>
      </c>
      <c r="H239" s="18">
        <v>40912.18</v>
      </c>
      <c r="I239" s="18">
        <v>6989.55</v>
      </c>
      <c r="J239" s="18"/>
      <c r="K239" s="18">
        <v>208.12</v>
      </c>
      <c r="L239" s="13">
        <f t="shared" ref="L239:L245" si="4">SUM(F239:K239)</f>
        <v>678967.59000000008</v>
      </c>
      <c r="M239" s="8"/>
      <c r="N239" s="165"/>
    </row>
    <row r="240" spans="1:14" s="3" customFormat="1" ht="12.2" customHeight="1" x14ac:dyDescent="0.15">
      <c r="A240" s="1" t="s">
        <v>443</v>
      </c>
      <c r="B240" s="2" t="s">
        <v>350</v>
      </c>
      <c r="C240" s="2" t="s">
        <v>295</v>
      </c>
      <c r="D240" s="2" t="s">
        <v>431</v>
      </c>
      <c r="E240" s="6">
        <v>2200</v>
      </c>
      <c r="F240" s="18">
        <v>232844.16</v>
      </c>
      <c r="G240" s="18">
        <v>108563.16</v>
      </c>
      <c r="H240" s="18">
        <v>108563.39</v>
      </c>
      <c r="I240" s="18">
        <v>79792.914000000004</v>
      </c>
      <c r="J240" s="18">
        <v>78661.25</v>
      </c>
      <c r="K240" s="18">
        <v>385.82</v>
      </c>
      <c r="L240" s="13">
        <f t="shared" si="4"/>
        <v>608810.69400000002</v>
      </c>
      <c r="M240" s="8"/>
      <c r="N240" s="165"/>
    </row>
    <row r="241" spans="1:14" s="3" customFormat="1" ht="12.2" customHeight="1" x14ac:dyDescent="0.15">
      <c r="A241" s="1" t="s">
        <v>444</v>
      </c>
      <c r="B241" s="2" t="s">
        <v>350</v>
      </c>
      <c r="C241" s="2" t="s">
        <v>296</v>
      </c>
      <c r="D241" s="2" t="s">
        <v>431</v>
      </c>
      <c r="E241" s="6">
        <v>2300</v>
      </c>
      <c r="F241" s="18">
        <v>4035.57</v>
      </c>
      <c r="G241" s="18">
        <v>308.72000000000003</v>
      </c>
      <c r="H241" s="18">
        <v>416007.32</v>
      </c>
      <c r="I241" s="18">
        <v>568.16999999999996</v>
      </c>
      <c r="J241" s="18"/>
      <c r="K241" s="18">
        <v>5085.8999999999996</v>
      </c>
      <c r="L241" s="13">
        <f t="shared" si="4"/>
        <v>426005.68</v>
      </c>
      <c r="M241" s="8"/>
      <c r="N241" s="165"/>
    </row>
    <row r="242" spans="1:14" s="3" customFormat="1" ht="12.2" customHeight="1" x14ac:dyDescent="0.15">
      <c r="A242" s="1" t="s">
        <v>445</v>
      </c>
      <c r="B242" s="2" t="s">
        <v>350</v>
      </c>
      <c r="C242" s="2" t="s">
        <v>297</v>
      </c>
      <c r="D242" s="2" t="s">
        <v>431</v>
      </c>
      <c r="E242" s="6">
        <v>2400</v>
      </c>
      <c r="F242" s="18">
        <v>269375.28000000003</v>
      </c>
      <c r="G242" s="18">
        <v>139156.20000000001</v>
      </c>
      <c r="H242" s="18">
        <v>36803.839999999997</v>
      </c>
      <c r="I242" s="18">
        <v>8460.32</v>
      </c>
      <c r="J242" s="18"/>
      <c r="K242" s="18">
        <v>7762.4</v>
      </c>
      <c r="L242" s="13">
        <f t="shared" si="4"/>
        <v>461558.0400000001</v>
      </c>
      <c r="M242" s="8"/>
      <c r="N242" s="165"/>
    </row>
    <row r="243" spans="1:14" s="3" customFormat="1" ht="12.2" customHeight="1" x14ac:dyDescent="0.15">
      <c r="A243" s="1" t="s">
        <v>446</v>
      </c>
      <c r="B243" s="2" t="s">
        <v>350</v>
      </c>
      <c r="C243" s="2" t="s">
        <v>298</v>
      </c>
      <c r="D243" s="2" t="s">
        <v>431</v>
      </c>
      <c r="E243" s="6">
        <v>2500</v>
      </c>
      <c r="F243" s="18">
        <v>4625</v>
      </c>
      <c r="G243" s="18">
        <v>353.82</v>
      </c>
      <c r="H243" s="18"/>
      <c r="I243" s="18"/>
      <c r="J243" s="18">
        <v>6688.99</v>
      </c>
      <c r="K243" s="18"/>
      <c r="L243" s="13">
        <f t="shared" si="4"/>
        <v>11667.81</v>
      </c>
      <c r="M243" s="8"/>
      <c r="N243" s="165"/>
    </row>
    <row r="244" spans="1:14" s="3" customFormat="1" ht="12.2" customHeight="1" x14ac:dyDescent="0.15">
      <c r="A244" s="1" t="s">
        <v>447</v>
      </c>
      <c r="B244" s="2" t="s">
        <v>350</v>
      </c>
      <c r="C244" s="2" t="s">
        <v>299</v>
      </c>
      <c r="D244" s="2" t="s">
        <v>431</v>
      </c>
      <c r="E244" s="6">
        <v>2600</v>
      </c>
      <c r="F244" s="18">
        <v>313718.55</v>
      </c>
      <c r="G244" s="18">
        <v>186620.41</v>
      </c>
      <c r="H244" s="18">
        <v>409997.51</v>
      </c>
      <c r="I244" s="18">
        <v>181036.99</v>
      </c>
      <c r="J244" s="18">
        <v>458594.34</v>
      </c>
      <c r="K244" s="18"/>
      <c r="L244" s="13">
        <f t="shared" si="4"/>
        <v>1549967.8</v>
      </c>
      <c r="M244" s="8"/>
      <c r="N244" s="165"/>
    </row>
    <row r="245" spans="1:14" s="3" customFormat="1" ht="12.2" customHeight="1" x14ac:dyDescent="0.15">
      <c r="A245" s="1" t="s">
        <v>448</v>
      </c>
      <c r="B245" s="2" t="s">
        <v>350</v>
      </c>
      <c r="C245" s="2" t="s">
        <v>300</v>
      </c>
      <c r="D245" s="2" t="s">
        <v>431</v>
      </c>
      <c r="E245" s="6">
        <v>2700</v>
      </c>
      <c r="F245" s="18"/>
      <c r="G245" s="18"/>
      <c r="H245" s="18">
        <v>679095.12</v>
      </c>
      <c r="I245" s="18"/>
      <c r="J245" s="18">
        <v>31800.46</v>
      </c>
      <c r="K245" s="18"/>
      <c r="L245" s="13">
        <f t="shared" si="4"/>
        <v>710895.58</v>
      </c>
      <c r="M245" s="8"/>
      <c r="N245" s="165"/>
    </row>
    <row r="246" spans="1:14" s="3" customFormat="1" ht="12.2" customHeight="1" x14ac:dyDescent="0.15">
      <c r="A246" s="1" t="s">
        <v>449</v>
      </c>
      <c r="B246" s="2" t="s">
        <v>350</v>
      </c>
      <c r="C246" s="2" t="s">
        <v>343</v>
      </c>
      <c r="D246" s="2" t="s">
        <v>431</v>
      </c>
      <c r="E246" s="6">
        <v>2800</v>
      </c>
      <c r="F246" s="18">
        <v>27486.79</v>
      </c>
      <c r="G246" s="18">
        <v>439006.43</v>
      </c>
      <c r="H246" s="18"/>
      <c r="I246" s="18"/>
      <c r="J246" s="18"/>
      <c r="K246" s="18"/>
      <c r="L246" s="13">
        <f>SUM(F246:K246)</f>
        <v>466493.22</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4079235.1399999997</v>
      </c>
      <c r="G248" s="38">
        <f t="shared" si="5"/>
        <v>2337497.7799999998</v>
      </c>
      <c r="H248" s="38">
        <f t="shared" si="5"/>
        <v>2215813.64</v>
      </c>
      <c r="I248" s="38">
        <f t="shared" si="5"/>
        <v>388130.09400000004</v>
      </c>
      <c r="J248" s="38">
        <f t="shared" si="5"/>
        <v>603420.32999999996</v>
      </c>
      <c r="K248" s="38">
        <f t="shared" si="5"/>
        <v>27574.739999999998</v>
      </c>
      <c r="L248" s="38">
        <f t="shared" si="5"/>
        <v>9651671.7239999995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13177635.190000001</v>
      </c>
      <c r="G258" s="38">
        <f t="shared" si="8"/>
        <v>7687432.3399999999</v>
      </c>
      <c r="H258" s="38">
        <f t="shared" si="8"/>
        <v>5448538.29</v>
      </c>
      <c r="I258" s="38">
        <f t="shared" si="8"/>
        <v>967498.50399999996</v>
      </c>
      <c r="J258" s="38">
        <f t="shared" si="8"/>
        <v>1461460.23</v>
      </c>
      <c r="K258" s="38">
        <f t="shared" si="8"/>
        <v>55614.36</v>
      </c>
      <c r="L258" s="38">
        <f t="shared" si="8"/>
        <v>28798178.913999997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170000</v>
      </c>
      <c r="L267" s="13">
        <f t="shared" si="9"/>
        <v>170000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170000</v>
      </c>
      <c r="L271" s="38">
        <f t="shared" si="9"/>
        <v>170000</v>
      </c>
      <c r="M271" s="8"/>
      <c r="N271" s="165"/>
    </row>
    <row r="272" spans="1:14" s="33" customFormat="1" ht="12.2" customHeight="1" thickTop="1" x14ac:dyDescent="0.2">
      <c r="A272" s="40" t="s">
        <v>464</v>
      </c>
      <c r="B272" s="37">
        <v>10</v>
      </c>
      <c r="C272" s="37">
        <v>18</v>
      </c>
      <c r="D272" s="36" t="s">
        <v>431</v>
      </c>
      <c r="E272" s="37"/>
      <c r="F272" s="39">
        <f t="shared" ref="F272:L272" si="11">F258+F271</f>
        <v>13177635.190000001</v>
      </c>
      <c r="G272" s="39">
        <f t="shared" si="11"/>
        <v>7687432.3399999999</v>
      </c>
      <c r="H272" s="39">
        <f t="shared" si="11"/>
        <v>5448538.29</v>
      </c>
      <c r="I272" s="39">
        <f t="shared" si="11"/>
        <v>967498.50399999996</v>
      </c>
      <c r="J272" s="39">
        <f t="shared" si="11"/>
        <v>1461460.23</v>
      </c>
      <c r="K272" s="39">
        <f t="shared" si="11"/>
        <v>225614.36</v>
      </c>
      <c r="L272" s="39">
        <f t="shared" si="11"/>
        <v>28968178.913999997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235172.16</v>
      </c>
      <c r="G277" s="18">
        <v>105497.33</v>
      </c>
      <c r="H277" s="18">
        <v>12660.9</v>
      </c>
      <c r="I277" s="18">
        <v>11558.27</v>
      </c>
      <c r="J277" s="18"/>
      <c r="K277" s="18"/>
      <c r="L277" s="13">
        <f>SUM(F277:K277)</f>
        <v>364888.66000000003</v>
      </c>
      <c r="M277" s="8"/>
      <c r="N277" s="165"/>
    </row>
    <row r="278" spans="1:14" s="3" customFormat="1" ht="12.2" customHeight="1" x14ac:dyDescent="0.15">
      <c r="A278" s="1" t="s">
        <v>439</v>
      </c>
      <c r="B278" s="2" t="s">
        <v>357</v>
      </c>
      <c r="C278" s="2" t="s">
        <v>291</v>
      </c>
      <c r="D278" s="2" t="s">
        <v>431</v>
      </c>
      <c r="E278" s="6">
        <v>1200</v>
      </c>
      <c r="F278" s="18">
        <v>72915.03</v>
      </c>
      <c r="G278" s="18">
        <v>24169.27</v>
      </c>
      <c r="H278" s="18">
        <v>10934.8</v>
      </c>
      <c r="I278" s="18">
        <v>171.64</v>
      </c>
      <c r="J278" s="18"/>
      <c r="K278" s="18"/>
      <c r="L278" s="13">
        <f>SUM(F278:K278)</f>
        <v>108190.74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53878.25</v>
      </c>
      <c r="G282" s="18">
        <v>23975.26</v>
      </c>
      <c r="H282" s="18"/>
      <c r="I282" s="18">
        <v>202.59</v>
      </c>
      <c r="J282" s="18"/>
      <c r="K282" s="18"/>
      <c r="L282" s="13">
        <f t="shared" ref="L282:L288" si="12">SUM(F282:K282)</f>
        <v>78056.099999999991</v>
      </c>
      <c r="M282" s="8"/>
      <c r="N282" s="165"/>
    </row>
    <row r="283" spans="1:14" s="3" customFormat="1" ht="12.2" customHeight="1" x14ac:dyDescent="0.15">
      <c r="A283" s="1" t="s">
        <v>443</v>
      </c>
      <c r="B283" s="2" t="s">
        <v>357</v>
      </c>
      <c r="C283" s="2" t="s">
        <v>295</v>
      </c>
      <c r="D283" s="2" t="s">
        <v>431</v>
      </c>
      <c r="E283" s="6">
        <v>2200</v>
      </c>
      <c r="F283" s="18"/>
      <c r="G283" s="18"/>
      <c r="H283" s="18">
        <v>71245.210000000006</v>
      </c>
      <c r="I283" s="18">
        <v>43.58</v>
      </c>
      <c r="J283" s="18">
        <v>47271.7</v>
      </c>
      <c r="K283" s="18"/>
      <c r="L283" s="13">
        <f t="shared" si="12"/>
        <v>118560.49</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v>32408.59</v>
      </c>
      <c r="L284" s="13">
        <f t="shared" si="12"/>
        <v>32408.59</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20086.259999999998</v>
      </c>
      <c r="I287" s="18"/>
      <c r="J287" s="18"/>
      <c r="K287" s="18"/>
      <c r="L287" s="13">
        <f t="shared" si="12"/>
        <v>20086.259999999998</v>
      </c>
      <c r="M287" s="8"/>
      <c r="N287" s="165"/>
    </row>
    <row r="288" spans="1:14" s="3" customFormat="1" ht="12.2" customHeight="1" x14ac:dyDescent="0.15">
      <c r="A288" s="1" t="s">
        <v>448</v>
      </c>
      <c r="B288" s="2" t="s">
        <v>357</v>
      </c>
      <c r="C288" s="2" t="s">
        <v>300</v>
      </c>
      <c r="D288" s="2" t="s">
        <v>431</v>
      </c>
      <c r="E288" s="6">
        <v>2700</v>
      </c>
      <c r="F288" s="18"/>
      <c r="G288" s="18"/>
      <c r="H288" s="18">
        <v>4920.4399999999996</v>
      </c>
      <c r="I288" s="18"/>
      <c r="J288" s="18"/>
      <c r="K288" s="18"/>
      <c r="L288" s="13">
        <f t="shared" si="12"/>
        <v>4920.4399999999996</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361965.44</v>
      </c>
      <c r="G291" s="39">
        <f t="shared" si="13"/>
        <v>153641.86000000002</v>
      </c>
      <c r="H291" s="39">
        <f t="shared" si="13"/>
        <v>119847.61</v>
      </c>
      <c r="I291" s="39">
        <f t="shared" si="13"/>
        <v>11976.08</v>
      </c>
      <c r="J291" s="39">
        <f t="shared" si="13"/>
        <v>47271.7</v>
      </c>
      <c r="K291" s="39">
        <f t="shared" si="13"/>
        <v>32408.59</v>
      </c>
      <c r="L291" s="38">
        <f t="shared" si="13"/>
        <v>727111.27999999991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34027.51</v>
      </c>
      <c r="G315" s="18">
        <v>9068.25</v>
      </c>
      <c r="H315" s="18">
        <v>1800</v>
      </c>
      <c r="I315" s="18">
        <v>5165.99</v>
      </c>
      <c r="J315" s="18">
        <v>1162.5999999999999</v>
      </c>
      <c r="K315" s="18"/>
      <c r="L315" s="13">
        <f>SUM(F315:K315)</f>
        <v>51224.35</v>
      </c>
      <c r="M315" s="8"/>
      <c r="N315" s="165"/>
    </row>
    <row r="316" spans="1:14" s="3" customFormat="1" ht="12.2" customHeight="1" x14ac:dyDescent="0.15">
      <c r="A316" s="1" t="s">
        <v>439</v>
      </c>
      <c r="B316" s="2" t="s">
        <v>359</v>
      </c>
      <c r="C316" s="2" t="s">
        <v>291</v>
      </c>
      <c r="D316" s="2" t="s">
        <v>431</v>
      </c>
      <c r="E316" s="6">
        <v>1200</v>
      </c>
      <c r="F316" s="18">
        <v>35057.65</v>
      </c>
      <c r="G316" s="18">
        <v>11620.66</v>
      </c>
      <c r="H316" s="18">
        <v>5257.47</v>
      </c>
      <c r="I316" s="18"/>
      <c r="J316" s="18"/>
      <c r="K316" s="18"/>
      <c r="L316" s="13">
        <f>SUM(F316:K316)</f>
        <v>51935.78</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v>7036.48</v>
      </c>
      <c r="J318" s="18"/>
      <c r="K318" s="18">
        <v>5000</v>
      </c>
      <c r="L318" s="13">
        <f>SUM(F318:K318)</f>
        <v>12036.48</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25904.74</v>
      </c>
      <c r="G320" s="18">
        <v>11527.33</v>
      </c>
      <c r="H320" s="18"/>
      <c r="I320" s="18">
        <v>97.41</v>
      </c>
      <c r="J320" s="18"/>
      <c r="K320" s="18"/>
      <c r="L320" s="13">
        <f t="shared" ref="L320:L326" si="16">SUM(F320:K320)</f>
        <v>37529.480000000003</v>
      </c>
      <c r="M320" s="8"/>
      <c r="N320" s="165"/>
    </row>
    <row r="321" spans="1:14" s="3" customFormat="1" ht="12.2" customHeight="1" x14ac:dyDescent="0.15">
      <c r="A321" s="1" t="s">
        <v>443</v>
      </c>
      <c r="B321" s="2" t="s">
        <v>359</v>
      </c>
      <c r="C321" s="2" t="s">
        <v>295</v>
      </c>
      <c r="D321" s="2" t="s">
        <v>431</v>
      </c>
      <c r="E321" s="6">
        <v>2200</v>
      </c>
      <c r="F321" s="18"/>
      <c r="G321" s="18"/>
      <c r="H321" s="18">
        <v>34254.79</v>
      </c>
      <c r="I321" s="18">
        <v>20.95</v>
      </c>
      <c r="J321" s="18">
        <v>22728.3</v>
      </c>
      <c r="K321" s="18"/>
      <c r="L321" s="13">
        <f t="shared" si="16"/>
        <v>57004.039999999994</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v>9043.41</v>
      </c>
      <c r="L322" s="13">
        <f t="shared" si="16"/>
        <v>9043.41</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13466.6</v>
      </c>
      <c r="I325" s="18"/>
      <c r="J325" s="18"/>
      <c r="K325" s="18"/>
      <c r="L325" s="13">
        <f t="shared" si="16"/>
        <v>13466.6</v>
      </c>
      <c r="M325" s="8"/>
      <c r="N325" s="165"/>
    </row>
    <row r="326" spans="1:14" s="3" customFormat="1" ht="12.2" customHeight="1" x14ac:dyDescent="0.15">
      <c r="A326" s="1" t="s">
        <v>448</v>
      </c>
      <c r="B326" s="2" t="s">
        <v>359</v>
      </c>
      <c r="C326" s="2" t="s">
        <v>300</v>
      </c>
      <c r="D326" s="2" t="s">
        <v>431</v>
      </c>
      <c r="E326" s="6">
        <v>2700</v>
      </c>
      <c r="F326" s="18"/>
      <c r="G326" s="18"/>
      <c r="H326" s="18">
        <v>2365.7600000000002</v>
      </c>
      <c r="I326" s="18"/>
      <c r="J326" s="18"/>
      <c r="K326" s="18"/>
      <c r="L326" s="13">
        <f t="shared" si="16"/>
        <v>2365.7600000000002</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94989.900000000009</v>
      </c>
      <c r="G329" s="39">
        <f t="shared" si="17"/>
        <v>32216.239999999998</v>
      </c>
      <c r="H329" s="39">
        <f t="shared" si="17"/>
        <v>57144.62</v>
      </c>
      <c r="I329" s="39">
        <f t="shared" si="17"/>
        <v>12320.83</v>
      </c>
      <c r="J329" s="39">
        <f t="shared" si="17"/>
        <v>23890.899999999998</v>
      </c>
      <c r="K329" s="39">
        <f t="shared" si="17"/>
        <v>14043.41</v>
      </c>
      <c r="L329" s="38">
        <f t="shared" si="17"/>
        <v>234605.90000000002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456955.34</v>
      </c>
      <c r="G339" s="38">
        <f t="shared" si="20"/>
        <v>185858.1</v>
      </c>
      <c r="H339" s="38">
        <f t="shared" si="20"/>
        <v>176992.23</v>
      </c>
      <c r="I339" s="38">
        <f t="shared" si="20"/>
        <v>24296.91</v>
      </c>
      <c r="J339" s="38">
        <f t="shared" si="20"/>
        <v>71162.599999999991</v>
      </c>
      <c r="K339" s="38">
        <f t="shared" si="20"/>
        <v>46452</v>
      </c>
      <c r="L339" s="38">
        <f t="shared" si="20"/>
        <v>961717.17999999993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798.7</v>
      </c>
      <c r="L345" s="13">
        <f t="shared" ref="L345:L351" si="21">SUM(F345:K345)</f>
        <v>798.7</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798.7</v>
      </c>
      <c r="L352" s="38">
        <f>SUM(L342:L351)</f>
        <v>798.7</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456955.34</v>
      </c>
      <c r="G353" s="38">
        <f>G339</f>
        <v>185858.1</v>
      </c>
      <c r="H353" s="38">
        <f>H339</f>
        <v>176992.23</v>
      </c>
      <c r="I353" s="38">
        <f>I339</f>
        <v>24296.91</v>
      </c>
      <c r="J353" s="38">
        <f>J339</f>
        <v>71162.599999999991</v>
      </c>
      <c r="K353" s="38">
        <f>K339+K352</f>
        <v>47250.7</v>
      </c>
      <c r="L353" s="38">
        <f>L339+L352</f>
        <v>962515.87999999989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267815.39</v>
      </c>
      <c r="I359" s="18"/>
      <c r="J359" s="18">
        <v>12534.27</v>
      </c>
      <c r="K359" s="18">
        <v>3369.97</v>
      </c>
      <c r="L359" s="13">
        <f>SUM(F359:K359)</f>
        <v>283719.63</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v>128766</v>
      </c>
      <c r="I361" s="18"/>
      <c r="J361" s="18">
        <v>6026.49</v>
      </c>
      <c r="K361" s="18">
        <v>1620.29</v>
      </c>
      <c r="L361" s="13">
        <f>SUM(F361:K361)</f>
        <v>136412.78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396581.39</v>
      </c>
      <c r="I363" s="38">
        <f t="shared" si="22"/>
        <v>0</v>
      </c>
      <c r="J363" s="38">
        <f t="shared" si="22"/>
        <v>18560.760000000002</v>
      </c>
      <c r="K363" s="38">
        <f t="shared" si="22"/>
        <v>4990.26</v>
      </c>
      <c r="L363" s="38">
        <f t="shared" si="22"/>
        <v>420132.41000000003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v>190.12</v>
      </c>
      <c r="I391" s="18"/>
      <c r="J391" s="23" t="s">
        <v>288</v>
      </c>
      <c r="K391" s="23" t="s">
        <v>288</v>
      </c>
      <c r="L391" s="13">
        <f t="shared" si="25"/>
        <v>190.12</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0.23</v>
      </c>
      <c r="I393" s="18"/>
      <c r="J393" s="23" t="s">
        <v>288</v>
      </c>
      <c r="K393" s="23" t="s">
        <v>288</v>
      </c>
      <c r="L393" s="13">
        <f t="shared" si="25"/>
        <v>0.23</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190.35</v>
      </c>
      <c r="I394" s="54">
        <f>SUM(I388:I393)</f>
        <v>0</v>
      </c>
      <c r="J394" s="42" t="s">
        <v>288</v>
      </c>
      <c r="K394" s="42" t="s">
        <v>288</v>
      </c>
      <c r="L394" s="38">
        <f>SUM(L388:L393)</f>
        <v>190.35</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v>2966.22</v>
      </c>
      <c r="I396" s="18"/>
      <c r="J396" s="23" t="s">
        <v>288</v>
      </c>
      <c r="K396" s="23" t="s">
        <v>288</v>
      </c>
      <c r="L396" s="13">
        <f t="shared" ref="L396:L401" si="26">SUM(F396:K396)</f>
        <v>2966.22</v>
      </c>
      <c r="M396" s="8"/>
      <c r="N396" s="165"/>
    </row>
    <row r="397" spans="1:14" s="3" customFormat="1" ht="12.2" customHeight="1" x14ac:dyDescent="0.15">
      <c r="A397" s="62" t="s">
        <v>557</v>
      </c>
      <c r="B397" s="2" t="s">
        <v>381</v>
      </c>
      <c r="C397" s="6">
        <v>9</v>
      </c>
      <c r="D397" s="2" t="s">
        <v>432</v>
      </c>
      <c r="E397" s="6"/>
      <c r="F397" s="18"/>
      <c r="G397" s="18">
        <v>150000</v>
      </c>
      <c r="H397" s="18">
        <v>9757.3799999999992</v>
      </c>
      <c r="I397" s="18"/>
      <c r="J397" s="23" t="s">
        <v>288</v>
      </c>
      <c r="K397" s="23" t="s">
        <v>288</v>
      </c>
      <c r="L397" s="13">
        <f t="shared" si="26"/>
        <v>159757.38</v>
      </c>
      <c r="M397" s="8"/>
      <c r="N397" s="165"/>
    </row>
    <row r="398" spans="1:14" s="3" customFormat="1" ht="12.2" customHeight="1" x14ac:dyDescent="0.15">
      <c r="A398" s="62" t="s">
        <v>515</v>
      </c>
      <c r="B398" s="2" t="s">
        <v>381</v>
      </c>
      <c r="C398" s="6">
        <v>10</v>
      </c>
      <c r="D398" s="2" t="s">
        <v>432</v>
      </c>
      <c r="E398" s="6"/>
      <c r="F398" s="18"/>
      <c r="G398" s="18">
        <v>15000</v>
      </c>
      <c r="H398" s="18">
        <v>1397.14</v>
      </c>
      <c r="I398" s="18"/>
      <c r="J398" s="23" t="s">
        <v>288</v>
      </c>
      <c r="K398" s="23" t="s">
        <v>288</v>
      </c>
      <c r="L398" s="13">
        <f t="shared" si="26"/>
        <v>16397.14</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5000</v>
      </c>
      <c r="H401" s="18">
        <v>8.26</v>
      </c>
      <c r="I401" s="18"/>
      <c r="J401" s="23" t="s">
        <v>288</v>
      </c>
      <c r="K401" s="23" t="s">
        <v>288</v>
      </c>
      <c r="L401" s="13">
        <f t="shared" si="26"/>
        <v>5008.26</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170000</v>
      </c>
      <c r="H402" s="38">
        <f>SUM(H396:H401)</f>
        <v>14128.999999999998</v>
      </c>
      <c r="I402" s="38">
        <f>SUM(I396:I401)</f>
        <v>0</v>
      </c>
      <c r="J402" s="42" t="s">
        <v>288</v>
      </c>
      <c r="K402" s="42" t="s">
        <v>288</v>
      </c>
      <c r="L402" s="38">
        <f>SUM(L396:L401)</f>
        <v>184129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170000</v>
      </c>
      <c r="H409" s="38">
        <f>H394+H402+H408</f>
        <v>14319.349999999999</v>
      </c>
      <c r="I409" s="38">
        <f>I394+I402+I408</f>
        <v>0</v>
      </c>
      <c r="J409" s="23" t="s">
        <v>288</v>
      </c>
      <c r="K409" s="23" t="s">
        <v>288</v>
      </c>
      <c r="L409" s="38">
        <f>L394+L402+L408</f>
        <v>184319.35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660095</v>
      </c>
      <c r="L423" s="13">
        <f t="shared" si="29"/>
        <v>660095</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660095</v>
      </c>
      <c r="L428" s="38">
        <f t="shared" si="30"/>
        <v>660095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660095</v>
      </c>
      <c r="L435" s="38">
        <f t="shared" si="32"/>
        <v>660095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v>797865.99</v>
      </c>
      <c r="I440" s="13">
        <f t="shared" ref="I440:I446" si="33">SUM(F440:H440)</f>
        <v>797865.99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797865.99</v>
      </c>
      <c r="I447" s="13">
        <f>SUM(I440:I446)</f>
        <v>797865.99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v>797865.99</v>
      </c>
      <c r="I460" s="13">
        <f t="shared" si="34"/>
        <v>797865.99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797865.99</v>
      </c>
      <c r="I461" s="65">
        <f>SUM(I455:I460)</f>
        <v>797865.99</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797865.99</v>
      </c>
      <c r="I462" s="39">
        <f>I453+I461</f>
        <v>797865.99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2962018.91</v>
      </c>
      <c r="G466" s="18">
        <v>212976.41</v>
      </c>
      <c r="H466" s="18">
        <v>151842.89000000001</v>
      </c>
      <c r="I466" s="18">
        <v>3231</v>
      </c>
      <c r="J466" s="18">
        <v>1273641.6399999999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29093838.949999999</v>
      </c>
      <c r="G469" s="18">
        <v>357094.28</v>
      </c>
      <c r="H469" s="18">
        <v>956455.85</v>
      </c>
      <c r="I469" s="18"/>
      <c r="J469" s="18">
        <v>184319.35</v>
      </c>
      <c r="K469" s="23" t="s">
        <v>288</v>
      </c>
      <c r="L469" s="23" t="s">
        <v>288</v>
      </c>
      <c r="N469" s="131"/>
    </row>
    <row r="470" spans="1:14" ht="12.2" customHeight="1" x14ac:dyDescent="0.2">
      <c r="A470" s="71" t="s">
        <v>611</v>
      </c>
      <c r="B470" s="22">
        <v>19</v>
      </c>
      <c r="C470" s="31">
        <v>3</v>
      </c>
      <c r="D470" s="2" t="s">
        <v>432</v>
      </c>
      <c r="E470" s="31"/>
      <c r="F470" s="18">
        <v>19162.830000000002</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29113001.779999997</v>
      </c>
      <c r="G471" s="19">
        <f>SUM(G469:G470)</f>
        <v>357094.28</v>
      </c>
      <c r="H471" s="19">
        <f>SUM(H469:H470)</f>
        <v>956455.85</v>
      </c>
      <c r="I471" s="19">
        <f>SUM(I469:I470)</f>
        <v>0</v>
      </c>
      <c r="J471" s="19">
        <f>SUM(J469:J470)</f>
        <v>184319.35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28968178.91</v>
      </c>
      <c r="G473" s="18">
        <v>420132.41</v>
      </c>
      <c r="H473" s="18">
        <v>962515.88</v>
      </c>
      <c r="I473" s="18"/>
      <c r="J473" s="18">
        <v>660095</v>
      </c>
      <c r="K473" s="23" t="s">
        <v>288</v>
      </c>
      <c r="L473" s="23" t="s">
        <v>288</v>
      </c>
      <c r="N473" s="131"/>
    </row>
    <row r="474" spans="1:14" ht="12.2" customHeight="1" x14ac:dyDescent="0.2">
      <c r="A474" s="71" t="s">
        <v>613</v>
      </c>
      <c r="B474" s="22">
        <v>19</v>
      </c>
      <c r="C474" s="31">
        <v>6</v>
      </c>
      <c r="D474" s="2" t="s">
        <v>432</v>
      </c>
      <c r="E474" s="31"/>
      <c r="F474" s="18"/>
      <c r="G474" s="18">
        <v>1733.94</v>
      </c>
      <c r="H474" s="18"/>
      <c r="I474" s="18"/>
      <c r="J474" s="18"/>
      <c r="K474" s="23" t="s">
        <v>288</v>
      </c>
      <c r="L474" s="23" t="s">
        <v>288</v>
      </c>
      <c r="N474" s="131"/>
    </row>
    <row r="475" spans="1:14" ht="12.2" customHeight="1" x14ac:dyDescent="0.2">
      <c r="A475" s="32" t="s">
        <v>426</v>
      </c>
      <c r="B475" s="22">
        <v>19</v>
      </c>
      <c r="C475" s="31">
        <v>7</v>
      </c>
      <c r="D475" s="2" t="s">
        <v>432</v>
      </c>
      <c r="E475" s="31"/>
      <c r="F475" s="19">
        <f>SUM(F473:F474)</f>
        <v>28968178.91</v>
      </c>
      <c r="G475" s="19">
        <f>SUM(G473:G474)</f>
        <v>421866.35</v>
      </c>
      <c r="H475" s="19">
        <f>SUM(H473:H474)</f>
        <v>962515.88</v>
      </c>
      <c r="I475" s="19">
        <f>SUM(I473:I474)</f>
        <v>0</v>
      </c>
      <c r="J475" s="19">
        <f>SUM(J473:J474)</f>
        <v>660095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3106841.7799999975</v>
      </c>
      <c r="G477" s="19">
        <f>(G466+G471)- G475</f>
        <v>148204.34000000008</v>
      </c>
      <c r="H477" s="19">
        <f>(H466+H471)- H475</f>
        <v>145782.85999999999</v>
      </c>
      <c r="I477" s="19">
        <f>(I466+I471)- I475</f>
        <v>3231</v>
      </c>
      <c r="J477" s="19">
        <f>(J466+J471)- J475</f>
        <v>797865.99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2128530.75</v>
      </c>
      <c r="G522" s="18">
        <v>960069.46</v>
      </c>
      <c r="H522" s="18">
        <v>203315.33</v>
      </c>
      <c r="I522" s="18">
        <v>2377.27</v>
      </c>
      <c r="J522" s="18"/>
      <c r="K522" s="18"/>
      <c r="L522" s="69">
        <f>SUM(F522:K522)</f>
        <v>3294292.81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649508.68999999994</v>
      </c>
      <c r="G524" s="18">
        <v>303424.03000000003</v>
      </c>
      <c r="H524" s="18">
        <v>321363.75</v>
      </c>
      <c r="I524" s="18">
        <v>2022.09</v>
      </c>
      <c r="J524" s="18"/>
      <c r="K524" s="18"/>
      <c r="L524" s="69">
        <f>SUM(F524:K524)</f>
        <v>1276318.56</v>
      </c>
      <c r="N524" s="131"/>
    </row>
    <row r="525" spans="1:14" ht="12.2" customHeight="1" thickTop="1" x14ac:dyDescent="0.2">
      <c r="A525" s="97" t="s">
        <v>63</v>
      </c>
      <c r="B525" s="41">
        <v>21</v>
      </c>
      <c r="C525" s="41">
        <v>4</v>
      </c>
      <c r="D525" s="115" t="s">
        <v>432</v>
      </c>
      <c r="E525" s="41"/>
      <c r="F525" s="81">
        <f>SUM(F522:F524)</f>
        <v>2778039.44</v>
      </c>
      <c r="G525" s="81">
        <f t="shared" ref="G525:L525" si="36">SUM(G522:G524)</f>
        <v>1263493.49</v>
      </c>
      <c r="H525" s="81">
        <f t="shared" si="36"/>
        <v>524679.07999999996</v>
      </c>
      <c r="I525" s="81">
        <f t="shared" si="36"/>
        <v>4399.3599999999997</v>
      </c>
      <c r="J525" s="81">
        <f t="shared" si="36"/>
        <v>0</v>
      </c>
      <c r="K525" s="81">
        <f t="shared" si="36"/>
        <v>0</v>
      </c>
      <c r="L525" s="70">
        <f t="shared" si="36"/>
        <v>4570611.37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603261.64</v>
      </c>
      <c r="G527" s="18">
        <v>297347.07</v>
      </c>
      <c r="H527" s="18">
        <v>55126.37</v>
      </c>
      <c r="I527" s="18">
        <v>2727.4</v>
      </c>
      <c r="J527" s="18">
        <v>0</v>
      </c>
      <c r="K527" s="18">
        <v>42</v>
      </c>
      <c r="L527" s="69">
        <f>SUM(F527:K527)</f>
        <v>958504.48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v>290457.51</v>
      </c>
      <c r="G529" s="18">
        <v>144355.51999999999</v>
      </c>
      <c r="H529" s="18">
        <v>31734.44</v>
      </c>
      <c r="I529" s="18">
        <v>3493.72</v>
      </c>
      <c r="J529" s="18"/>
      <c r="K529" s="18">
        <v>83.25</v>
      </c>
      <c r="L529" s="69">
        <f>SUM(F529:K529)</f>
        <v>470124.44</v>
      </c>
      <c r="M529" s="8"/>
      <c r="N529" s="165"/>
    </row>
    <row r="530" spans="1:14" s="3" customFormat="1" ht="12.2" customHeight="1" thickTop="1" x14ac:dyDescent="0.15">
      <c r="A530" s="97" t="s">
        <v>65</v>
      </c>
      <c r="B530" s="41">
        <v>21</v>
      </c>
      <c r="C530" s="41">
        <v>8</v>
      </c>
      <c r="D530" s="115" t="s">
        <v>432</v>
      </c>
      <c r="E530" s="41"/>
      <c r="F530" s="70">
        <f>SUM(F527:F529)</f>
        <v>893719.15</v>
      </c>
      <c r="G530" s="70">
        <f t="shared" ref="G530:L530" si="37">SUM(G527:G529)</f>
        <v>441702.58999999997</v>
      </c>
      <c r="H530" s="70">
        <f t="shared" si="37"/>
        <v>86860.81</v>
      </c>
      <c r="I530" s="70">
        <f t="shared" si="37"/>
        <v>6221.12</v>
      </c>
      <c r="J530" s="70">
        <f t="shared" si="37"/>
        <v>0</v>
      </c>
      <c r="K530" s="70">
        <f t="shared" si="37"/>
        <v>125.25</v>
      </c>
      <c r="L530" s="70">
        <f t="shared" si="37"/>
        <v>1428628.92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95715.1</v>
      </c>
      <c r="I532" s="18"/>
      <c r="J532" s="18"/>
      <c r="K532" s="18">
        <v>9847.14</v>
      </c>
      <c r="L532" s="69">
        <f>SUM(F532:K532)</f>
        <v>105562.24000000001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v>46019.95</v>
      </c>
      <c r="I534" s="18"/>
      <c r="J534" s="18"/>
      <c r="K534" s="18">
        <v>4734.5200000000004</v>
      </c>
      <c r="L534" s="69">
        <f>SUM(F534:K534)</f>
        <v>50754.47</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141735.04999999999</v>
      </c>
      <c r="I535" s="70">
        <f t="shared" si="38"/>
        <v>0</v>
      </c>
      <c r="J535" s="70">
        <f t="shared" si="38"/>
        <v>0</v>
      </c>
      <c r="K535" s="70">
        <f t="shared" si="38"/>
        <v>14581.66</v>
      </c>
      <c r="L535" s="70">
        <f t="shared" si="38"/>
        <v>156316.71000000002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2079.9499999999998</v>
      </c>
      <c r="I537" s="18"/>
      <c r="J537" s="18"/>
      <c r="K537" s="18"/>
      <c r="L537" s="69">
        <f>SUM(F537:K537)</f>
        <v>2079.9499999999998</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v>1000.05</v>
      </c>
      <c r="I539" s="18"/>
      <c r="J539" s="18"/>
      <c r="K539" s="18"/>
      <c r="L539" s="69">
        <f>SUM(F539:K539)</f>
        <v>1000.05</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3080</v>
      </c>
      <c r="I540" s="70">
        <f t="shared" si="39"/>
        <v>0</v>
      </c>
      <c r="J540" s="70">
        <f t="shared" si="39"/>
        <v>0</v>
      </c>
      <c r="K540" s="70">
        <f t="shared" si="39"/>
        <v>0</v>
      </c>
      <c r="L540" s="70">
        <f t="shared" si="39"/>
        <v>3080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341330.32</v>
      </c>
      <c r="I542" s="18"/>
      <c r="J542" s="18"/>
      <c r="K542" s="18"/>
      <c r="L542" s="69">
        <f>SUM(F542:K542)</f>
        <v>341330.32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164112.07999999999</v>
      </c>
      <c r="I544" s="18"/>
      <c r="J544" s="18"/>
      <c r="K544" s="18"/>
      <c r="L544" s="69">
        <f>SUM(F544:K544)</f>
        <v>164112.07999999999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505442.4</v>
      </c>
      <c r="I545" s="141">
        <f t="shared" si="40"/>
        <v>0</v>
      </c>
      <c r="J545" s="141">
        <f t="shared" si="40"/>
        <v>0</v>
      </c>
      <c r="K545" s="141">
        <f t="shared" si="40"/>
        <v>0</v>
      </c>
      <c r="L545" s="141">
        <f t="shared" si="40"/>
        <v>505442.4</v>
      </c>
      <c r="M545" s="8"/>
      <c r="N545" s="165"/>
    </row>
    <row r="546" spans="1:14" s="3" customFormat="1" ht="12.2" customHeight="1" thickTop="1" x14ac:dyDescent="0.15">
      <c r="A546" s="75" t="s">
        <v>72</v>
      </c>
      <c r="B546" s="41">
        <v>21</v>
      </c>
      <c r="C546" s="41">
        <v>21</v>
      </c>
      <c r="D546" s="115" t="s">
        <v>432</v>
      </c>
      <c r="E546" s="41"/>
      <c r="F546" s="70">
        <f>F525+F530+F535+F540+F545</f>
        <v>3671758.59</v>
      </c>
      <c r="G546" s="70">
        <f t="shared" ref="G546:L546" si="41">G525+G530+G535+G540+G545</f>
        <v>1705196.08</v>
      </c>
      <c r="H546" s="70">
        <f t="shared" si="41"/>
        <v>1261797.3399999999</v>
      </c>
      <c r="I546" s="70">
        <f t="shared" si="41"/>
        <v>10620.48</v>
      </c>
      <c r="J546" s="70">
        <f t="shared" si="41"/>
        <v>0</v>
      </c>
      <c r="K546" s="70">
        <f t="shared" si="41"/>
        <v>14706.91</v>
      </c>
      <c r="L546" s="70">
        <f t="shared" si="41"/>
        <v>6664079.4000000004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3294292.81</v>
      </c>
      <c r="G550" s="69">
        <f>L527</f>
        <v>958504.48</v>
      </c>
      <c r="H550" s="69">
        <f>L532</f>
        <v>105562.24000000001</v>
      </c>
      <c r="I550" s="69">
        <f>L537</f>
        <v>2079.9499999999998</v>
      </c>
      <c r="J550" s="69">
        <f>L542</f>
        <v>341330.32</v>
      </c>
      <c r="K550" s="69">
        <f>SUM(F550:J550)</f>
        <v>4701769.8000000007</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1276318.56</v>
      </c>
      <c r="G552" s="69">
        <f>L529</f>
        <v>470124.44</v>
      </c>
      <c r="H552" s="69">
        <f>L534</f>
        <v>50754.47</v>
      </c>
      <c r="I552" s="69">
        <f>L539</f>
        <v>1000.05</v>
      </c>
      <c r="J552" s="69">
        <f>L544</f>
        <v>164112.07999999999</v>
      </c>
      <c r="K552" s="69">
        <f>SUM(F552:J552)</f>
        <v>1962309.6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4570611.37</v>
      </c>
      <c r="G553" s="70">
        <f t="shared" si="42"/>
        <v>1428628.92</v>
      </c>
      <c r="H553" s="70">
        <f t="shared" si="42"/>
        <v>156316.71000000002</v>
      </c>
      <c r="I553" s="70">
        <f t="shared" si="42"/>
        <v>3080</v>
      </c>
      <c r="J553" s="70">
        <f t="shared" si="42"/>
        <v>505442.4</v>
      </c>
      <c r="K553" s="70">
        <f t="shared" si="42"/>
        <v>6664079.4000000004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164399.67000000001</v>
      </c>
      <c r="G558" s="18">
        <v>86636.58</v>
      </c>
      <c r="H558" s="18"/>
      <c r="I558" s="18">
        <v>807.94</v>
      </c>
      <c r="J558" s="18"/>
      <c r="K558" s="18">
        <v>13599.54</v>
      </c>
      <c r="L558" s="69">
        <f>SUM(F558:K558)</f>
        <v>265443.73</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164399.67000000001</v>
      </c>
      <c r="G561" s="81">
        <f t="shared" si="43"/>
        <v>86636.58</v>
      </c>
      <c r="H561" s="81">
        <f t="shared" si="43"/>
        <v>0</v>
      </c>
      <c r="I561" s="81">
        <f t="shared" si="43"/>
        <v>807.94</v>
      </c>
      <c r="J561" s="81">
        <f t="shared" si="43"/>
        <v>0</v>
      </c>
      <c r="K561" s="81">
        <f t="shared" si="43"/>
        <v>13599.54</v>
      </c>
      <c r="L561" s="70">
        <f t="shared" si="43"/>
        <v>265443.73</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41706.629999999997</v>
      </c>
      <c r="G563" s="18">
        <v>16723.64</v>
      </c>
      <c r="H563" s="18"/>
      <c r="I563" s="18"/>
      <c r="J563" s="18"/>
      <c r="K563" s="18"/>
      <c r="L563" s="69">
        <f>SUM(F563:K563)</f>
        <v>58430.27</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v>20052.599999999999</v>
      </c>
      <c r="G565" s="18">
        <v>8040.75</v>
      </c>
      <c r="H565" s="18"/>
      <c r="I565" s="18"/>
      <c r="J565" s="18"/>
      <c r="K565" s="18"/>
      <c r="L565" s="69">
        <f>SUM(F565:K565)</f>
        <v>28093.35</v>
      </c>
      <c r="M565" s="8"/>
      <c r="N565" s="165"/>
    </row>
    <row r="566" spans="1:14" s="3" customFormat="1" ht="12.2" customHeight="1" thickTop="1" x14ac:dyDescent="0.15">
      <c r="A566" s="97" t="s">
        <v>65</v>
      </c>
      <c r="B566" s="41">
        <v>22</v>
      </c>
      <c r="C566" s="41">
        <v>8</v>
      </c>
      <c r="D566" s="115" t="s">
        <v>432</v>
      </c>
      <c r="E566" s="41"/>
      <c r="F566" s="70">
        <f t="shared" ref="F566:L566" si="44">SUM(F563:F565)</f>
        <v>61759.229999999996</v>
      </c>
      <c r="G566" s="70">
        <f t="shared" si="44"/>
        <v>24764.39</v>
      </c>
      <c r="H566" s="70">
        <f t="shared" si="44"/>
        <v>0</v>
      </c>
      <c r="I566" s="70">
        <f t="shared" si="44"/>
        <v>0</v>
      </c>
      <c r="J566" s="70">
        <f t="shared" si="44"/>
        <v>0</v>
      </c>
      <c r="K566" s="70">
        <f t="shared" si="44"/>
        <v>0</v>
      </c>
      <c r="L566" s="70">
        <f t="shared" si="44"/>
        <v>86523.62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226158.90000000002</v>
      </c>
      <c r="G572" s="70">
        <f t="shared" ref="G572:L572" si="46">G561+G566+G571</f>
        <v>111400.97</v>
      </c>
      <c r="H572" s="70">
        <f t="shared" si="46"/>
        <v>0</v>
      </c>
      <c r="I572" s="70">
        <f t="shared" si="46"/>
        <v>807.94</v>
      </c>
      <c r="J572" s="70">
        <f t="shared" si="46"/>
        <v>0</v>
      </c>
      <c r="K572" s="70">
        <f t="shared" si="46"/>
        <v>13599.54</v>
      </c>
      <c r="L572" s="70">
        <f t="shared" si="46"/>
        <v>351967.35</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34999.199999999997</v>
      </c>
      <c r="I580" s="69">
        <f t="shared" si="47"/>
        <v>34999.199999999997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2291.1999999999998</v>
      </c>
      <c r="G583" s="18"/>
      <c r="H583" s="18">
        <v>255606.26</v>
      </c>
      <c r="I583" s="69">
        <f t="shared" si="47"/>
        <v>257897.46000000002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101878.59</v>
      </c>
      <c r="I585" s="69">
        <f t="shared" si="47"/>
        <v>101878.59</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631757.06999999995</v>
      </c>
      <c r="I592" s="18"/>
      <c r="J592" s="18">
        <v>303749.64</v>
      </c>
      <c r="K592" s="80">
        <f t="shared" ref="K592:K598" si="48">SUM(H592:J592)</f>
        <v>935506.71</v>
      </c>
      <c r="L592" s="23" t="s">
        <v>288</v>
      </c>
      <c r="M592" s="8"/>
      <c r="N592" s="165"/>
    </row>
    <row r="593" spans="1:14" s="3" customFormat="1" ht="12.2" customHeight="1" x14ac:dyDescent="0.15">
      <c r="A593" s="3" t="s">
        <v>638</v>
      </c>
      <c r="B593" s="22">
        <v>23</v>
      </c>
      <c r="C593" s="22">
        <v>2</v>
      </c>
      <c r="D593" s="2" t="s">
        <v>432</v>
      </c>
      <c r="E593" s="22"/>
      <c r="F593" s="78">
        <v>2722</v>
      </c>
      <c r="G593" s="79" t="s">
        <v>97</v>
      </c>
      <c r="H593" s="18">
        <v>341330.32</v>
      </c>
      <c r="I593" s="18"/>
      <c r="J593" s="18">
        <v>164112.07999999999</v>
      </c>
      <c r="K593" s="80">
        <f t="shared" si="48"/>
        <v>505442.4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110058.73</v>
      </c>
      <c r="K594" s="80">
        <f t="shared" si="48"/>
        <v>110058.73</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v>82633.600000000006</v>
      </c>
      <c r="K595" s="80">
        <f t="shared" si="48"/>
        <v>82633.600000000006</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23356.52</v>
      </c>
      <c r="I596" s="18"/>
      <c r="J596" s="18">
        <v>12100.41</v>
      </c>
      <c r="K596" s="80">
        <f t="shared" si="48"/>
        <v>35456.93</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79536.23</v>
      </c>
      <c r="I598" s="18"/>
      <c r="J598" s="18">
        <v>38241.120000000003</v>
      </c>
      <c r="K598" s="80">
        <f t="shared" si="48"/>
        <v>117777.35</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1075980.1399999999</v>
      </c>
      <c r="I599" s="81">
        <f>SUM(I592:I598)</f>
        <v>0</v>
      </c>
      <c r="J599" s="81">
        <f>SUM(J592:J598)</f>
        <v>710895.58</v>
      </c>
      <c r="K599" s="81">
        <f>SUM(K592:K598)</f>
        <v>1786875.72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905311.6</v>
      </c>
      <c r="I605" s="18"/>
      <c r="J605" s="18">
        <v>627311.23</v>
      </c>
      <c r="K605" s="80">
        <f>SUM(H605:J605)</f>
        <v>1532622.83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905311.6</v>
      </c>
      <c r="I606" s="81">
        <f>SUM(I603:I605)</f>
        <v>0</v>
      </c>
      <c r="J606" s="81">
        <f>SUM(J603:J605)</f>
        <v>627311.23</v>
      </c>
      <c r="K606" s="81">
        <f>SUM(K603:K605)</f>
        <v>1532622.83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63760.69</v>
      </c>
      <c r="G612" s="18">
        <v>14893</v>
      </c>
      <c r="H612" s="18"/>
      <c r="I612" s="18">
        <v>420.8</v>
      </c>
      <c r="J612" s="18"/>
      <c r="K612" s="18"/>
      <c r="L612" s="69">
        <f>SUM(F612:K612)</f>
        <v>79074.490000000005</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v>22498.06</v>
      </c>
      <c r="G614" s="18">
        <v>5817.6</v>
      </c>
      <c r="H614" s="18"/>
      <c r="I614" s="18"/>
      <c r="J614" s="18"/>
      <c r="K614" s="18"/>
      <c r="L614" s="69">
        <f>SUM(F614:K614)</f>
        <v>28315.660000000003</v>
      </c>
      <c r="M614" s="8"/>
      <c r="N614" s="165"/>
    </row>
    <row r="615" spans="1:14" s="3" customFormat="1" ht="12.2" customHeight="1" thickTop="1" x14ac:dyDescent="0.15">
      <c r="A615" s="75" t="s">
        <v>340</v>
      </c>
      <c r="B615" s="41">
        <v>23</v>
      </c>
      <c r="C615" s="41">
        <v>16</v>
      </c>
      <c r="D615" s="36" t="s">
        <v>432</v>
      </c>
      <c r="E615" s="41"/>
      <c r="F615" s="81">
        <f t="shared" ref="F615:L615" si="49">SUM(F612:F614)</f>
        <v>86258.75</v>
      </c>
      <c r="G615" s="81">
        <f t="shared" si="49"/>
        <v>20710.599999999999</v>
      </c>
      <c r="H615" s="81">
        <f t="shared" si="49"/>
        <v>0</v>
      </c>
      <c r="I615" s="81">
        <f t="shared" si="49"/>
        <v>420.8</v>
      </c>
      <c r="J615" s="81">
        <f t="shared" si="49"/>
        <v>0</v>
      </c>
      <c r="K615" s="81">
        <f t="shared" si="49"/>
        <v>0</v>
      </c>
      <c r="L615" s="70">
        <f t="shared" si="49"/>
        <v>107390.15000000001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5501948.4899999993</v>
      </c>
      <c r="H618" s="80">
        <f>SUM(F52)</f>
        <v>5501948.4900000002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136509.14000000001</v>
      </c>
      <c r="H619" s="80">
        <f>SUM(G52)</f>
        <v>136509.13999999998</v>
      </c>
      <c r="I619" s="87" t="s">
        <v>875</v>
      </c>
      <c r="J619" s="80">
        <f>G619-H619</f>
        <v>0</v>
      </c>
      <c r="K619" s="80"/>
      <c r="L619" s="80"/>
      <c r="M619" s="8"/>
    </row>
    <row r="620" spans="1:14" s="3" customFormat="1" ht="12.2" customHeight="1" x14ac:dyDescent="0.15">
      <c r="A620" s="74"/>
      <c r="B620" s="22"/>
      <c r="C620" s="22"/>
      <c r="D620" s="22"/>
      <c r="E620" s="22"/>
      <c r="F620" s="87" t="s">
        <v>685</v>
      </c>
      <c r="G620" s="80">
        <f>SUM(H19)</f>
        <v>148364.29999999999</v>
      </c>
      <c r="H620" s="80">
        <f>SUM(H52)</f>
        <v>148364.29999999999</v>
      </c>
      <c r="I620" s="87" t="s">
        <v>876</v>
      </c>
      <c r="J620" s="80">
        <f>G620-H620</f>
        <v>0</v>
      </c>
      <c r="K620" s="80"/>
      <c r="L620" s="80"/>
      <c r="M620" s="8"/>
    </row>
    <row r="621" spans="1:14" s="3" customFormat="1" ht="12.2" customHeight="1" x14ac:dyDescent="0.15">
      <c r="A621" s="74"/>
      <c r="B621" s="22"/>
      <c r="C621" s="22"/>
      <c r="D621" s="22"/>
      <c r="E621" s="22"/>
      <c r="F621" s="87" t="s">
        <v>686</v>
      </c>
      <c r="G621" s="80">
        <f>SUM(I19)</f>
        <v>3231</v>
      </c>
      <c r="H621" s="80">
        <f>SUM(I52)</f>
        <v>3231</v>
      </c>
      <c r="I621" s="87" t="s">
        <v>877</v>
      </c>
      <c r="J621" s="80">
        <f>G621-H621</f>
        <v>0</v>
      </c>
      <c r="K621" s="80"/>
      <c r="L621" s="80"/>
      <c r="M621" s="8"/>
    </row>
    <row r="622" spans="1:14" s="3" customFormat="1" ht="12.2" customHeight="1" x14ac:dyDescent="0.15">
      <c r="A622" s="74"/>
      <c r="B622" s="22"/>
      <c r="C622" s="22"/>
      <c r="D622" s="22"/>
      <c r="E622" s="22"/>
      <c r="F622" s="87" t="s">
        <v>687</v>
      </c>
      <c r="G622" s="80">
        <f>SUM(J19)</f>
        <v>797865.99</v>
      </c>
      <c r="H622" s="80">
        <f>SUM(J52)</f>
        <v>797865.99</v>
      </c>
      <c r="I622" s="87" t="s">
        <v>878</v>
      </c>
      <c r="J622" s="80">
        <f>G622-H622</f>
        <v>0</v>
      </c>
      <c r="K622" s="80"/>
      <c r="L622" s="80"/>
      <c r="M622" s="8"/>
    </row>
    <row r="623" spans="1:14" s="3" customFormat="1" ht="12.2" customHeight="1" x14ac:dyDescent="0.15">
      <c r="A623" s="74"/>
      <c r="B623" s="22"/>
      <c r="C623" s="22"/>
      <c r="D623" s="22"/>
      <c r="E623" s="22"/>
      <c r="F623" s="87" t="s">
        <v>864</v>
      </c>
      <c r="G623" s="80">
        <f>F51</f>
        <v>3106841.78</v>
      </c>
      <c r="H623" s="80">
        <f>F477</f>
        <v>3106841.7799999975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148204.34</v>
      </c>
      <c r="H624" s="80">
        <f>G477</f>
        <v>148204.34000000008</v>
      </c>
      <c r="I624" s="87" t="s">
        <v>102</v>
      </c>
      <c r="J624" s="80">
        <f t="shared" si="50"/>
        <v>0</v>
      </c>
      <c r="K624" s="80"/>
      <c r="L624" s="80"/>
      <c r="M624" s="8"/>
    </row>
    <row r="625" spans="1:13" s="3" customFormat="1" ht="12.2" customHeight="1" x14ac:dyDescent="0.15">
      <c r="A625" s="74"/>
      <c r="B625" s="22"/>
      <c r="C625" s="22"/>
      <c r="D625" s="22"/>
      <c r="E625" s="22"/>
      <c r="F625" s="86" t="s">
        <v>866</v>
      </c>
      <c r="G625" s="80">
        <f>H51</f>
        <v>145782.85999999999</v>
      </c>
      <c r="H625" s="80">
        <f>H477</f>
        <v>145782.85999999999</v>
      </c>
      <c r="I625" s="87" t="s">
        <v>103</v>
      </c>
      <c r="J625" s="80">
        <f t="shared" si="50"/>
        <v>0</v>
      </c>
      <c r="K625" s="80"/>
      <c r="L625" s="80"/>
      <c r="M625" s="8"/>
    </row>
    <row r="626" spans="1:13" s="3" customFormat="1" ht="12.2" customHeight="1" x14ac:dyDescent="0.15">
      <c r="A626" s="74"/>
      <c r="B626" s="22"/>
      <c r="C626" s="22"/>
      <c r="D626" s="22"/>
      <c r="E626" s="22"/>
      <c r="F626" s="86" t="s">
        <v>867</v>
      </c>
      <c r="G626" s="80">
        <f>I51</f>
        <v>3231</v>
      </c>
      <c r="H626" s="80">
        <f>I477</f>
        <v>3231</v>
      </c>
      <c r="I626" s="87" t="s">
        <v>104</v>
      </c>
      <c r="J626" s="80">
        <f t="shared" si="50"/>
        <v>0</v>
      </c>
      <c r="K626" s="80"/>
      <c r="L626" s="80"/>
      <c r="M626" s="8"/>
    </row>
    <row r="627" spans="1:13" s="3" customFormat="1" ht="12.2" customHeight="1" x14ac:dyDescent="0.15">
      <c r="A627" s="21"/>
      <c r="B627" s="22"/>
      <c r="C627" s="22"/>
      <c r="D627" s="22"/>
      <c r="E627" s="22"/>
      <c r="F627" s="86" t="s">
        <v>868</v>
      </c>
      <c r="G627" s="80">
        <f>J51</f>
        <v>797865.99</v>
      </c>
      <c r="H627" s="80">
        <f>J477</f>
        <v>797865.99</v>
      </c>
      <c r="I627" s="87" t="s">
        <v>105</v>
      </c>
      <c r="J627" s="80">
        <f t="shared" si="50"/>
        <v>0</v>
      </c>
      <c r="K627" s="67"/>
      <c r="L627" s="69"/>
      <c r="M627" s="8"/>
    </row>
    <row r="628" spans="1:13" s="3" customFormat="1" ht="12.2" customHeight="1" x14ac:dyDescent="0.15">
      <c r="A628" s="21"/>
      <c r="B628" s="22"/>
      <c r="C628" s="22"/>
      <c r="D628" s="22"/>
      <c r="E628" s="22"/>
      <c r="F628" s="86" t="s">
        <v>658</v>
      </c>
      <c r="G628" s="80">
        <f>F194</f>
        <v>29093838.949999996</v>
      </c>
      <c r="H628" s="80">
        <f>SUM(F469)</f>
        <v>29093838.949999999</v>
      </c>
      <c r="I628" s="87" t="s">
        <v>106</v>
      </c>
      <c r="J628" s="80">
        <f>G628-H628</f>
        <v>0</v>
      </c>
      <c r="K628" s="67"/>
      <c r="L628" s="69"/>
      <c r="M628" s="8"/>
    </row>
    <row r="629" spans="1:13" s="3" customFormat="1" ht="12.2" customHeight="1" x14ac:dyDescent="0.15">
      <c r="A629" s="21"/>
      <c r="B629" s="22"/>
      <c r="C629" s="22"/>
      <c r="D629" s="22"/>
      <c r="E629" s="22"/>
      <c r="F629" s="86" t="s">
        <v>659</v>
      </c>
      <c r="G629" s="80">
        <f>G194</f>
        <v>357094.28</v>
      </c>
      <c r="H629" s="80">
        <f>SUM(G469)</f>
        <v>357094.28</v>
      </c>
      <c r="I629" s="87" t="s">
        <v>107</v>
      </c>
      <c r="J629" s="80">
        <f>G629-H629</f>
        <v>0</v>
      </c>
      <c r="K629" s="67"/>
      <c r="L629" s="69"/>
      <c r="M629" s="8"/>
    </row>
    <row r="630" spans="1:13" s="3" customFormat="1" ht="12.2" customHeight="1" x14ac:dyDescent="0.15">
      <c r="A630" s="21"/>
      <c r="B630" s="22"/>
      <c r="C630" s="22"/>
      <c r="D630" s="22"/>
      <c r="E630" s="22"/>
      <c r="F630" s="86" t="s">
        <v>660</v>
      </c>
      <c r="G630" s="80">
        <f>H194</f>
        <v>956455.84999999986</v>
      </c>
      <c r="H630" s="80">
        <f>SUM(H469)</f>
        <v>956455.85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184319.35</v>
      </c>
      <c r="H632" s="80">
        <f>SUM(J469)</f>
        <v>184319.35</v>
      </c>
      <c r="I632" s="87" t="s">
        <v>110</v>
      </c>
      <c r="J632" s="80">
        <f>G632-H632</f>
        <v>0</v>
      </c>
      <c r="K632" s="67"/>
      <c r="L632" s="69"/>
      <c r="M632" s="8"/>
    </row>
    <row r="633" spans="1:13" s="3" customFormat="1" ht="12.2" customHeight="1" x14ac:dyDescent="0.15">
      <c r="A633" s="21"/>
      <c r="B633" s="22"/>
      <c r="C633" s="22"/>
      <c r="D633" s="22"/>
      <c r="E633" s="22"/>
      <c r="F633" s="86" t="s">
        <v>394</v>
      </c>
      <c r="G633" s="80">
        <f>SUM(L272)</f>
        <v>28968178.913999997</v>
      </c>
      <c r="H633" s="80">
        <f>SUM(F473)</f>
        <v>28968178.91</v>
      </c>
      <c r="I633" s="87" t="s">
        <v>111</v>
      </c>
      <c r="J633" s="80">
        <f t="shared" si="50"/>
        <v>3.9999969303607941E-3</v>
      </c>
      <c r="K633" s="67"/>
      <c r="L633" s="69"/>
      <c r="M633" s="8"/>
    </row>
    <row r="634" spans="1:13" s="3" customFormat="1" ht="12.2" customHeight="1" x14ac:dyDescent="0.15">
      <c r="A634" s="21"/>
      <c r="B634" s="22"/>
      <c r="C634" s="22"/>
      <c r="D634" s="22"/>
      <c r="E634" s="22"/>
      <c r="F634" s="86" t="s">
        <v>395</v>
      </c>
      <c r="G634" s="80">
        <f>SUM(L353)</f>
        <v>962515.87999999989</v>
      </c>
      <c r="H634" s="80">
        <f>SUM(H473)</f>
        <v>962515.88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420132.41000000003</v>
      </c>
      <c r="H636" s="80">
        <f>SUM(G473)</f>
        <v>420132.41</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184319.35</v>
      </c>
      <c r="H638" s="108">
        <f>SUM(J469)</f>
        <v>184319.35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660095</v>
      </c>
      <c r="H639" s="108">
        <f>SUM(J473)</f>
        <v>660095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797865.99</v>
      </c>
      <c r="H642" s="80">
        <f>SUM(H462)</f>
        <v>797865.99</v>
      </c>
      <c r="I642" s="87" t="s">
        <v>842</v>
      </c>
      <c r="J642" s="80">
        <f t="shared" si="50"/>
        <v>0</v>
      </c>
      <c r="K642" s="67"/>
      <c r="L642" s="69"/>
      <c r="M642" s="8"/>
    </row>
    <row r="643" spans="1:13" s="3" customFormat="1" ht="12.2" customHeight="1" x14ac:dyDescent="0.15">
      <c r="A643" s="21"/>
      <c r="B643" s="22"/>
      <c r="C643" s="22"/>
      <c r="D643" s="22"/>
      <c r="E643" s="22"/>
      <c r="F643" s="86" t="s">
        <v>121</v>
      </c>
      <c r="G643" s="80">
        <f>SUM(I447)</f>
        <v>797865.99</v>
      </c>
      <c r="H643" s="80">
        <f>SUM(I462)</f>
        <v>797865.99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14319.35</v>
      </c>
      <c r="H645" s="80">
        <f>H409</f>
        <v>14319.349999999999</v>
      </c>
      <c r="I645" s="87" t="s">
        <v>480</v>
      </c>
      <c r="J645" s="80">
        <f t="shared" si="50"/>
        <v>0</v>
      </c>
      <c r="K645" s="67"/>
      <c r="L645" s="69"/>
      <c r="M645" s="8"/>
    </row>
    <row r="646" spans="1:13" s="3" customFormat="1" ht="12.2" customHeight="1" x14ac:dyDescent="0.15">
      <c r="A646" s="21"/>
      <c r="B646" s="22"/>
      <c r="C646" s="22"/>
      <c r="D646" s="22"/>
      <c r="E646" s="22"/>
      <c r="F646" s="86" t="s">
        <v>664</v>
      </c>
      <c r="G646" s="80">
        <f>J184</f>
        <v>170000</v>
      </c>
      <c r="H646" s="80">
        <f>G409</f>
        <v>170000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184319.35</v>
      </c>
      <c r="H647" s="80">
        <f>L409</f>
        <v>184319.35</v>
      </c>
      <c r="I647" s="87" t="s">
        <v>477</v>
      </c>
      <c r="J647" s="80">
        <f t="shared" si="50"/>
        <v>0</v>
      </c>
      <c r="K647" s="67"/>
      <c r="L647" s="69"/>
      <c r="M647" s="8"/>
    </row>
    <row r="648" spans="1:13" s="3" customFormat="1" ht="12.2" customHeight="1" x14ac:dyDescent="0.15">
      <c r="A648" s="21"/>
      <c r="B648" s="22"/>
      <c r="C648" s="22"/>
      <c r="D648" s="22"/>
      <c r="E648" s="22"/>
      <c r="F648" s="86" t="s">
        <v>51</v>
      </c>
      <c r="G648" s="80">
        <f>K599</f>
        <v>1786875.72</v>
      </c>
      <c r="H648" s="80">
        <f>L209+L227+L245</f>
        <v>1786875.7199999997</v>
      </c>
      <c r="I648" s="87" t="s">
        <v>396</v>
      </c>
      <c r="J648" s="80">
        <f t="shared" si="50"/>
        <v>0</v>
      </c>
      <c r="K648" s="67"/>
      <c r="L648" s="69"/>
      <c r="M648" s="8"/>
    </row>
    <row r="649" spans="1:13" s="3" customFormat="1" ht="12.2" customHeight="1" x14ac:dyDescent="0.15">
      <c r="A649" s="21"/>
      <c r="B649" s="22"/>
      <c r="C649" s="22"/>
      <c r="D649" s="22"/>
      <c r="E649" s="22"/>
      <c r="F649" s="86" t="s">
        <v>52</v>
      </c>
      <c r="G649" s="80">
        <f>K606</f>
        <v>1532622.83</v>
      </c>
      <c r="H649" s="80">
        <f>(J258+J339)-(J256+J337)</f>
        <v>1532622.83</v>
      </c>
      <c r="I649" s="87" t="s">
        <v>699</v>
      </c>
      <c r="J649" s="80">
        <f t="shared" si="50"/>
        <v>0</v>
      </c>
      <c r="K649" s="67"/>
      <c r="L649" s="69"/>
      <c r="M649" s="8"/>
    </row>
    <row r="650" spans="1:13" s="3" customFormat="1" ht="12.2" customHeight="1" x14ac:dyDescent="0.15">
      <c r="A650" s="21"/>
      <c r="B650" s="22"/>
      <c r="C650" s="22"/>
      <c r="D650" s="22"/>
      <c r="E650" s="22"/>
      <c r="F650" s="86" t="s">
        <v>387</v>
      </c>
      <c r="G650" s="80">
        <f>L209</f>
        <v>1075980.1399999999</v>
      </c>
      <c r="H650" s="80">
        <f>H599</f>
        <v>1075980.1399999999</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710895.58</v>
      </c>
      <c r="H652" s="80">
        <f>J599</f>
        <v>710895.58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170000</v>
      </c>
      <c r="H656" s="80">
        <f>K267+K348</f>
        <v>170000</v>
      </c>
      <c r="I656" s="87" t="s">
        <v>400</v>
      </c>
      <c r="J656" s="80">
        <f t="shared" si="50"/>
        <v>0</v>
      </c>
      <c r="K656" s="67"/>
      <c r="L656" s="69"/>
      <c r="M656" s="9"/>
    </row>
    <row r="657" spans="1:13" s="3" customFormat="1" ht="12.2" customHeight="1" x14ac:dyDescent="0.15">
      <c r="F657" s="25" t="s">
        <v>122</v>
      </c>
      <c r="G657" s="13"/>
      <c r="H657" s="80">
        <f>SUM(G618:G656)-SUM(H618:H656)</f>
        <v>3.9999932050704956E-3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20157338.099999998</v>
      </c>
      <c r="G661" s="13">
        <f>(L230+L310+L360)</f>
        <v>0</v>
      </c>
      <c r="H661" s="13">
        <f>(L248+L329+L361)</f>
        <v>10022690.403999999</v>
      </c>
      <c r="I661" s="13">
        <f>SUM(F661:H661)</f>
        <v>30180028.503999997</v>
      </c>
      <c r="J661" s="13"/>
      <c r="K661" s="13"/>
      <c r="L661" s="13"/>
      <c r="M661" s="9"/>
    </row>
    <row r="662" spans="1:13" s="3" customFormat="1" ht="12.2" customHeight="1" x14ac:dyDescent="0.2">
      <c r="A662" s="1" t="s">
        <v>127</v>
      </c>
      <c r="F662" s="13">
        <f>(L359/IF(SUM(L359:L361)=0,1,SUM(L359:L361))*(SUM(G97:G110)))</f>
        <v>129570.82360439532</v>
      </c>
      <c r="G662" s="13">
        <f>(L360/IF(SUM(L359:L361)=0,1,SUM(L359:L361))*(SUM(G97:G110)))</f>
        <v>0</v>
      </c>
      <c r="H662" s="13">
        <f>(L361/IF(SUM(L359:L361)=0,1,SUM(L359:L361))*(SUM(G97:G110)))</f>
        <v>62297.82639560465</v>
      </c>
      <c r="I662" s="13">
        <f>SUM(F662:H662)</f>
        <v>191868.64999999997</v>
      </c>
      <c r="J662"/>
      <c r="K662" s="13"/>
      <c r="L662" s="13"/>
      <c r="M662" s="8"/>
    </row>
    <row r="663" spans="1:13" s="3" customFormat="1" ht="12.2" customHeight="1" x14ac:dyDescent="0.2">
      <c r="A663" s="1" t="s">
        <v>128</v>
      </c>
      <c r="F663" s="13">
        <f>(L209+L288)-(J209+J288)</f>
        <v>1014760.0399999998</v>
      </c>
      <c r="G663" s="13">
        <f>(L227+L307)-(J227+J307)</f>
        <v>0</v>
      </c>
      <c r="H663" s="13">
        <f>(L245+L326)-(J245+J326)</f>
        <v>681460.88</v>
      </c>
      <c r="I663" s="13">
        <f>SUM(F663:H663)</f>
        <v>1696220.92</v>
      </c>
      <c r="J663"/>
      <c r="K663" s="13"/>
      <c r="L663" s="13"/>
      <c r="M663" s="9"/>
    </row>
    <row r="664" spans="1:13" s="3" customFormat="1" ht="12.2" customHeight="1" x14ac:dyDescent="0.15">
      <c r="A664" s="142" t="s">
        <v>129</v>
      </c>
      <c r="B664" s="124"/>
      <c r="C664" s="124"/>
      <c r="D664" s="124"/>
      <c r="E664" s="124"/>
      <c r="F664" s="143">
        <f>SUM(F576:F588)+SUM(H603:H605)+SUM(L612)</f>
        <v>986677.28999999992</v>
      </c>
      <c r="G664" s="143">
        <f>SUM(G576:G588)+SUM(I603:I605)+L613</f>
        <v>0</v>
      </c>
      <c r="H664" s="143">
        <f>SUM(H576:H588)+SUM(J603:J605)+L614</f>
        <v>1048110.9400000001</v>
      </c>
      <c r="I664" s="13">
        <f>SUM(F664:H664)</f>
        <v>2034788.23</v>
      </c>
      <c r="J664" s="13"/>
      <c r="K664" s="13"/>
      <c r="L664" s="13"/>
      <c r="M664" s="9"/>
    </row>
    <row r="665" spans="1:13" s="3" customFormat="1" ht="12.2" customHeight="1" x14ac:dyDescent="0.15">
      <c r="A665" s="1" t="s">
        <v>130</v>
      </c>
      <c r="F665" s="13">
        <f>F661-SUM(F662:F664)</f>
        <v>18026329.946395602</v>
      </c>
      <c r="G665" s="13">
        <f>G661-SUM(G662:G664)</f>
        <v>0</v>
      </c>
      <c r="H665" s="13">
        <f>H661-SUM(H662:H664)</f>
        <v>8230820.7576043941</v>
      </c>
      <c r="I665" s="13">
        <f>I661-SUM(I662:I664)</f>
        <v>26257150.703999996</v>
      </c>
      <c r="J665" s="13"/>
      <c r="K665" s="13"/>
      <c r="L665" s="13"/>
      <c r="M665" s="8"/>
    </row>
    <row r="666" spans="1:13" s="3" customFormat="1" ht="12.2" customHeight="1" x14ac:dyDescent="0.2">
      <c r="A666" s="1" t="s">
        <v>131</v>
      </c>
      <c r="F666" s="183">
        <v>607.94000000000005</v>
      </c>
      <c r="G666" s="184"/>
      <c r="H666" s="184">
        <v>282.55</v>
      </c>
      <c r="I666" s="13">
        <f>SUM(F666:H666)</f>
        <v>890.49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29651.5</v>
      </c>
      <c r="G668" s="13" t="e">
        <f>ROUND(G665/G666,2)</f>
        <v>#DIV/0!</v>
      </c>
      <c r="H668" s="13">
        <f>ROUND(H665/H666,2)</f>
        <v>29130.49</v>
      </c>
      <c r="I668" s="13">
        <f>ROUND(I665/I666,2)</f>
        <v>29486.18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-11.61</v>
      </c>
      <c r="I671" s="13">
        <f>SUM(F671:H671)</f>
        <v>-11.61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29651.5</v>
      </c>
      <c r="G673" s="13" t="e">
        <f>ROUND((G665+G670)/(G666+G671),2)</f>
        <v>#DIV/0!</v>
      </c>
      <c r="H673" s="13">
        <f>ROUND((H665+H670)/(H666+H671),2)</f>
        <v>30378.76</v>
      </c>
      <c r="I673" s="13">
        <f>ROUND((I665+I670)/(I666+I671),2)</f>
        <v>29875.69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6" sqref="H16"/>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108500.35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56080.61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31644.26</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20775.48</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402</v>
      </c>
      <c r="C3" s="243"/>
      <c r="D3" s="243"/>
      <c r="E3" s="243"/>
      <c r="F3" s="243"/>
      <c r="G3" s="243"/>
      <c r="H3" s="243"/>
      <c r="I3" t="s">
        <v>1605</v>
      </c>
    </row>
    <row r="4" spans="1:9" x14ac:dyDescent="0.2">
      <c r="I4" t="s">
        <v>1606</v>
      </c>
    </row>
    <row r="5" spans="1:9" ht="15.75" x14ac:dyDescent="0.25">
      <c r="A5" s="239" t="s">
        <v>900</v>
      </c>
      <c r="B5" s="316" t="str">
        <f>'DOE25'!A2</f>
        <v>Inter-Lakes Cooperative</v>
      </c>
      <c r="C5" s="317"/>
      <c r="D5" s="317"/>
      <c r="E5" s="317"/>
      <c r="F5" s="317"/>
    </row>
    <row r="8" spans="1:9" ht="18" x14ac:dyDescent="0.25">
      <c r="A8" s="240" t="s">
        <v>1560</v>
      </c>
      <c r="F8" s="247" t="s">
        <v>1578</v>
      </c>
    </row>
    <row r="9" spans="1:9" ht="15" x14ac:dyDescent="0.2">
      <c r="A9" s="238" t="s">
        <v>1561</v>
      </c>
      <c r="B9" s="241">
        <f>'DOE25'!G97</f>
        <v>191868.65</v>
      </c>
      <c r="F9" s="238" t="s">
        <v>1574</v>
      </c>
    </row>
    <row r="10" spans="1:9" ht="15" x14ac:dyDescent="0.2">
      <c r="A10" s="238" t="s">
        <v>1562</v>
      </c>
      <c r="B10" s="241">
        <f>'DOE25'!G112-'DOE25'!G97</f>
        <v>0</v>
      </c>
      <c r="F10" s="238" t="s">
        <v>1575</v>
      </c>
    </row>
    <row r="11" spans="1:9" ht="15" x14ac:dyDescent="0.2">
      <c r="A11" s="238" t="s">
        <v>1563</v>
      </c>
      <c r="B11" s="241">
        <f>'DOE25'!G140</f>
        <v>5847.01</v>
      </c>
      <c r="F11" s="238" t="s">
        <v>1576</v>
      </c>
    </row>
    <row r="12" spans="1:9" ht="15" x14ac:dyDescent="0.2">
      <c r="A12" s="238" t="s">
        <v>1564</v>
      </c>
      <c r="B12" s="241">
        <f>'DOE25'!G170</f>
        <v>159378.62</v>
      </c>
      <c r="F12" s="238" t="s">
        <v>1577</v>
      </c>
    </row>
    <row r="13" spans="1:9" ht="15" x14ac:dyDescent="0.2">
      <c r="A13" s="238" t="s">
        <v>1565</v>
      </c>
      <c r="B13" s="241">
        <f>'DOE25'!G193-'DOE25'!G180</f>
        <v>0</v>
      </c>
      <c r="F13" s="238" t="s">
        <v>1587</v>
      </c>
    </row>
    <row r="14" spans="1:9" ht="18" x14ac:dyDescent="0.25">
      <c r="A14" s="240" t="s">
        <v>732</v>
      </c>
      <c r="B14" s="242">
        <f>SUM(B9:B13)</f>
        <v>357094.28</v>
      </c>
    </row>
    <row r="16" spans="1:9" ht="18" x14ac:dyDescent="0.25">
      <c r="A16" s="240" t="s">
        <v>786</v>
      </c>
      <c r="F16" s="247" t="s">
        <v>1579</v>
      </c>
    </row>
    <row r="17" spans="1:6" ht="15" x14ac:dyDescent="0.2">
      <c r="A17" s="238" t="s">
        <v>1566</v>
      </c>
      <c r="B17" s="241">
        <f>'DOE25'!L363-'DOE25'!L362</f>
        <v>420132.41000000003</v>
      </c>
      <c r="F17" s="238" t="s">
        <v>1580</v>
      </c>
    </row>
    <row r="18" spans="1:6" ht="15" x14ac:dyDescent="0.2">
      <c r="A18" s="238" t="s">
        <v>1567</v>
      </c>
      <c r="B18" s="251"/>
      <c r="F18" s="247" t="s">
        <v>1604</v>
      </c>
    </row>
    <row r="19" spans="1:6" ht="18" x14ac:dyDescent="0.25">
      <c r="A19" s="240" t="s">
        <v>725</v>
      </c>
      <c r="B19" s="242">
        <f>SUM(B17:B18)</f>
        <v>420132.41000000003</v>
      </c>
    </row>
    <row r="21" spans="1:6" ht="18.75" thickBot="1" x14ac:dyDescent="0.3">
      <c r="A21" s="240" t="s">
        <v>1568</v>
      </c>
    </row>
    <row r="22" spans="1:6" ht="18.75" thickTop="1" x14ac:dyDescent="0.25">
      <c r="A22" s="240" t="s">
        <v>1569</v>
      </c>
      <c r="B22" s="246">
        <f>B14-B19</f>
        <v>-63038.130000000005</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212976.41</v>
      </c>
      <c r="F31" s="238" t="s">
        <v>1584</v>
      </c>
    </row>
    <row r="33" spans="1:6" ht="15" x14ac:dyDescent="0.2">
      <c r="A33" s="238" t="s">
        <v>1798</v>
      </c>
      <c r="B33" s="241">
        <f>'DOE25'!G477</f>
        <v>148204.34000000008</v>
      </c>
      <c r="F33" s="238" t="s">
        <v>1585</v>
      </c>
    </row>
    <row r="36" spans="1:6" ht="15" x14ac:dyDescent="0.2">
      <c r="A36" s="238" t="s">
        <v>1571</v>
      </c>
      <c r="B36" s="252">
        <v>22075.26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75" zoomScaleNormal="175" workbookViewId="0">
      <selection activeCell="E41" sqref="E4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Inter-Lakes Cooperative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6596969.9399999995</v>
      </c>
      <c r="C9" s="167">
        <f>'DOE25'!G198+'DOE25'!G216+'DOE25'!G234+'DOE25'!G277+'DOE25'!G296+'DOE25'!G315</f>
        <v>3226321.1700000004</v>
      </c>
    </row>
    <row r="10" spans="1:3" x14ac:dyDescent="0.2">
      <c r="A10" t="s">
        <v>775</v>
      </c>
      <c r="B10" s="177">
        <v>6184586.4699999997</v>
      </c>
      <c r="C10" s="177">
        <v>3129796.67</v>
      </c>
    </row>
    <row r="11" spans="1:3" x14ac:dyDescent="0.2">
      <c r="A11" t="s">
        <v>776</v>
      </c>
      <c r="B11" s="177">
        <v>143949.07999999999</v>
      </c>
      <c r="C11" s="177">
        <v>75989.27</v>
      </c>
    </row>
    <row r="12" spans="1:3" x14ac:dyDescent="0.2">
      <c r="A12" t="s">
        <v>777</v>
      </c>
      <c r="B12" s="177">
        <v>268434.39</v>
      </c>
      <c r="C12" s="177">
        <v>20535.23</v>
      </c>
    </row>
    <row r="13" spans="1:3" x14ac:dyDescent="0.2">
      <c r="A13" t="str">
        <f>IF(B9=B13,IF(C9=C13,"Check Total OK","Check Total Error"),"Check Total Error")</f>
        <v>Check Total OK</v>
      </c>
      <c r="B13" s="169">
        <f>SUM(B10:B12)</f>
        <v>6596969.9399999995</v>
      </c>
      <c r="C13" s="169">
        <f>SUM(C10:C12)</f>
        <v>3226321.17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2778039.4399999995</v>
      </c>
      <c r="C18" s="167">
        <f>'DOE25'!G199+'DOE25'!G217+'DOE25'!G235+'DOE25'!G278+'DOE25'!G297+'DOE25'!G316</f>
        <v>1263493.49</v>
      </c>
    </row>
    <row r="19" spans="1:3" x14ac:dyDescent="0.2">
      <c r="A19" t="s">
        <v>775</v>
      </c>
      <c r="B19" s="177">
        <v>1350305.07</v>
      </c>
      <c r="C19" s="177">
        <v>598964.59</v>
      </c>
    </row>
    <row r="20" spans="1:3" x14ac:dyDescent="0.2">
      <c r="A20" t="s">
        <v>776</v>
      </c>
      <c r="B20" s="177">
        <v>1374431.13</v>
      </c>
      <c r="C20" s="177">
        <v>660451.19999999995</v>
      </c>
    </row>
    <row r="21" spans="1:3" x14ac:dyDescent="0.2">
      <c r="A21" t="s">
        <v>777</v>
      </c>
      <c r="B21" s="177">
        <v>53303.24</v>
      </c>
      <c r="C21" s="177">
        <v>4077.7</v>
      </c>
    </row>
    <row r="22" spans="1:3" x14ac:dyDescent="0.2">
      <c r="A22" t="str">
        <f>IF(B18=B22,IF(C18=C22,"Check Total OK","Check Total Error"),"Check Total Error")</f>
        <v>Check Total OK</v>
      </c>
      <c r="B22" s="169">
        <f>SUM(B19:B21)</f>
        <v>2778039.4400000004</v>
      </c>
      <c r="C22" s="169">
        <f>SUM(C19:C21)</f>
        <v>1263493.49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404155.5</v>
      </c>
      <c r="C36" s="173">
        <f>'DOE25'!G201+'DOE25'!G219+'DOE25'!G237+'DOE25'!G280+'DOE25'!G299+'DOE25'!G318</f>
        <v>99384.420000000013</v>
      </c>
    </row>
    <row r="37" spans="1:3" x14ac:dyDescent="0.2">
      <c r="A37" t="s">
        <v>775</v>
      </c>
      <c r="B37" s="177"/>
      <c r="C37" s="177"/>
    </row>
    <row r="38" spans="1:3" x14ac:dyDescent="0.2">
      <c r="A38" t="s">
        <v>776</v>
      </c>
      <c r="B38" s="177"/>
      <c r="C38" s="177"/>
    </row>
    <row r="39" spans="1:3" x14ac:dyDescent="0.2">
      <c r="A39" t="s">
        <v>777</v>
      </c>
      <c r="B39" s="177">
        <v>404155.5</v>
      </c>
      <c r="C39" s="177">
        <v>99384.42</v>
      </c>
    </row>
    <row r="40" spans="1:3" x14ac:dyDescent="0.2">
      <c r="A40" t="str">
        <f>IF(B36=B40,IF(C36=C40,"Check Total OK","Check Total Error"),"Check Total Error")</f>
        <v>Check Total OK</v>
      </c>
      <c r="B40" s="169">
        <f>SUM(B37:B39)</f>
        <v>404155.5</v>
      </c>
      <c r="C40" s="169">
        <f>SUM(C37:C39)</f>
        <v>99384.42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30" zoomScaleNormal="130" workbookViewId="0">
      <pane ySplit="4" topLeftCell="A13"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Inter-Lakes Cooperative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14901119.149999999</v>
      </c>
      <c r="D5" s="19">
        <f>SUM('DOE25'!L198:L201)+SUM('DOE25'!L216:L219)+SUM('DOE25'!L234:L237)-F5-G5-H5</f>
        <v>14833046.609999999</v>
      </c>
      <c r="E5" s="180"/>
      <c r="F5" s="181"/>
      <c r="G5" s="19">
        <f>SUM('DOE25'!J198:J201)+SUM('DOE25'!J216:J219)+SUM('DOE25'!J234:J237)</f>
        <v>37430.04</v>
      </c>
      <c r="H5" s="19">
        <f>SUM('DOE25'!K198:K201)+SUM('DOE25'!K216:K219)+SUM('DOE25'!K234:K237)</f>
        <v>30642.5</v>
      </c>
      <c r="I5" s="192"/>
    </row>
    <row r="6" spans="1:9" x14ac:dyDescent="0.2">
      <c r="A6" s="31">
        <v>2100</v>
      </c>
      <c r="B6" t="s">
        <v>796</v>
      </c>
      <c r="C6" s="206">
        <f t="shared" si="0"/>
        <v>2041865.63</v>
      </c>
      <c r="D6" s="19">
        <f>'DOE25'!L203+'DOE25'!L221+'DOE25'!L239-F6-G6-H6</f>
        <v>2013718.2999999998</v>
      </c>
      <c r="E6" s="180"/>
      <c r="F6" s="181">
        <v>27713.33</v>
      </c>
      <c r="G6" s="19">
        <f>'DOE25'!J203+'DOE25'!J221+'DOE25'!J239</f>
        <v>0</v>
      </c>
      <c r="H6" s="19">
        <f>'DOE25'!K203+'DOE25'!K221+'DOE25'!K239</f>
        <v>434</v>
      </c>
      <c r="I6" s="192"/>
    </row>
    <row r="7" spans="1:9" x14ac:dyDescent="0.2">
      <c r="A7" s="31">
        <v>2200</v>
      </c>
      <c r="B7" t="s">
        <v>820</v>
      </c>
      <c r="C7" s="206">
        <f t="shared" si="0"/>
        <v>1831929.1839999999</v>
      </c>
      <c r="D7" s="19">
        <f>'DOE25'!L204+'DOE25'!L222+'DOE25'!L240-F7-G7-H7</f>
        <v>1569891.6839999999</v>
      </c>
      <c r="E7" s="180"/>
      <c r="F7" s="181">
        <v>15431.79</v>
      </c>
      <c r="G7" s="19">
        <f>'DOE25'!J204+'DOE25'!J222+'DOE25'!J240</f>
        <v>246101.71</v>
      </c>
      <c r="H7" s="19">
        <f>'DOE25'!K204+'DOE25'!K222+'DOE25'!K240</f>
        <v>504</v>
      </c>
      <c r="I7" s="192"/>
    </row>
    <row r="8" spans="1:9" x14ac:dyDescent="0.2">
      <c r="A8" s="31">
        <v>2300</v>
      </c>
      <c r="B8" t="s">
        <v>797</v>
      </c>
      <c r="C8" s="206">
        <f t="shared" si="0"/>
        <v>1125999.5599999998</v>
      </c>
      <c r="D8" s="180"/>
      <c r="E8" s="19">
        <f>'DOE25'!L205+'DOE25'!L223+'DOE25'!L241-F8-G8-H8-D9-D11</f>
        <v>1110335.6999999997</v>
      </c>
      <c r="F8" s="181"/>
      <c r="G8" s="19">
        <f>'DOE25'!J205+'DOE25'!J223+'DOE25'!J241</f>
        <v>0</v>
      </c>
      <c r="H8" s="19">
        <f>'DOE25'!K205+'DOE25'!K223+'DOE25'!K241</f>
        <v>15663.859999999999</v>
      </c>
      <c r="I8" s="192"/>
    </row>
    <row r="9" spans="1:9" ht="14.25" x14ac:dyDescent="0.2">
      <c r="A9" s="31">
        <v>2310</v>
      </c>
      <c r="B9" s="71" t="s">
        <v>887</v>
      </c>
      <c r="C9" s="206">
        <f t="shared" si="0"/>
        <v>186038.76</v>
      </c>
      <c r="D9" s="181">
        <v>186038.76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1438630.7100000002</v>
      </c>
      <c r="D12" s="19">
        <f>'DOE25'!L206+'DOE25'!L224+'DOE25'!L242-F12-G12-H12</f>
        <v>1424250.0100000002</v>
      </c>
      <c r="E12" s="180"/>
      <c r="F12" s="181">
        <v>5691</v>
      </c>
      <c r="G12" s="19">
        <f>'DOE25'!J206+'DOE25'!J224+'DOE25'!J242</f>
        <v>319.7</v>
      </c>
      <c r="H12" s="19">
        <f>'DOE25'!K206+'DOE25'!K224+'DOE25'!K242</f>
        <v>8370</v>
      </c>
      <c r="I12" s="192"/>
    </row>
    <row r="13" spans="1:9" x14ac:dyDescent="0.2">
      <c r="A13" s="31">
        <v>2500</v>
      </c>
      <c r="B13" t="s">
        <v>798</v>
      </c>
      <c r="C13" s="206">
        <f t="shared" si="0"/>
        <v>11667.81</v>
      </c>
      <c r="D13" s="180"/>
      <c r="E13" s="19">
        <f>'DOE25'!L207+'DOE25'!L225+'DOE25'!L243-F13-G13-H13</f>
        <v>4978.82</v>
      </c>
      <c r="F13" s="181"/>
      <c r="G13" s="19">
        <f>'DOE25'!J207+'DOE25'!J225+'DOE25'!J243</f>
        <v>6688.99</v>
      </c>
      <c r="H13" s="19">
        <f>'DOE25'!K207+'DOE25'!K225+'DOE25'!K243</f>
        <v>0</v>
      </c>
      <c r="I13" s="192"/>
    </row>
    <row r="14" spans="1:9" x14ac:dyDescent="0.2">
      <c r="A14" s="31">
        <v>2600</v>
      </c>
      <c r="B14" t="s">
        <v>818</v>
      </c>
      <c r="C14" s="206">
        <f t="shared" si="0"/>
        <v>4037318.0599999996</v>
      </c>
      <c r="D14" s="19">
        <f>'DOE25'!L208+'DOE25'!L226+'DOE25'!L244-F14-G14-H14</f>
        <v>2826856.9799999995</v>
      </c>
      <c r="E14" s="180"/>
      <c r="F14" s="181">
        <v>137482.29</v>
      </c>
      <c r="G14" s="19">
        <f>'DOE25'!J208+'DOE25'!J226+'DOE25'!J244</f>
        <v>1072978.79</v>
      </c>
      <c r="H14" s="19">
        <f>'DOE25'!K208+'DOE25'!K226+'DOE25'!K244</f>
        <v>0</v>
      </c>
      <c r="I14" s="192"/>
    </row>
    <row r="15" spans="1:9" x14ac:dyDescent="0.2">
      <c r="A15" s="31">
        <v>2700</v>
      </c>
      <c r="B15" t="s">
        <v>799</v>
      </c>
      <c r="C15" s="206">
        <f t="shared" si="0"/>
        <v>1786875.7199999997</v>
      </c>
      <c r="D15" s="19">
        <f>'DOE25'!L209+'DOE25'!L227+'DOE25'!L245-F15-G15-H15</f>
        <v>206389.82999999984</v>
      </c>
      <c r="E15" s="180"/>
      <c r="F15" s="181">
        <v>1482544.89</v>
      </c>
      <c r="G15" s="19">
        <f>'DOE25'!J209+'DOE25'!J227+'DOE25'!J245</f>
        <v>97941</v>
      </c>
      <c r="H15" s="19">
        <f>'DOE25'!K209+'DOE25'!K227+'DOE25'!K245</f>
        <v>0</v>
      </c>
      <c r="I15" s="192"/>
    </row>
    <row r="16" spans="1:9" x14ac:dyDescent="0.2">
      <c r="A16" s="31">
        <v>2800</v>
      </c>
      <c r="B16" t="s">
        <v>800</v>
      </c>
      <c r="C16" s="206">
        <f t="shared" si="0"/>
        <v>1436734.33</v>
      </c>
      <c r="D16" s="180"/>
      <c r="E16" s="19">
        <f>'DOE25'!L210+'DOE25'!L228+'DOE25'!L246-F16-G16-H16</f>
        <v>1436734.33</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282875.41000000003</v>
      </c>
      <c r="D29" s="212">
        <f>'DOE25'!L359+'DOE25'!L360+'DOE25'!L361-'DOE25'!I368-F29-G29-H29-F39</f>
        <v>259324.39</v>
      </c>
      <c r="E29" s="180"/>
      <c r="F29" s="180"/>
      <c r="G29" s="19">
        <f>'DOE25'!J359+'DOE25'!J360+'DOE25'!J361</f>
        <v>18560.760000000002</v>
      </c>
      <c r="H29" s="19">
        <f>'DOE25'!K359+'DOE25'!K360+'DOE25'!K361</f>
        <v>4990.26</v>
      </c>
      <c r="I29" s="192"/>
    </row>
    <row r="30" spans="1:9" x14ac:dyDescent="0.2">
      <c r="A30" s="31"/>
      <c r="C30" s="207"/>
      <c r="D30" s="19"/>
      <c r="F30" s="201"/>
      <c r="G30" s="19"/>
      <c r="H30" s="19"/>
      <c r="I30" s="192"/>
    </row>
    <row r="31" spans="1:9" x14ac:dyDescent="0.2">
      <c r="A31" s="31" t="s">
        <v>817</v>
      </c>
      <c r="B31" t="s">
        <v>816</v>
      </c>
      <c r="C31" s="206">
        <f>SUM(D31:I31)</f>
        <v>961717.17999999993</v>
      </c>
      <c r="D31" s="19">
        <f>'DOE25'!L291+'DOE25'!L310+'DOE25'!L329+'DOE25'!L334+'DOE25'!L335+'DOE25'!L336-F31-G31-H31</f>
        <v>832902.58</v>
      </c>
      <c r="E31" s="180"/>
      <c r="F31" s="181">
        <v>11200</v>
      </c>
      <c r="G31" s="19">
        <f>'DOE25'!J291+'DOE25'!J310+'DOE25'!J329+'DOE25'!J334+'DOE25'!J335+'DOE25'!J336</f>
        <v>71162.599999999991</v>
      </c>
      <c r="H31" s="19">
        <f>'DOE25'!K291+'DOE25'!K310+'DOE25'!K329+'DOE25'!K334+'DOE25'!K335+'DOE25'!K336</f>
        <v>46452</v>
      </c>
      <c r="I31" s="192"/>
    </row>
    <row r="32" spans="1:9" ht="12" thickBot="1" x14ac:dyDescent="0.25">
      <c r="C32" s="207"/>
      <c r="G32" s="188"/>
      <c r="H32" s="188"/>
      <c r="I32" s="194"/>
    </row>
    <row r="33" spans="1:9" ht="12" thickTop="1" x14ac:dyDescent="0.2">
      <c r="B33" t="s">
        <v>809</v>
      </c>
      <c r="D33" s="182">
        <f t="shared" ref="D33:I33" si="1">SUM(D5:D31)</f>
        <v>24152419.144000001</v>
      </c>
      <c r="E33" s="182">
        <f t="shared" si="1"/>
        <v>2552048.8499999996</v>
      </c>
      <c r="F33" s="182">
        <f t="shared" si="1"/>
        <v>1680063.2999999998</v>
      </c>
      <c r="G33" s="182">
        <f t="shared" si="1"/>
        <v>1551183.59</v>
      </c>
      <c r="H33" s="182">
        <f t="shared" si="1"/>
        <v>107056.62</v>
      </c>
      <c r="I33" s="182">
        <f t="shared" si="1"/>
        <v>0</v>
      </c>
    </row>
    <row r="34" spans="1:9" ht="12" thickBot="1" x14ac:dyDescent="0.25"/>
    <row r="35" spans="1:9" ht="12" thickBot="1" x14ac:dyDescent="0.25">
      <c r="B35" s="188" t="s">
        <v>830</v>
      </c>
      <c r="D35" s="189">
        <f>E33</f>
        <v>2552048.8499999996</v>
      </c>
      <c r="E35" s="185"/>
      <c r="F35" s="295" t="s">
        <v>1608</v>
      </c>
      <c r="G35" s="296"/>
      <c r="H35" s="296"/>
      <c r="I35" s="297"/>
    </row>
    <row r="36" spans="1:9" ht="12" thickTop="1" x14ac:dyDescent="0.2">
      <c r="B36" t="s">
        <v>810</v>
      </c>
      <c r="D36" s="19">
        <f>D33</f>
        <v>24152419.144000001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137257</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115" zoomScaleNormal="115" workbookViewId="0">
      <selection activeCell="E31" sqref="E3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Inter-Lakes Cooperative</v>
      </c>
      <c r="B2">
        <f>'DOE25'!B2</f>
        <v>269</v>
      </c>
      <c r="J2" s="224" t="s">
        <v>1808</v>
      </c>
      <c r="K2" s="309">
        <f>SUM('DOE25'!L198:L201)+SUM('DOE25'!L216:L219)+SUM('DOE25'!L234:L237)+SUM('DOE25'!L277:L280)+SUM('DOE25'!L296:L299)+SUM('DOE25'!L315:L318)</f>
        <v>15489395.159999998</v>
      </c>
      <c r="L2" s="309">
        <f>'DOE25'!L203+'DOE25'!L221+'DOE25'!L239+'DOE25'!L282+'DOE25'!L301+'DOE25'!L320</f>
        <v>2157451.21</v>
      </c>
      <c r="M2" s="309">
        <f>'DOE25'!L204+'DOE25'!L222+'DOE25'!L240+'DOE25'!L283+'DOE25'!L302+'DOE25'!L321</f>
        <v>2007493.7139999999</v>
      </c>
      <c r="N2" s="309">
        <f>'DOE25'!L206+'DOE25'!L224+'DOE25'!L242+'DOE25'!L285+'DOE25'!L304+'DOE25'!L323</f>
        <v>1438630.7100000002</v>
      </c>
      <c r="O2" s="309">
        <f>'Salaries-Benefits'!B10+'Salaries-Benefits'!B12+'Salaries-Benefits'!B19+'Salaries-Benefits'!B21+'Salaries-Benefits'!B28+'Salaries-Benefits'!B30+'Salaries-Benefits'!B37+'Salaries-Benefits'!B39</f>
        <v>8260784.6699999999</v>
      </c>
      <c r="P2" s="309">
        <f>'Salaries-Benefits'!B11+'Salaries-Benefits'!B20+'Salaries-Benefits'!B29+'Salaries-Benefits'!B38</f>
        <v>1518380.21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-15489395.159999998</v>
      </c>
      <c r="L3" s="311">
        <f t="shared" ref="L3:P3" si="0">L21+L33+L43-L2</f>
        <v>-2157451.21</v>
      </c>
      <c r="M3" s="311">
        <f t="shared" si="0"/>
        <v>-2007493.7139999999</v>
      </c>
      <c r="N3" s="311">
        <f t="shared" si="0"/>
        <v>-1438630.7100000002</v>
      </c>
      <c r="O3" s="311">
        <f t="shared" si="0"/>
        <v>-8260784.6699999999</v>
      </c>
      <c r="P3" s="311">
        <f t="shared" si="0"/>
        <v>-1518380.21</v>
      </c>
      <c r="Q3" s="310"/>
      <c r="R3" s="306"/>
      <c r="S3" s="215"/>
      <c r="T3" s="215"/>
      <c r="U3" s="216"/>
    </row>
    <row r="4" spans="1:21" ht="55.5" customHeight="1" thickBot="1" x14ac:dyDescent="0.25">
      <c r="A4" s="224" t="s">
        <v>1522</v>
      </c>
      <c r="B4" s="224" t="s">
        <v>1523</v>
      </c>
      <c r="C4" s="224" t="s">
        <v>896</v>
      </c>
      <c r="D4" s="224" t="s">
        <v>786</v>
      </c>
      <c r="E4" s="224" t="s">
        <v>786</v>
      </c>
      <c r="F4" s="228">
        <f>SUM(F5:F20)</f>
        <v>19873618.470000003</v>
      </c>
      <c r="G4" s="229">
        <f>'DOE25'!L212+'DOE25'!L291</f>
        <v>19873618.469999999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6853619.21</v>
      </c>
      <c r="E5" s="220">
        <v>438045.16</v>
      </c>
      <c r="F5" s="232">
        <f>D5+E5</f>
        <v>7291664.3700000001</v>
      </c>
      <c r="G5" s="223"/>
      <c r="H5" s="223"/>
      <c r="J5" s="223"/>
      <c r="K5" s="223"/>
      <c r="L5" s="223"/>
      <c r="M5" s="223"/>
      <c r="N5" s="223"/>
      <c r="O5" s="223"/>
      <c r="P5" s="223"/>
      <c r="Q5" s="223"/>
    </row>
    <row r="6" spans="1:21" x14ac:dyDescent="0.2">
      <c r="A6" t="str" cm="1">
        <f t="array" ref="A6">IFERROR(INDEX('School Tables'!$A$4:$G$325,'School Tables'!$J4,3),"")</f>
        <v>Inter-Lakes Elementary School</v>
      </c>
      <c r="B6" s="230">
        <f>IFERROR(VLOOKUP(A6,'School Tables'!$C$3:$D$365,2,FALSE),"")</f>
        <v>29200</v>
      </c>
      <c r="C6" s="223" t="str">
        <f>IFERROR(INDEX('School Tables'!$B$3:$B$365,MATCH('School Level Expenditures'!B6,'School Tables'!$D$3:$D$365,0)),"")</f>
        <v>Inter-Lakes Cooperative</v>
      </c>
      <c r="D6" s="220">
        <v>8178661.7400000002</v>
      </c>
      <c r="E6" s="220">
        <v>268306.42</v>
      </c>
      <c r="F6" s="232">
        <f t="shared" ref="F6:F20" si="1">D6+E6</f>
        <v>8446968.1600000001</v>
      </c>
      <c r="G6" s="223"/>
      <c r="H6" s="223"/>
      <c r="J6" t="str">
        <f>A6</f>
        <v>Inter-Lakes Elementary School</v>
      </c>
      <c r="K6" s="20"/>
      <c r="L6" s="20"/>
      <c r="M6" s="308"/>
      <c r="N6" s="20"/>
      <c r="O6" s="20"/>
      <c r="P6" s="20"/>
      <c r="Q6" s="20"/>
    </row>
    <row r="7" spans="1:21" x14ac:dyDescent="0.2">
      <c r="A7" t="str" cm="1">
        <f t="array" ref="A7">IFERROR(INDEX('School Tables'!$A$4:$G$325,'School Tables'!$J5,3),"")</f>
        <v>Inter-Lakes Middle School</v>
      </c>
      <c r="B7" s="230">
        <f>IFERROR(VLOOKUP(A7,'School Tables'!$C$3:$D$365,2,FALSE),"")</f>
        <v>29201</v>
      </c>
      <c r="C7" s="223" t="str">
        <f>IFERROR(INDEX('School Tables'!$B$3:$B$365,MATCH('School Level Expenditures'!B7,'School Tables'!$D$3:$D$365,0)),"")</f>
        <v>Inter-Lakes Cooperative</v>
      </c>
      <c r="D7" s="220">
        <v>2643984.37</v>
      </c>
      <c r="E7" s="220">
        <v>8099.7</v>
      </c>
      <c r="F7" s="232">
        <f t="shared" si="1"/>
        <v>2652084.0700000003</v>
      </c>
      <c r="G7" s="223"/>
      <c r="H7" s="223"/>
      <c r="J7" t="str">
        <f t="shared" ref="J7:J20" si="2">A7</f>
        <v>Inter-Lakes Middle School</v>
      </c>
      <c r="K7" s="20"/>
      <c r="L7" s="20"/>
      <c r="M7" s="308"/>
      <c r="N7" s="20"/>
      <c r="O7" s="20"/>
      <c r="P7" s="20"/>
      <c r="Q7" s="20"/>
    </row>
    <row r="8" spans="1:21" x14ac:dyDescent="0.2">
      <c r="A8" t="str" cm="1">
        <f t="array" ref="A8">IFERROR(INDEX('School Tables'!$A$4:$G$325,'School Tables'!$J6,3),"")</f>
        <v>Sandwich Central School</v>
      </c>
      <c r="B8" s="230">
        <f>IFERROR(VLOOKUP(A8,'School Tables'!$C$3:$D$365,2,FALSE),"")</f>
        <v>20040</v>
      </c>
      <c r="C8" s="223" t="str">
        <f>IFERROR(INDEX('School Tables'!$B$3:$B$365,MATCH('School Level Expenditures'!B8,'School Tables'!$D$3:$D$365,0)),"")</f>
        <v>Inter-Lakes Cooperative</v>
      </c>
      <c r="D8" s="220">
        <v>1470241.87</v>
      </c>
      <c r="E8" s="220">
        <v>12660</v>
      </c>
      <c r="F8" s="232">
        <f t="shared" si="1"/>
        <v>1482901.87</v>
      </c>
      <c r="G8" s="223"/>
      <c r="H8" s="223"/>
      <c r="J8" t="str">
        <f t="shared" si="2"/>
        <v>Sandwich Central School</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19146507.190000001</v>
      </c>
      <c r="E21" s="262">
        <f>SUM(E5:E20)</f>
        <v>727111.27999999991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9886277.620000001</v>
      </c>
      <c r="G36" s="229">
        <f>'DOE25'!L248+'DOE25'!L329</f>
        <v>9886277.6239999998</v>
      </c>
      <c r="H36" s="264">
        <f>F36-G36</f>
        <v>-3.9999987930059433E-3</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v>3318967.22</v>
      </c>
      <c r="E37" s="220">
        <v>214116.26</v>
      </c>
      <c r="F37" s="232">
        <f t="shared" ref="F37:F42" si="7">D37+E37</f>
        <v>3533083.4800000004</v>
      </c>
      <c r="G37" s="223"/>
      <c r="H37" s="223"/>
      <c r="J37" s="223"/>
      <c r="K37" s="223"/>
      <c r="L37" s="224"/>
      <c r="M37" s="223"/>
      <c r="N37" s="223"/>
      <c r="O37" s="223"/>
      <c r="P37" s="223"/>
      <c r="Q37" s="223"/>
    </row>
    <row r="38" spans="1:18" x14ac:dyDescent="0.2">
      <c r="A38" t="str" cm="1">
        <f t="array" ref="A38">IFERROR(INDEX('School Tables'!$W$4:$AC$100,'School Tables'!$AF4,3),"")</f>
        <v>Inter-Lakes High School</v>
      </c>
      <c r="B38" s="230">
        <f>IFERROR(VLOOKUP(A38,'School Tables'!$Y$4:$Z$100,2,FALSE),"")</f>
        <v>20035</v>
      </c>
      <c r="C38" s="223" t="str">
        <f>IFERROR(INDEX('School Tables'!$X$4:$X$100,MATCH('School Level Expenditures'!A38,'School Tables'!$Y$4:$Y$100,0)),"")</f>
        <v>Inter-Lakes Cooperative</v>
      </c>
      <c r="D38" s="220">
        <v>6332704.5</v>
      </c>
      <c r="E38" s="220">
        <v>20489.64</v>
      </c>
      <c r="F38" s="232">
        <f t="shared" si="7"/>
        <v>6353194.1399999997</v>
      </c>
      <c r="G38" s="223"/>
      <c r="H38" s="223"/>
      <c r="J38" t="str">
        <f t="shared" ref="J38:J42" si="8">A38</f>
        <v>Inter-Lakes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9651671.7200000007</v>
      </c>
      <c r="E43" s="263">
        <f>SUM(E37:E42)</f>
        <v>234605.90000000002</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37" zoomScale="130" zoomScaleNormal="13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Inter-Lakes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3278730.61</v>
      </c>
      <c r="D8" s="73">
        <f>'DOE25'!G9</f>
        <v>0</v>
      </c>
      <c r="E8" s="73">
        <f>'DOE25'!H9</f>
        <v>0</v>
      </c>
      <c r="F8" s="73">
        <f>'DOE25'!I9</f>
        <v>3231</v>
      </c>
      <c r="G8" s="73">
        <f>'DOE25'!J9</f>
        <v>797865.99</v>
      </c>
      <c r="H8" s="13">
        <f>SUM(C8:G8)</f>
        <v>4079827.5999999996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2140675.9</v>
      </c>
      <c r="D11" s="73">
        <f>'DOE25'!G12</f>
        <v>90458.02</v>
      </c>
      <c r="E11" s="73">
        <f>'DOE25'!H12</f>
        <v>72929.33</v>
      </c>
      <c r="F11" s="73">
        <f>'DOE25'!I12</f>
        <v>0</v>
      </c>
      <c r="G11" s="73">
        <f>'DOE25'!J12</f>
        <v>0</v>
      </c>
      <c r="H11" s="13">
        <f t="shared" si="0"/>
        <v>2304063.25</v>
      </c>
      <c r="I11" s="90"/>
    </row>
    <row r="12" spans="1:9" x14ac:dyDescent="0.2">
      <c r="A12" s="1" t="s">
        <v>143</v>
      </c>
      <c r="B12" s="6">
        <v>140</v>
      </c>
      <c r="C12" s="73">
        <f>'DOE25'!F13</f>
        <v>57266.34</v>
      </c>
      <c r="D12" s="73">
        <f>'DOE25'!G13</f>
        <v>39047.06</v>
      </c>
      <c r="E12" s="73">
        <f>'DOE25'!H13</f>
        <v>75434.97</v>
      </c>
      <c r="F12" s="73">
        <f>'DOE25'!I13</f>
        <v>0</v>
      </c>
      <c r="G12" s="73">
        <f>'DOE25'!J13</f>
        <v>0</v>
      </c>
      <c r="H12" s="13">
        <f t="shared" si="0"/>
        <v>171748.37</v>
      </c>
      <c r="I12" s="90"/>
    </row>
    <row r="13" spans="1:9" x14ac:dyDescent="0.2">
      <c r="A13" s="1" t="s">
        <v>144</v>
      </c>
      <c r="B13" s="6">
        <v>150</v>
      </c>
      <c r="C13" s="73">
        <f>'DOE25'!F14</f>
        <v>3902.37</v>
      </c>
      <c r="D13" s="73">
        <f>'DOE25'!G14</f>
        <v>0</v>
      </c>
      <c r="E13" s="73">
        <f>'DOE25'!H14</f>
        <v>0</v>
      </c>
      <c r="F13" s="73">
        <f>'DOE25'!I14</f>
        <v>0</v>
      </c>
      <c r="G13" s="73">
        <f>'DOE25'!J14</f>
        <v>0</v>
      </c>
      <c r="H13" s="13">
        <f t="shared" si="0"/>
        <v>3902.37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21373.27</v>
      </c>
      <c r="D16" s="73">
        <f>'DOE25'!G17</f>
        <v>7004.06</v>
      </c>
      <c r="E16" s="73">
        <f>'DOE25'!H17</f>
        <v>0</v>
      </c>
      <c r="F16" s="73">
        <f>'DOE25'!I17</f>
        <v>0</v>
      </c>
      <c r="G16" s="73">
        <f>'DOE25'!J17</f>
        <v>0</v>
      </c>
      <c r="H16" s="13">
        <f t="shared" si="0"/>
        <v>28377.33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5501948.4899999993</v>
      </c>
      <c r="D18" s="38">
        <f>SUM(D8:D17)</f>
        <v>136509.14000000001</v>
      </c>
      <c r="E18" s="38">
        <f>SUM(E8:E17)</f>
        <v>148364.29999999999</v>
      </c>
      <c r="F18" s="38">
        <f>SUM(F8:F17)</f>
        <v>3231</v>
      </c>
      <c r="G18" s="38">
        <f>SUM(G8:G17)</f>
        <v>797865.99</v>
      </c>
      <c r="H18" s="38">
        <f t="shared" si="0"/>
        <v>6587918.919999999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2304134.91</v>
      </c>
      <c r="D21" s="73">
        <f>'DOE25'!G22</f>
        <v>0</v>
      </c>
      <c r="E21" s="73">
        <f>'DOE25'!H22</f>
        <v>0</v>
      </c>
      <c r="F21" s="73">
        <f>'DOE25'!I22</f>
        <v>0</v>
      </c>
      <c r="G21" s="73">
        <f>'DOE25'!J22</f>
        <v>0</v>
      </c>
      <c r="H21" s="13">
        <f t="shared" ref="H21:H31" si="1">SUM(C21:G21)</f>
        <v>2304134.91</v>
      </c>
      <c r="I21" s="90"/>
    </row>
    <row r="22" spans="1:9" x14ac:dyDescent="0.2">
      <c r="A22" s="1" t="s">
        <v>151</v>
      </c>
      <c r="B22" s="6">
        <v>410</v>
      </c>
      <c r="C22" s="73">
        <f>'DOE25'!F23</f>
        <v>0</v>
      </c>
      <c r="D22" s="73">
        <f>'DOE25'!G23</f>
        <v>0</v>
      </c>
      <c r="E22" s="73">
        <f>'DOE25'!H23</f>
        <v>2581.44</v>
      </c>
      <c r="F22" s="73">
        <f>'DOE25'!I23</f>
        <v>0</v>
      </c>
      <c r="G22" s="73">
        <f>'DOE25'!J23</f>
        <v>0</v>
      </c>
      <c r="H22" s="13">
        <f t="shared" si="1"/>
        <v>2581.44</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58971.17</v>
      </c>
      <c r="D27" s="73">
        <f>'DOE25'!G28</f>
        <v>0</v>
      </c>
      <c r="E27" s="73">
        <f>'DOE25'!H28</f>
        <v>0</v>
      </c>
      <c r="F27" s="73">
        <f>'DOE25'!I28</f>
        <v>0</v>
      </c>
      <c r="G27" s="23" t="s">
        <v>288</v>
      </c>
      <c r="H27" s="13">
        <f t="shared" si="1"/>
        <v>58971.17</v>
      </c>
      <c r="I27" s="90"/>
    </row>
    <row r="28" spans="1:9" x14ac:dyDescent="0.2">
      <c r="A28" s="1" t="s">
        <v>157</v>
      </c>
      <c r="B28" s="6">
        <v>470</v>
      </c>
      <c r="C28" s="73">
        <f>'DOE25'!F29</f>
        <v>31629.439999999999</v>
      </c>
      <c r="D28" s="73">
        <f>'DOE25'!G29</f>
        <v>0</v>
      </c>
      <c r="E28" s="73">
        <f>'DOE25'!H29</f>
        <v>0</v>
      </c>
      <c r="F28" s="73">
        <f>'DOE25'!I29</f>
        <v>0</v>
      </c>
      <c r="G28" s="23" t="s">
        <v>288</v>
      </c>
      <c r="H28" s="13">
        <f t="shared" si="1"/>
        <v>31629.439999999999</v>
      </c>
      <c r="I28" s="90"/>
    </row>
    <row r="29" spans="1:9" x14ac:dyDescent="0.2">
      <c r="A29" s="1" t="s">
        <v>158</v>
      </c>
      <c r="B29" s="6">
        <v>480</v>
      </c>
      <c r="C29" s="73">
        <f>'DOE25'!F30</f>
        <v>0</v>
      </c>
      <c r="D29" s="73">
        <f>'DOE25'!G30</f>
        <v>-11695.2</v>
      </c>
      <c r="E29" s="73">
        <f>'DOE25'!H30</f>
        <v>0</v>
      </c>
      <c r="F29" s="73">
        <f>'DOE25'!I30</f>
        <v>0</v>
      </c>
      <c r="G29" s="23" t="s">
        <v>288</v>
      </c>
      <c r="H29" s="13">
        <f t="shared" si="1"/>
        <v>-11695.2</v>
      </c>
      <c r="I29" s="90"/>
    </row>
    <row r="30" spans="1:9" ht="12" thickBot="1" x14ac:dyDescent="0.25">
      <c r="A30" s="1" t="s">
        <v>159</v>
      </c>
      <c r="B30" s="56">
        <v>490</v>
      </c>
      <c r="C30" s="73">
        <f>'DOE25'!F31</f>
        <v>371.19</v>
      </c>
      <c r="D30" s="73">
        <f>'DOE25'!G31</f>
        <v>0</v>
      </c>
      <c r="E30" s="73">
        <f>'DOE25'!H31</f>
        <v>0</v>
      </c>
      <c r="F30" s="73">
        <f>'DOE25'!I31</f>
        <v>0</v>
      </c>
      <c r="G30" s="73">
        <f>'DOE25'!J31</f>
        <v>0</v>
      </c>
      <c r="H30" s="13">
        <f t="shared" si="1"/>
        <v>371.19</v>
      </c>
      <c r="I30" s="90"/>
    </row>
    <row r="31" spans="1:9" ht="12" thickTop="1" x14ac:dyDescent="0.2">
      <c r="A31" s="35" t="s">
        <v>160</v>
      </c>
      <c r="B31" s="2"/>
      <c r="C31" s="38">
        <f>SUM(C21:C30)</f>
        <v>2395106.71</v>
      </c>
      <c r="D31" s="38">
        <f>SUM(D21:D30)</f>
        <v>-11695.2</v>
      </c>
      <c r="E31" s="38">
        <f>SUM(E21:E30)</f>
        <v>2581.44</v>
      </c>
      <c r="F31" s="38">
        <f>SUM(F21:F30)</f>
        <v>0</v>
      </c>
      <c r="G31" s="38">
        <f>SUM(G21:G30)</f>
        <v>0</v>
      </c>
      <c r="H31" s="38">
        <f t="shared" si="1"/>
        <v>2385992.9499999997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250000</v>
      </c>
      <c r="D43" s="73">
        <f>'DOE25'!G44</f>
        <v>0</v>
      </c>
      <c r="E43" s="73">
        <f>'DOE25'!H44</f>
        <v>0</v>
      </c>
      <c r="F43" s="73">
        <f>'DOE25'!I44</f>
        <v>0</v>
      </c>
      <c r="G43" s="23" t="s">
        <v>288</v>
      </c>
      <c r="H43" s="13">
        <f t="shared" si="2"/>
        <v>250000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325063</v>
      </c>
      <c r="D45" s="23" t="s">
        <v>288</v>
      </c>
      <c r="E45" s="23" t="s">
        <v>288</v>
      </c>
      <c r="F45" s="23" t="s">
        <v>288</v>
      </c>
      <c r="G45" s="23" t="s">
        <v>288</v>
      </c>
      <c r="H45" s="13">
        <f t="shared" si="2"/>
        <v>325063</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148204.34</v>
      </c>
      <c r="E47" s="73">
        <f>'DOE25'!H48</f>
        <v>145782.85999999999</v>
      </c>
      <c r="F47" s="73">
        <f>'DOE25'!I48</f>
        <v>3231</v>
      </c>
      <c r="G47" s="73">
        <f>'DOE25'!J48</f>
        <v>797865.99</v>
      </c>
      <c r="H47" s="13">
        <f t="shared" si="2"/>
        <v>1095084.19</v>
      </c>
      <c r="I47" s="90"/>
    </row>
    <row r="48" spans="1:9" x14ac:dyDescent="0.2">
      <c r="A48" s="1" t="s">
        <v>881</v>
      </c>
      <c r="B48" s="6">
        <v>753</v>
      </c>
      <c r="C48" s="73">
        <f>'DOE25'!F49</f>
        <v>1669231.88</v>
      </c>
      <c r="D48" s="73">
        <f>'DOE25'!G49</f>
        <v>0</v>
      </c>
      <c r="E48" s="73">
        <f>'DOE25'!H49</f>
        <v>0</v>
      </c>
      <c r="F48" s="73">
        <f>'DOE25'!I49</f>
        <v>0</v>
      </c>
      <c r="G48" s="73">
        <f>'DOE25'!J49</f>
        <v>0</v>
      </c>
      <c r="H48" s="13">
        <f t="shared" si="2"/>
        <v>1669231.88</v>
      </c>
      <c r="I48" s="90"/>
    </row>
    <row r="49" spans="1:9" ht="12" thickBot="1" x14ac:dyDescent="0.25">
      <c r="A49" s="28" t="s">
        <v>882</v>
      </c>
      <c r="B49" s="56">
        <v>770</v>
      </c>
      <c r="C49" s="73">
        <f>'DOE25'!F50</f>
        <v>862546.9</v>
      </c>
      <c r="D49" s="23" t="s">
        <v>288</v>
      </c>
      <c r="E49" s="23" t="s">
        <v>288</v>
      </c>
      <c r="F49" s="23" t="s">
        <v>288</v>
      </c>
      <c r="G49" s="23" t="s">
        <v>288</v>
      </c>
      <c r="H49" s="13">
        <f t="shared" si="2"/>
        <v>862546.9</v>
      </c>
      <c r="I49" s="90"/>
    </row>
    <row r="50" spans="1:9" ht="12.75" thickTop="1" thickBot="1" x14ac:dyDescent="0.25">
      <c r="A50" s="35" t="s">
        <v>883</v>
      </c>
      <c r="B50" s="44"/>
      <c r="C50" s="38">
        <f>SUM(C34:C49)</f>
        <v>3106841.78</v>
      </c>
      <c r="D50" s="38">
        <f>SUM(D34:D49)</f>
        <v>148204.34</v>
      </c>
      <c r="E50" s="38">
        <f>SUM(E34:E49)</f>
        <v>145782.85999999999</v>
      </c>
      <c r="F50" s="38">
        <f>SUM(F34:F49)</f>
        <v>3231</v>
      </c>
      <c r="G50" s="38">
        <f>SUM(G34:G49)</f>
        <v>797865.99</v>
      </c>
      <c r="H50" s="38">
        <f t="shared" si="2"/>
        <v>4201925.97</v>
      </c>
      <c r="I50" s="90"/>
    </row>
    <row r="51" spans="1:9" ht="12" thickTop="1" x14ac:dyDescent="0.2">
      <c r="A51" s="35" t="s">
        <v>884</v>
      </c>
      <c r="B51" s="2"/>
      <c r="C51" s="38">
        <f>C50+C31</f>
        <v>5501948.4900000002</v>
      </c>
      <c r="D51" s="38">
        <f>D50+D31</f>
        <v>136509.13999999998</v>
      </c>
      <c r="E51" s="38">
        <f>E50+E31</f>
        <v>148364.29999999999</v>
      </c>
      <c r="F51" s="38">
        <f>F50+F31</f>
        <v>3231</v>
      </c>
      <c r="G51" s="38">
        <f>G50+G31</f>
        <v>797865.99</v>
      </c>
      <c r="H51" s="38">
        <f t="shared" si="2"/>
        <v>6587918.9199999999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21700054</v>
      </c>
      <c r="D56" s="73">
        <f>'DOE25'!G60</f>
        <v>0</v>
      </c>
      <c r="E56" s="73">
        <f>'DOE25'!H60</f>
        <v>0</v>
      </c>
      <c r="F56" s="73">
        <f>'DOE25'!I60</f>
        <v>0</v>
      </c>
      <c r="G56" s="73">
        <f>'DOE25'!J60</f>
        <v>0</v>
      </c>
      <c r="H56" s="13">
        <f t="shared" ref="H56:H63" si="3">SUM(C56:G56)</f>
        <v>21700054</v>
      </c>
      <c r="I56"/>
    </row>
    <row r="57" spans="1:9" x14ac:dyDescent="0.2">
      <c r="A57" s="1" t="s">
        <v>164</v>
      </c>
      <c r="B57" s="6" t="s">
        <v>165</v>
      </c>
      <c r="C57" s="73">
        <f>'DOE25'!F79</f>
        <v>61122.54</v>
      </c>
      <c r="D57" s="23" t="s">
        <v>288</v>
      </c>
      <c r="E57" s="73">
        <f>'DOE25'!H79</f>
        <v>0</v>
      </c>
      <c r="F57" s="23" t="s">
        <v>288</v>
      </c>
      <c r="G57" s="23" t="s">
        <v>288</v>
      </c>
      <c r="H57" s="13">
        <f t="shared" si="3"/>
        <v>61122.54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5948.72</v>
      </c>
      <c r="D59" s="73">
        <f>'DOE25'!G96</f>
        <v>0</v>
      </c>
      <c r="E59" s="73">
        <f>'DOE25'!H96</f>
        <v>0</v>
      </c>
      <c r="F59" s="73">
        <f>'DOE25'!I96</f>
        <v>0</v>
      </c>
      <c r="G59" s="73">
        <f>'DOE25'!J96</f>
        <v>14319.35</v>
      </c>
      <c r="H59" s="13">
        <f t="shared" si="3"/>
        <v>20268.07</v>
      </c>
      <c r="I59"/>
    </row>
    <row r="60" spans="1:9" x14ac:dyDescent="0.2">
      <c r="A60" s="1" t="s">
        <v>170</v>
      </c>
      <c r="B60" s="22" t="s">
        <v>171</v>
      </c>
      <c r="C60" s="23" t="s">
        <v>288</v>
      </c>
      <c r="D60" s="73">
        <f>'DOE25'!G97</f>
        <v>191868.65</v>
      </c>
      <c r="E60" s="23" t="s">
        <v>288</v>
      </c>
      <c r="F60" s="23" t="s">
        <v>288</v>
      </c>
      <c r="G60" s="23" t="s">
        <v>288</v>
      </c>
      <c r="H60" s="13">
        <f t="shared" si="3"/>
        <v>191868.65</v>
      </c>
      <c r="I60"/>
    </row>
    <row r="61" spans="1:9" ht="12" thickBot="1" x14ac:dyDescent="0.25">
      <c r="A61" s="1" t="s">
        <v>172</v>
      </c>
      <c r="B61" s="22" t="s">
        <v>173</v>
      </c>
      <c r="C61" s="73">
        <f>SUM('DOE25'!F98:F110)</f>
        <v>44570.46</v>
      </c>
      <c r="D61" s="73">
        <f>SUM('DOE25'!G98:G110)</f>
        <v>0</v>
      </c>
      <c r="E61" s="73">
        <f>SUM('DOE25'!H98:H110)</f>
        <v>86632.61</v>
      </c>
      <c r="F61" s="73">
        <f>SUM('DOE25'!I98:I110)</f>
        <v>0</v>
      </c>
      <c r="G61" s="73">
        <f>SUM('DOE25'!J98:J110)</f>
        <v>0</v>
      </c>
      <c r="H61" s="13">
        <f t="shared" si="3"/>
        <v>131203.07</v>
      </c>
      <c r="I61"/>
    </row>
    <row r="62" spans="1:9" ht="12.75" thickTop="1" thickBot="1" x14ac:dyDescent="0.25">
      <c r="A62" s="28" t="s">
        <v>174</v>
      </c>
      <c r="B62" s="6"/>
      <c r="C62" s="93">
        <f>SUM(C57:C61)</f>
        <v>111641.72</v>
      </c>
      <c r="D62" s="93">
        <f>SUM(D57:D61)</f>
        <v>191868.65</v>
      </c>
      <c r="E62" s="93">
        <f>SUM(E57:E61)</f>
        <v>86632.61</v>
      </c>
      <c r="F62" s="93">
        <f>SUM(F57:F61)</f>
        <v>0</v>
      </c>
      <c r="G62" s="93">
        <f>SUM(G57:G61)</f>
        <v>14319.35</v>
      </c>
      <c r="H62" s="13">
        <f t="shared" si="3"/>
        <v>404462.32999999996</v>
      </c>
      <c r="I62"/>
    </row>
    <row r="63" spans="1:9" ht="12" thickTop="1" x14ac:dyDescent="0.2">
      <c r="A63" s="28" t="s">
        <v>175</v>
      </c>
      <c r="B63" s="6"/>
      <c r="C63" s="21">
        <f>C56+C62</f>
        <v>21811695.719999999</v>
      </c>
      <c r="D63" s="21">
        <f>D56+D62</f>
        <v>191868.65</v>
      </c>
      <c r="E63" s="21">
        <f>E56+E62</f>
        <v>86632.61</v>
      </c>
      <c r="F63" s="21">
        <f>F56+F62</f>
        <v>0</v>
      </c>
      <c r="G63" s="21">
        <f>G56+G62</f>
        <v>14319.35</v>
      </c>
      <c r="H63" s="13">
        <f t="shared" si="3"/>
        <v>22104516.329999998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1893964</v>
      </c>
      <c r="D66" s="23" t="s">
        <v>288</v>
      </c>
      <c r="E66" s="23" t="s">
        <v>288</v>
      </c>
      <c r="F66" s="23" t="s">
        <v>288</v>
      </c>
      <c r="G66" s="23" t="s">
        <v>288</v>
      </c>
      <c r="H66" s="13">
        <f t="shared" ref="H66:H81" si="4">SUM(C66:G66)</f>
        <v>1893964</v>
      </c>
      <c r="I66"/>
    </row>
    <row r="67" spans="1:9" x14ac:dyDescent="0.2">
      <c r="A67" s="1" t="s">
        <v>770</v>
      </c>
      <c r="B67" s="6">
        <v>3112</v>
      </c>
      <c r="C67" s="73">
        <f>'DOE25'!F118</f>
        <v>4304957</v>
      </c>
      <c r="D67" s="23"/>
      <c r="E67" s="23"/>
      <c r="F67" s="23"/>
      <c r="G67" s="23"/>
      <c r="H67" s="13">
        <f t="shared" si="4"/>
        <v>4304957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3597.02</v>
      </c>
      <c r="D69" s="73">
        <f>'DOE25'!G120</f>
        <v>0</v>
      </c>
      <c r="E69" s="73">
        <f>'DOE25'!H120</f>
        <v>0</v>
      </c>
      <c r="F69" s="73">
        <f>'DOE25'!I120</f>
        <v>0</v>
      </c>
      <c r="G69" s="73">
        <f>'DOE25'!J120</f>
        <v>0</v>
      </c>
      <c r="H69" s="13">
        <f t="shared" si="4"/>
        <v>3597.02</v>
      </c>
      <c r="I69"/>
    </row>
    <row r="70" spans="1:9" ht="12" thickTop="1" x14ac:dyDescent="0.2">
      <c r="A70" s="28" t="s">
        <v>252</v>
      </c>
      <c r="B70" s="2"/>
      <c r="C70" s="97">
        <f>SUM(C66:C69)</f>
        <v>6202518.0199999996</v>
      </c>
      <c r="D70" s="97">
        <f>D69</f>
        <v>0</v>
      </c>
      <c r="E70" s="97">
        <f>E69</f>
        <v>0</v>
      </c>
      <c r="F70" s="97">
        <f>F69</f>
        <v>0</v>
      </c>
      <c r="G70" s="97">
        <f>G69</f>
        <v>0</v>
      </c>
      <c r="H70" s="13">
        <f t="shared" si="4"/>
        <v>6202518.0199999996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90930.54</v>
      </c>
      <c r="D75" s="23" t="s">
        <v>288</v>
      </c>
      <c r="E75" s="23" t="s">
        <v>288</v>
      </c>
      <c r="F75" s="23" t="s">
        <v>288</v>
      </c>
      <c r="G75" s="23" t="s">
        <v>288</v>
      </c>
      <c r="H75" s="13">
        <f t="shared" si="4"/>
        <v>90930.54</v>
      </c>
      <c r="I75"/>
    </row>
    <row r="76" spans="1:9" x14ac:dyDescent="0.2">
      <c r="A76" s="1" t="s">
        <v>257</v>
      </c>
      <c r="B76" s="6" t="s">
        <v>179</v>
      </c>
      <c r="C76" s="73">
        <f>SUM('DOE25'!F127:F130)</f>
        <v>9986.7999999999993</v>
      </c>
      <c r="D76" s="23" t="s">
        <v>288</v>
      </c>
      <c r="E76" s="73">
        <f>SUM('DOE25'!H127:H130)</f>
        <v>8450</v>
      </c>
      <c r="F76" s="73">
        <f>SUM('DOE25'!I127:I130)</f>
        <v>0</v>
      </c>
      <c r="G76" s="23" t="s">
        <v>288</v>
      </c>
      <c r="H76" s="13">
        <f t="shared" si="4"/>
        <v>18436.8</v>
      </c>
      <c r="I76"/>
    </row>
    <row r="77" spans="1:9" ht="12" thickBot="1" x14ac:dyDescent="0.25">
      <c r="A77" s="1" t="s">
        <v>258</v>
      </c>
      <c r="B77" s="6" t="s">
        <v>180</v>
      </c>
      <c r="C77" s="73">
        <f>SUM('DOE25'!F131:F135)</f>
        <v>146810.54</v>
      </c>
      <c r="D77" s="73">
        <f>SUM('DOE25'!G131:G135)</f>
        <v>5847.01</v>
      </c>
      <c r="E77" s="73">
        <f>SUM('DOE25'!H131:H135)</f>
        <v>0</v>
      </c>
      <c r="F77" s="73">
        <f>SUM('DOE25'!I131:I135)</f>
        <v>0</v>
      </c>
      <c r="G77" s="73">
        <f>SUM('DOE25'!J131:J135)</f>
        <v>0</v>
      </c>
      <c r="H77" s="13">
        <f t="shared" si="4"/>
        <v>152657.55000000002</v>
      </c>
      <c r="I77"/>
    </row>
    <row r="78" spans="1:9" ht="12.75" thickTop="1" thickBot="1" x14ac:dyDescent="0.25">
      <c r="A78" s="28" t="s">
        <v>259</v>
      </c>
      <c r="B78" s="6"/>
      <c r="C78" s="93">
        <f>SUM(C72:C77)</f>
        <v>247727.88</v>
      </c>
      <c r="D78" s="93">
        <f>SUM(D72:D77)</f>
        <v>5847.01</v>
      </c>
      <c r="E78" s="93">
        <f>SUM(E72:E77)</f>
        <v>8450</v>
      </c>
      <c r="F78" s="93">
        <f>SUM(F72:F77)</f>
        <v>0</v>
      </c>
      <c r="G78" s="93">
        <f>SUM(G72:G77)</f>
        <v>0</v>
      </c>
      <c r="H78" s="13">
        <f t="shared" si="4"/>
        <v>262024.89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6450245.8999999994</v>
      </c>
      <c r="D81" s="93">
        <f>SUM(D79:D80)+D78+D70</f>
        <v>5847.01</v>
      </c>
      <c r="E81" s="93">
        <f>SUM(E79:E80)+E78+E70</f>
        <v>8450</v>
      </c>
      <c r="F81" s="93">
        <f>SUM(F79:F80)+F78+F70</f>
        <v>0</v>
      </c>
      <c r="G81" s="93">
        <f>SUM(G79:G80)+G78+G70</f>
        <v>0</v>
      </c>
      <c r="H81" s="93">
        <f t="shared" si="4"/>
        <v>6464542.9099999992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163789.81</v>
      </c>
      <c r="D88" s="253">
        <f>SUM('DOE25'!G153:G162)</f>
        <v>159378.62</v>
      </c>
      <c r="E88" s="253">
        <f>SUM('DOE25'!H153:H162)</f>
        <v>861373.23999999987</v>
      </c>
      <c r="F88" s="253">
        <f>SUM('DOE25'!I153:I162)</f>
        <v>0</v>
      </c>
      <c r="G88" s="23" t="s">
        <v>288</v>
      </c>
      <c r="H88" s="13">
        <f t="shared" si="5"/>
        <v>1184541.67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8012.52</v>
      </c>
      <c r="D90" s="23" t="s">
        <v>288</v>
      </c>
      <c r="E90" s="23" t="s">
        <v>288</v>
      </c>
      <c r="F90" s="23" t="s">
        <v>288</v>
      </c>
      <c r="G90" s="23" t="s">
        <v>288</v>
      </c>
      <c r="H90" s="13">
        <f t="shared" si="5"/>
        <v>8012.52</v>
      </c>
    </row>
    <row r="91" spans="1:9" ht="12.75" thickTop="1" thickBot="1" x14ac:dyDescent="0.25">
      <c r="A91" s="32" t="s">
        <v>750</v>
      </c>
      <c r="C91" s="94">
        <f>SUM(C85:C90)</f>
        <v>171802.33</v>
      </c>
      <c r="D91" s="94">
        <f>SUM(D85:D90)</f>
        <v>159378.62</v>
      </c>
      <c r="E91" s="94">
        <f>SUM(E85:E90)</f>
        <v>861373.23999999987</v>
      </c>
      <c r="F91" s="94">
        <f>SUM(F85:F90)</f>
        <v>0</v>
      </c>
      <c r="G91" s="23" t="s">
        <v>288</v>
      </c>
      <c r="H91" s="13">
        <f t="shared" si="5"/>
        <v>1192554.19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170000</v>
      </c>
      <c r="H96" s="13">
        <f t="shared" si="5"/>
        <v>170000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660095</v>
      </c>
      <c r="D100" s="73">
        <f>SUM('DOE25'!G187:G188)</f>
        <v>0</v>
      </c>
      <c r="E100" s="73">
        <f>SUM('DOE25'!H187:H188)</f>
        <v>0</v>
      </c>
      <c r="F100" s="73">
        <f>SUM('DOE25'!I187:I188)</f>
        <v>0</v>
      </c>
      <c r="G100" s="23" t="s">
        <v>288</v>
      </c>
      <c r="H100" s="13">
        <f t="shared" si="5"/>
        <v>660095</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660095</v>
      </c>
      <c r="D103" s="68">
        <f>SUM(D93:D102)</f>
        <v>0</v>
      </c>
      <c r="E103" s="68">
        <f>SUM(E93:E102)</f>
        <v>0</v>
      </c>
      <c r="F103" s="68">
        <f>SUM(F93:F102)</f>
        <v>0</v>
      </c>
      <c r="G103" s="68">
        <f>SUM(G93:G102)</f>
        <v>170000</v>
      </c>
      <c r="H103" s="68">
        <f t="shared" si="5"/>
        <v>830095</v>
      </c>
    </row>
    <row r="104" spans="1:8" ht="12.75" thickTop="1" thickBot="1" x14ac:dyDescent="0.25">
      <c r="A104" s="32" t="s">
        <v>761</v>
      </c>
      <c r="C104" s="68">
        <f>C63+C81+C91+C103</f>
        <v>29093838.949999996</v>
      </c>
      <c r="D104" s="68">
        <f>D63+D81+D91+D103</f>
        <v>357094.28</v>
      </c>
      <c r="E104" s="68">
        <f>E63+E81+E91+E103</f>
        <v>956455.84999999986</v>
      </c>
      <c r="F104" s="68">
        <f>F63+F81+F91+F103</f>
        <v>0</v>
      </c>
      <c r="G104" s="68">
        <f>G63+G81+G103</f>
        <v>184319.35</v>
      </c>
      <c r="H104" s="68">
        <f t="shared" si="5"/>
        <v>30591708.43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9731759.7200000007</v>
      </c>
      <c r="D109" s="23" t="s">
        <v>288</v>
      </c>
      <c r="E109" s="73">
        <f>('DOE25'!L277)+('DOE25'!L296)+('DOE25'!L315)</f>
        <v>416113.01</v>
      </c>
      <c r="F109" s="23" t="s">
        <v>288</v>
      </c>
      <c r="G109" s="23" t="s">
        <v>288</v>
      </c>
      <c r="H109" s="13">
        <f t="shared" ref="H109:H115" si="6">SUM(C109:G109)</f>
        <v>10147872.73</v>
      </c>
    </row>
    <row r="110" spans="1:8" x14ac:dyDescent="0.2">
      <c r="A110" t="s">
        <v>198</v>
      </c>
      <c r="B110" s="31" t="s">
        <v>199</v>
      </c>
      <c r="C110" s="73">
        <f>('DOE25'!L199)+('DOE25'!L217)+('DOE25'!L235)</f>
        <v>4410484.8499999996</v>
      </c>
      <c r="D110" s="23" t="s">
        <v>288</v>
      </c>
      <c r="E110" s="73">
        <f>('DOE25'!L278)+('DOE25'!L297)+('DOE25'!L316)</f>
        <v>160126.52000000002</v>
      </c>
      <c r="F110" s="23" t="s">
        <v>288</v>
      </c>
      <c r="G110" s="23" t="s">
        <v>288</v>
      </c>
      <c r="H110" s="13">
        <f t="shared" si="6"/>
        <v>4570611.3699999992</v>
      </c>
    </row>
    <row r="111" spans="1:8" x14ac:dyDescent="0.2">
      <c r="A111" t="s">
        <v>200</v>
      </c>
      <c r="B111" s="31" t="s">
        <v>165</v>
      </c>
      <c r="C111" s="73">
        <f>('DOE25'!L200)+('DOE25'!L218)+('DOE25'!L236)</f>
        <v>101878.59</v>
      </c>
      <c r="D111" s="23" t="s">
        <v>288</v>
      </c>
      <c r="E111" s="73">
        <f>('DOE25'!L279)+('DOE25'!L298)+('DOE25'!L317)</f>
        <v>0</v>
      </c>
      <c r="F111" s="23" t="s">
        <v>288</v>
      </c>
      <c r="G111" s="23" t="s">
        <v>288</v>
      </c>
      <c r="H111" s="13">
        <f t="shared" si="6"/>
        <v>101878.59</v>
      </c>
    </row>
    <row r="112" spans="1:8" x14ac:dyDescent="0.2">
      <c r="A112" t="s">
        <v>201</v>
      </c>
      <c r="B112" s="31" t="s">
        <v>167</v>
      </c>
      <c r="C112" s="73">
        <f>('DOE25'!L201)+('DOE25'!L219)+('DOE25'!L237)</f>
        <v>656995.99</v>
      </c>
      <c r="D112" s="23" t="s">
        <v>288</v>
      </c>
      <c r="E112" s="73">
        <f>+('DOE25'!L280)+('DOE25'!L299)+('DOE25'!L318)</f>
        <v>12036.48</v>
      </c>
      <c r="F112" s="23" t="s">
        <v>288</v>
      </c>
      <c r="G112" s="23" t="s">
        <v>288</v>
      </c>
      <c r="H112" s="13">
        <f t="shared" si="6"/>
        <v>669032.47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14901119.15</v>
      </c>
      <c r="D115" s="68">
        <f>SUM(D109:D114)</f>
        <v>0</v>
      </c>
      <c r="E115" s="68">
        <f>SUM(E109:E114)</f>
        <v>588276.01</v>
      </c>
      <c r="F115" s="68">
        <f>SUM(F109:F114)</f>
        <v>0</v>
      </c>
      <c r="G115" s="68">
        <f>SUM(G109:G114)</f>
        <v>0</v>
      </c>
      <c r="H115" s="68">
        <f t="shared" si="6"/>
        <v>15489395.16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2041865.63</v>
      </c>
      <c r="D118" s="23" t="s">
        <v>288</v>
      </c>
      <c r="E118" s="73">
        <f>+('DOE25'!L282)+('DOE25'!L301)+('DOE25'!L320)</f>
        <v>115585.57999999999</v>
      </c>
      <c r="F118" s="23" t="s">
        <v>288</v>
      </c>
      <c r="G118" s="23" t="s">
        <v>288</v>
      </c>
      <c r="H118" s="13">
        <f t="shared" ref="H118:H145" si="7">SUM(C118:G118)</f>
        <v>2157451.21</v>
      </c>
    </row>
    <row r="119" spans="1:8" x14ac:dyDescent="0.2">
      <c r="A119" t="s">
        <v>208</v>
      </c>
      <c r="B119" s="31" t="s">
        <v>209</v>
      </c>
      <c r="C119" s="73">
        <f>('DOE25'!L204)+('DOE25'!L222)+('DOE25'!L240)</f>
        <v>1831929.1839999999</v>
      </c>
      <c r="D119" s="23" t="s">
        <v>288</v>
      </c>
      <c r="E119" s="73">
        <f>+('DOE25'!L283)+('DOE25'!L302)+('DOE25'!L321)</f>
        <v>175564.53</v>
      </c>
      <c r="F119" s="23" t="s">
        <v>288</v>
      </c>
      <c r="G119" s="23" t="s">
        <v>288</v>
      </c>
      <c r="H119" s="13">
        <f t="shared" si="7"/>
        <v>2007493.7139999999</v>
      </c>
    </row>
    <row r="120" spans="1:8" x14ac:dyDescent="0.2">
      <c r="A120" t="s">
        <v>210</v>
      </c>
      <c r="B120" s="31" t="s">
        <v>211</v>
      </c>
      <c r="C120" s="73">
        <f>('DOE25'!L205)+('DOE25'!L223)+('DOE25'!L241)</f>
        <v>1312038.3199999998</v>
      </c>
      <c r="D120" s="23" t="s">
        <v>288</v>
      </c>
      <c r="E120" s="73">
        <f>+('DOE25'!L284)+('DOE25'!L303)+('DOE25'!L322)</f>
        <v>41452</v>
      </c>
      <c r="F120" s="23" t="s">
        <v>288</v>
      </c>
      <c r="G120" s="23" t="s">
        <v>288</v>
      </c>
      <c r="H120" s="13">
        <f t="shared" si="7"/>
        <v>1353490.3199999998</v>
      </c>
    </row>
    <row r="121" spans="1:8" x14ac:dyDescent="0.2">
      <c r="A121" t="s">
        <v>212</v>
      </c>
      <c r="B121" s="31" t="s">
        <v>213</v>
      </c>
      <c r="C121" s="73">
        <f>('DOE25'!L206)+('DOE25'!L224)+('DOE25'!L242)</f>
        <v>1438630.7100000002</v>
      </c>
      <c r="D121" s="23" t="s">
        <v>288</v>
      </c>
      <c r="E121" s="73">
        <f>+('DOE25'!L285)+('DOE25'!L304)+('DOE25'!L323)</f>
        <v>0</v>
      </c>
      <c r="F121" s="23" t="s">
        <v>288</v>
      </c>
      <c r="G121" s="23" t="s">
        <v>288</v>
      </c>
      <c r="H121" s="13">
        <f t="shared" si="7"/>
        <v>1438630.7100000002</v>
      </c>
    </row>
    <row r="122" spans="1:8" x14ac:dyDescent="0.2">
      <c r="A122" t="s">
        <v>214</v>
      </c>
      <c r="B122" s="31" t="s">
        <v>215</v>
      </c>
      <c r="C122" s="73">
        <f>('DOE25'!L207)+('DOE25'!L225)+('DOE25'!L243)</f>
        <v>11667.81</v>
      </c>
      <c r="D122" s="23" t="s">
        <v>288</v>
      </c>
      <c r="E122" s="73">
        <f>+('DOE25'!L286)+('DOE25'!L305)+('DOE25'!L324)</f>
        <v>0</v>
      </c>
      <c r="F122" s="23" t="s">
        <v>288</v>
      </c>
      <c r="G122" s="23" t="s">
        <v>288</v>
      </c>
      <c r="H122" s="13">
        <f t="shared" si="7"/>
        <v>11667.81</v>
      </c>
    </row>
    <row r="123" spans="1:8" x14ac:dyDescent="0.2">
      <c r="A123" t="s">
        <v>216</v>
      </c>
      <c r="B123" s="31" t="s">
        <v>217</v>
      </c>
      <c r="C123" s="73">
        <f>('DOE25'!L208)+('DOE25'!L226)+('DOE25'!L244)</f>
        <v>4037318.0599999996</v>
      </c>
      <c r="D123" s="23" t="s">
        <v>288</v>
      </c>
      <c r="E123" s="73">
        <f>+('DOE25'!L287)+('DOE25'!L306)+('DOE25'!L325)</f>
        <v>33552.86</v>
      </c>
      <c r="F123" s="23" t="s">
        <v>288</v>
      </c>
      <c r="G123" s="23" t="s">
        <v>288</v>
      </c>
      <c r="H123" s="13">
        <f t="shared" si="7"/>
        <v>4070870.9199999995</v>
      </c>
    </row>
    <row r="124" spans="1:8" x14ac:dyDescent="0.2">
      <c r="A124" t="s">
        <v>218</v>
      </c>
      <c r="B124" s="31" t="s">
        <v>219</v>
      </c>
      <c r="C124" s="73">
        <f>('DOE25'!L209)+('DOE25'!L227)+('DOE25'!L245+'DOE25'!L255)</f>
        <v>1786875.7199999997</v>
      </c>
      <c r="D124" s="23" t="s">
        <v>288</v>
      </c>
      <c r="E124" s="73">
        <f>+('DOE25'!L288)+('DOE25'!L307)+('DOE25'!L326)</f>
        <v>7286.2</v>
      </c>
      <c r="F124" s="23" t="s">
        <v>288</v>
      </c>
      <c r="G124" s="23" t="s">
        <v>288</v>
      </c>
      <c r="H124" s="13">
        <f t="shared" si="7"/>
        <v>1794161.9199999997</v>
      </c>
    </row>
    <row r="125" spans="1:8" x14ac:dyDescent="0.2">
      <c r="A125" t="s">
        <v>220</v>
      </c>
      <c r="B125" s="31" t="s">
        <v>221</v>
      </c>
      <c r="C125" s="73">
        <f>('DOE25'!L210)+('DOE25'!L228)+('DOE25'!L246)</f>
        <v>1436734.33</v>
      </c>
      <c r="D125" s="23" t="s">
        <v>288</v>
      </c>
      <c r="E125" s="73">
        <f>+('DOE25'!L289)+('DOE25'!L308)+('DOE25'!L327)</f>
        <v>0</v>
      </c>
      <c r="F125" s="23" t="s">
        <v>288</v>
      </c>
      <c r="G125" s="23" t="s">
        <v>288</v>
      </c>
      <c r="H125" s="13">
        <f t="shared" si="7"/>
        <v>1436734.33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420132.41000000003</v>
      </c>
      <c r="E127" s="23" t="s">
        <v>288</v>
      </c>
      <c r="F127" s="23" t="s">
        <v>288</v>
      </c>
      <c r="G127" s="23" t="s">
        <v>288</v>
      </c>
      <c r="H127" s="13">
        <f t="shared" si="7"/>
        <v>420132.41000000003</v>
      </c>
    </row>
    <row r="128" spans="1:8" ht="12.75" thickTop="1" thickBot="1" x14ac:dyDescent="0.25">
      <c r="A128" s="32" t="s">
        <v>226</v>
      </c>
      <c r="C128" s="68">
        <f>SUM(C118:C127)</f>
        <v>13897059.763999997</v>
      </c>
      <c r="D128" s="68">
        <f>SUM(D118:D127)</f>
        <v>420132.41000000003</v>
      </c>
      <c r="E128" s="68">
        <f>SUM(E118:E127)</f>
        <v>373441.17</v>
      </c>
      <c r="F128" s="68">
        <f>SUM(F118:F127)</f>
        <v>0</v>
      </c>
      <c r="G128" s="68">
        <f>SUM(G118:G127)</f>
        <v>0</v>
      </c>
      <c r="H128" s="68">
        <f t="shared" si="7"/>
        <v>14690633.343999997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798.7</v>
      </c>
      <c r="F134" s="73">
        <f>'DOE25'!K382</f>
        <v>0</v>
      </c>
      <c r="G134" s="73">
        <f>'DOE25'!K435</f>
        <v>660095</v>
      </c>
      <c r="H134" s="13">
        <f t="shared" si="7"/>
        <v>660893.69999999995</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190.35</v>
      </c>
      <c r="D138" s="23" t="s">
        <v>288</v>
      </c>
      <c r="E138" s="23" t="s">
        <v>288</v>
      </c>
      <c r="F138" s="23" t="s">
        <v>288</v>
      </c>
      <c r="G138" s="23" t="s">
        <v>288</v>
      </c>
      <c r="H138" s="13">
        <f t="shared" si="7"/>
        <v>190.35</v>
      </c>
    </row>
    <row r="139" spans="1:8" x14ac:dyDescent="0.2">
      <c r="A139" t="s">
        <v>239</v>
      </c>
      <c r="B139" s="31">
        <v>5252</v>
      </c>
      <c r="C139" s="73">
        <f>'DOE25'!L402</f>
        <v>184129</v>
      </c>
      <c r="D139" s="23" t="s">
        <v>288</v>
      </c>
      <c r="E139" s="23" t="s">
        <v>288</v>
      </c>
      <c r="F139" s="23" t="s">
        <v>288</v>
      </c>
      <c r="G139" s="23" t="s">
        <v>288</v>
      </c>
      <c r="H139" s="13">
        <f t="shared" si="7"/>
        <v>184129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-14319.350000000006</v>
      </c>
      <c r="D141" s="23" t="s">
        <v>288</v>
      </c>
      <c r="E141" s="23" t="s">
        <v>288</v>
      </c>
      <c r="F141" s="23" t="s">
        <v>288</v>
      </c>
      <c r="G141" s="23" t="s">
        <v>288</v>
      </c>
      <c r="H141" s="13">
        <f t="shared" si="7"/>
        <v>-14319.350000000006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170000</v>
      </c>
      <c r="D144" s="98">
        <f>SUM(D130:D143)</f>
        <v>0</v>
      </c>
      <c r="E144" s="98">
        <f>SUM(E130:E143)</f>
        <v>798.7</v>
      </c>
      <c r="F144" s="98">
        <f>SUM(F130:F143)</f>
        <v>0</v>
      </c>
      <c r="G144" s="98">
        <f>SUM(G130:G143)</f>
        <v>660095</v>
      </c>
      <c r="H144" s="98">
        <f t="shared" si="7"/>
        <v>830893.7</v>
      </c>
    </row>
    <row r="145" spans="1:9" ht="12.75" thickTop="1" thickBot="1" x14ac:dyDescent="0.25">
      <c r="A145" s="32" t="s">
        <v>244</v>
      </c>
      <c r="C145" s="68">
        <f>(C115+C128+C144)</f>
        <v>28968178.913999997</v>
      </c>
      <c r="D145" s="68">
        <f>(D115+D128+D144)</f>
        <v>420132.41000000003</v>
      </c>
      <c r="E145" s="68">
        <f>(E115+E128+E144)</f>
        <v>962515.87999999989</v>
      </c>
      <c r="F145" s="68">
        <f>(F115+F128+F144)</f>
        <v>0</v>
      </c>
      <c r="G145" s="68">
        <f>(G115+G128+G144)</f>
        <v>660095</v>
      </c>
      <c r="H145" s="68">
        <f t="shared" si="7"/>
        <v>31010922.203999996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Inter-Lakes Cooperative</v>
      </c>
    </row>
    <row r="3" spans="1:4" x14ac:dyDescent="0.2">
      <c r="B3" s="137" t="s">
        <v>1799</v>
      </c>
    </row>
    <row r="4" spans="1:4" x14ac:dyDescent="0.2">
      <c r="B4" t="s">
        <v>61</v>
      </c>
      <c r="C4" s="129">
        <f>IF('DOE25'!F666+'DOE25'!F671=0,0,ROUND('DOE25'!F673,0))</f>
        <v>29652</v>
      </c>
    </row>
    <row r="5" spans="1:4" x14ac:dyDescent="0.2">
      <c r="B5" t="s">
        <v>700</v>
      </c>
      <c r="C5" s="129">
        <f>IF('DOE25'!G666+'DOE25'!G671=0,0,ROUND('DOE25'!G673,0))</f>
        <v>0</v>
      </c>
    </row>
    <row r="6" spans="1:4" x14ac:dyDescent="0.2">
      <c r="B6" t="s">
        <v>62</v>
      </c>
      <c r="C6" s="129">
        <f>IF('DOE25'!H666+'DOE25'!H671=0,0,ROUND('DOE25'!H673,0))</f>
        <v>30379</v>
      </c>
    </row>
    <row r="7" spans="1:4" x14ac:dyDescent="0.2">
      <c r="B7" t="s">
        <v>701</v>
      </c>
      <c r="C7" s="129">
        <f>IF('DOE25'!I666+'DOE25'!I671=0,0,ROUND('DOE25'!I673,0))</f>
        <v>29876</v>
      </c>
    </row>
    <row r="9" spans="1:4" x14ac:dyDescent="0.2">
      <c r="A9" s="136" t="s">
        <v>94</v>
      </c>
      <c r="B9" s="137" t="s">
        <v>1800</v>
      </c>
      <c r="C9" s="131" t="s">
        <v>720</v>
      </c>
      <c r="D9" s="131" t="s">
        <v>721</v>
      </c>
    </row>
    <row r="10" spans="1:4" x14ac:dyDescent="0.2">
      <c r="A10">
        <v>1100</v>
      </c>
      <c r="B10" t="s">
        <v>702</v>
      </c>
      <c r="C10" s="129">
        <f>ROUND('DOE25'!L198+'DOE25'!L216+'DOE25'!L234+'DOE25'!L277+'DOE25'!L296+'DOE25'!L315,0)</f>
        <v>10147873</v>
      </c>
      <c r="D10" s="132">
        <f>ROUND((C10/$C$28)*100,1)</f>
        <v>33.799999999999997</v>
      </c>
    </row>
    <row r="11" spans="1:4" x14ac:dyDescent="0.2">
      <c r="A11">
        <v>1200</v>
      </c>
      <c r="B11" t="s">
        <v>703</v>
      </c>
      <c r="C11" s="129">
        <f>ROUND('DOE25'!L199+'DOE25'!L217+'DOE25'!L235+'DOE25'!L278+'DOE25'!L297+'DOE25'!L316,0)</f>
        <v>4570611</v>
      </c>
      <c r="D11" s="132">
        <f>ROUND((C11/$C$28)*100,1)</f>
        <v>15.2</v>
      </c>
    </row>
    <row r="12" spans="1:4" x14ac:dyDescent="0.2">
      <c r="A12">
        <v>1300</v>
      </c>
      <c r="B12" t="s">
        <v>704</v>
      </c>
      <c r="C12" s="129">
        <f>ROUND('DOE25'!L200+'DOE25'!L218+'DOE25'!L236+'DOE25'!L279+'DOE25'!L298+'DOE25'!L317,0)</f>
        <v>101879</v>
      </c>
      <c r="D12" s="132">
        <f>ROUND((C12/$C$28)*100,1)</f>
        <v>0.3</v>
      </c>
    </row>
    <row r="13" spans="1:4" x14ac:dyDescent="0.2">
      <c r="A13">
        <v>1400</v>
      </c>
      <c r="B13" t="s">
        <v>705</v>
      </c>
      <c r="C13" s="129">
        <f>ROUND('DOE25'!L201+'DOE25'!L219+'DOE25'!L237+'DOE25'!L280+'DOE25'!L299+'DOE25'!L318,0)</f>
        <v>669032</v>
      </c>
      <c r="D13" s="132">
        <f>ROUND((C13/$C$28)*100,1)</f>
        <v>2.2000000000000002</v>
      </c>
    </row>
    <row r="14" spans="1:4" x14ac:dyDescent="0.2">
      <c r="D14" s="132"/>
    </row>
    <row r="15" spans="1:4" x14ac:dyDescent="0.2">
      <c r="A15">
        <v>2100</v>
      </c>
      <c r="B15" t="s">
        <v>706</v>
      </c>
      <c r="C15" s="129">
        <f>ROUND('DOE25'!L203+'DOE25'!L221+'DOE25'!L239+'DOE25'!L282+'DOE25'!L301+'DOE25'!L320,0)</f>
        <v>2157451</v>
      </c>
      <c r="D15" s="132">
        <f t="shared" ref="D15:D27" si="0">ROUND((C15/$C$28)*100,1)</f>
        <v>7.2</v>
      </c>
    </row>
    <row r="16" spans="1:4" x14ac:dyDescent="0.2">
      <c r="A16">
        <v>2200</v>
      </c>
      <c r="B16" t="s">
        <v>707</v>
      </c>
      <c r="C16" s="129">
        <f>ROUND('DOE25'!L204+'DOE25'!L222+'DOE25'!L240+'DOE25'!L283+'DOE25'!L302+'DOE25'!L321,0)</f>
        <v>2007494</v>
      </c>
      <c r="D16" s="132">
        <f t="shared" si="0"/>
        <v>6.7</v>
      </c>
    </row>
    <row r="17" spans="1:4" x14ac:dyDescent="0.2">
      <c r="A17" s="133" t="s">
        <v>723</v>
      </c>
      <c r="B17" t="s">
        <v>738</v>
      </c>
      <c r="C17" s="129">
        <f>ROUND('DOE25'!L205+'DOE25'!L210+'DOE25'!L223+'DOE25'!L228+'DOE25'!L241+'DOE25'!L246+'DOE25'!L284+'DOE25'!L289+'DOE25'!L303+'DOE25'!L308+'DOE25'!L322+'DOE25'!L327,0)</f>
        <v>2790225</v>
      </c>
      <c r="D17" s="132">
        <f t="shared" si="0"/>
        <v>9.3000000000000007</v>
      </c>
    </row>
    <row r="18" spans="1:4" x14ac:dyDescent="0.2">
      <c r="A18">
        <v>2400</v>
      </c>
      <c r="B18" t="s">
        <v>711</v>
      </c>
      <c r="C18" s="129">
        <f>ROUND('DOE25'!L206+'DOE25'!L224+'DOE25'!L242+'DOE25'!L285+'DOE25'!L304+'DOE25'!L323,0)</f>
        <v>1438631</v>
      </c>
      <c r="D18" s="132">
        <f t="shared" si="0"/>
        <v>4.8</v>
      </c>
    </row>
    <row r="19" spans="1:4" x14ac:dyDescent="0.2">
      <c r="A19">
        <v>2500</v>
      </c>
      <c r="B19" t="s">
        <v>708</v>
      </c>
      <c r="C19" s="129">
        <f>ROUND('DOE25'!L207+'DOE25'!L225+'DOE25'!L243+'DOE25'!L286+'DOE25'!L305+'DOE25'!L324,0)</f>
        <v>11668</v>
      </c>
      <c r="D19" s="132">
        <f t="shared" si="0"/>
        <v>0</v>
      </c>
    </row>
    <row r="20" spans="1:4" x14ac:dyDescent="0.2">
      <c r="A20">
        <v>2600</v>
      </c>
      <c r="B20" t="s">
        <v>709</v>
      </c>
      <c r="C20" s="129">
        <f>ROUND('DOE25'!L208+'DOE25'!L226+'DOE25'!L244+'DOE25'!L287+'DOE25'!L306+'DOE25'!L325,0)</f>
        <v>4070871</v>
      </c>
      <c r="D20" s="132">
        <f t="shared" si="0"/>
        <v>13.6</v>
      </c>
    </row>
    <row r="21" spans="1:4" x14ac:dyDescent="0.2">
      <c r="A21">
        <v>2700</v>
      </c>
      <c r="B21" t="s">
        <v>710</v>
      </c>
      <c r="C21" s="129">
        <f>ROUND('DOE25'!L209+'DOE25'!L227+'DOE25'!L245+'DOE25'!L288+'DOE25'!L307+'DOE25'!L326,0)</f>
        <v>1794162</v>
      </c>
      <c r="D21" s="132">
        <f t="shared" si="0"/>
        <v>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228263.35</v>
      </c>
      <c r="D27" s="132">
        <f t="shared" si="0"/>
        <v>0.8</v>
      </c>
    </row>
    <row r="28" spans="1:4" x14ac:dyDescent="0.2">
      <c r="B28" s="136" t="s">
        <v>719</v>
      </c>
      <c r="C28" s="130">
        <f>SUM(C10:C27)</f>
        <v>29988160.350000001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29988160.350000001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21700054</v>
      </c>
      <c r="D35" s="132">
        <f t="shared" ref="D35:D40" si="1">ROUND((C35/$C$41)*100,1)</f>
        <v>73.400000000000006</v>
      </c>
    </row>
    <row r="36" spans="1:4" x14ac:dyDescent="0.2">
      <c r="B36" s="71" t="s">
        <v>739</v>
      </c>
      <c r="C36" s="129">
        <f>SUM('DOE25'!F112:J112)-SUM('DOE25'!G97:G110)+('DOE25'!F175+'DOE25'!F176+'DOE25'!I175+'DOE25'!I176)-C35</f>
        <v>212593.6799999997</v>
      </c>
      <c r="D36" s="132">
        <f t="shared" si="1"/>
        <v>0.7</v>
      </c>
    </row>
    <row r="37" spans="1:4" x14ac:dyDescent="0.2">
      <c r="A37" s="133" t="s">
        <v>834</v>
      </c>
      <c r="B37" s="71" t="s">
        <v>728</v>
      </c>
      <c r="C37" s="129">
        <f>ROUND('DOE25'!F117+'DOE25'!F118,0)</f>
        <v>6198921</v>
      </c>
      <c r="D37" s="132">
        <f t="shared" si="1"/>
        <v>21</v>
      </c>
    </row>
    <row r="38" spans="1:4" x14ac:dyDescent="0.2">
      <c r="A38" s="133" t="s">
        <v>734</v>
      </c>
      <c r="B38" s="71" t="s">
        <v>729</v>
      </c>
      <c r="C38" s="129">
        <f>ROUND(SUM('DOE25'!F140:J140)-SUM('DOE25'!F117:F119),0)</f>
        <v>265622</v>
      </c>
      <c r="D38" s="132">
        <f t="shared" si="1"/>
        <v>0.9</v>
      </c>
    </row>
    <row r="39" spans="1:4" x14ac:dyDescent="0.2">
      <c r="A39">
        <v>4000</v>
      </c>
      <c r="B39" s="71" t="s">
        <v>730</v>
      </c>
      <c r="C39" s="129">
        <f>ROUND('DOE25'!F170+'DOE25'!G170+'DOE25'!H170+'DOE25'!I170,0)</f>
        <v>1192554</v>
      </c>
      <c r="D39" s="132">
        <f t="shared" si="1"/>
        <v>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29569744.68</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Inter-Lakes Cooperative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134</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34</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135</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264</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f>IF('School Level Expenditures'!$B$2='School Tables'!W37,'School Tables'!AD37,"")</f>
        <v>34</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f>IF('School Level Expenditures'!$B$2=A137,'School Tables'!H137,"")</f>
        <v>134</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f>IF('School Level Expenditures'!$B$2=A138,'School Tables'!H138,"")</f>
        <v>135</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f>IF('School Level Expenditures'!$B$2=A267,'School Tables'!H267,"")</f>
        <v>264</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2023-08-30T18:04:53Z</cp:lastPrinted>
  <dcterms:created xsi:type="dcterms:W3CDTF">1997-12-04T19:04:30Z</dcterms:created>
  <dcterms:modified xsi:type="dcterms:W3CDTF">2023-12-28T18:44:57Z</dcterms:modified>
</cp:coreProperties>
</file>