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998B9067-7367-4212-80FA-4AC54266F36B}"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1">'ESEA OTHER TITLE PROGRAMS'!$A$1:$G$24</definedName>
    <definedName name="_xlnm.Print_Area" localSheetId="2">'Food Service Attachment W'!$A$1:$E$39</definedName>
    <definedName name="_xlnm.Print_Area" localSheetId="4">'Indirect Cost Rate'!$A$1:$I$55</definedName>
    <definedName name="_xlnm.Print_Area" localSheetId="6">'MS-25'!$A$1:$H$164</definedName>
    <definedName name="_xlnm.Print_Area" localSheetId="3">'Salaries-Benefits'!$A$1:$C$54</definedName>
    <definedName name="_xlnm.Print_Area" localSheetId="5">'School Level Expenditures'!$A$1:$H$54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15" i="1" l="1"/>
  <c r="H514" i="1"/>
  <c r="F50" i="1"/>
  <c r="N6" i="14" l="1"/>
  <c r="N7" i="14"/>
  <c r="M7" i="14"/>
  <c r="M6" i="14"/>
  <c r="M38" i="14"/>
  <c r="M26" i="14"/>
  <c r="L6" i="14"/>
  <c r="L7" i="14"/>
  <c r="L38" i="14"/>
  <c r="L26" i="14"/>
  <c r="K7" i="14"/>
  <c r="K38" i="14"/>
  <c r="K26" i="14"/>
  <c r="K6" i="14"/>
  <c r="E7" i="14"/>
  <c r="E6" i="14"/>
  <c r="D38" i="14"/>
  <c r="E26" i="14"/>
  <c r="E38" i="14"/>
  <c r="D26" i="14"/>
  <c r="D7" i="14"/>
  <c r="D6" i="14"/>
  <c r="F31" i="13"/>
  <c r="B21" i="12"/>
  <c r="I529" i="1" l="1"/>
  <c r="H529" i="1"/>
  <c r="I528" i="1"/>
  <c r="H528" i="1"/>
  <c r="I527" i="1"/>
  <c r="H527" i="1"/>
  <c r="I524" i="1"/>
  <c r="G524" i="1"/>
  <c r="F524" i="1"/>
  <c r="I523" i="1"/>
  <c r="G523" i="1"/>
  <c r="F523" i="1"/>
  <c r="I522" i="1"/>
  <c r="G522" i="1"/>
  <c r="F522" i="1"/>
  <c r="H522" i="1"/>
  <c r="H524" i="1"/>
  <c r="J523" i="1"/>
  <c r="H523" i="1"/>
  <c r="J522" i="1"/>
  <c r="F503" i="1" l="1"/>
  <c r="F450" i="1"/>
  <c r="H427" i="1"/>
  <c r="H430" i="1"/>
  <c r="H416" i="1"/>
  <c r="F368" i="1" l="1"/>
  <c r="H155" i="1" l="1"/>
  <c r="H162" i="1"/>
  <c r="H159" i="1"/>
  <c r="H154" i="1"/>
  <c r="H135" i="1"/>
  <c r="G158" i="1"/>
  <c r="G132" i="1"/>
  <c r="G97" i="1"/>
  <c r="G40" i="1"/>
  <c r="F110" i="1"/>
  <c r="F29" i="1"/>
  <c r="F12" i="1"/>
  <c r="F9" i="1" l="1"/>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C112" i="2" s="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E124" i="2" s="1"/>
  <c r="L308" i="1"/>
  <c r="L315" i="1"/>
  <c r="L316" i="1"/>
  <c r="L317" i="1"/>
  <c r="L318" i="1"/>
  <c r="L320" i="1"/>
  <c r="L321" i="1"/>
  <c r="L322" i="1"/>
  <c r="L323" i="1"/>
  <c r="L324" i="1"/>
  <c r="L325" i="1"/>
  <c r="L326" i="1"/>
  <c r="L327" i="1"/>
  <c r="L334" i="1"/>
  <c r="L335" i="1"/>
  <c r="L336" i="1"/>
  <c r="L261" i="1"/>
  <c r="C131" i="2" s="1"/>
  <c r="L262" i="1"/>
  <c r="C132" i="2" s="1"/>
  <c r="L342" i="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F147" i="1"/>
  <c r="F170" i="1" s="1"/>
  <c r="G147" i="1"/>
  <c r="D85" i="2" s="1"/>
  <c r="H147" i="1"/>
  <c r="H170" i="1" s="1"/>
  <c r="I147" i="1"/>
  <c r="I170" i="1" s="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H25" i="2" s="1"/>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E77" i="2"/>
  <c r="F77" i="2"/>
  <c r="G77" i="2"/>
  <c r="G78" i="2" s="1"/>
  <c r="C79" i="2"/>
  <c r="D79" i="2"/>
  <c r="E79" i="2"/>
  <c r="C80" i="2"/>
  <c r="E80" i="2"/>
  <c r="C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F128" i="2"/>
  <c r="G128" i="2"/>
  <c r="D134" i="2"/>
  <c r="D144" i="2" s="1"/>
  <c r="F134" i="2"/>
  <c r="K420" i="1"/>
  <c r="K428" i="1"/>
  <c r="K434" i="1"/>
  <c r="L264" i="1"/>
  <c r="C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H653" i="1"/>
  <c r="G654" i="1"/>
  <c r="H654" i="1"/>
  <c r="H655" i="1"/>
  <c r="H656" i="1"/>
  <c r="H58" i="2" l="1"/>
  <c r="H101" i="2"/>
  <c r="H99" i="2"/>
  <c r="C125" i="2"/>
  <c r="H125" i="2" s="1"/>
  <c r="H79" i="2"/>
  <c r="F409" i="1"/>
  <c r="H644" i="1" s="1"/>
  <c r="E125" i="2"/>
  <c r="H72" i="2"/>
  <c r="E120" i="2"/>
  <c r="H477" i="1"/>
  <c r="H625" i="1" s="1"/>
  <c r="H61" i="2"/>
  <c r="F85" i="2"/>
  <c r="F91" i="2" s="1"/>
  <c r="H87" i="2"/>
  <c r="G477" i="1"/>
  <c r="B33" i="16" s="1"/>
  <c r="H69" i="2"/>
  <c r="H30" i="2"/>
  <c r="H28" i="2"/>
  <c r="H17" i="2"/>
  <c r="H15" i="2"/>
  <c r="H143" i="2"/>
  <c r="E112" i="2"/>
  <c r="J652" i="1"/>
  <c r="G663" i="1"/>
  <c r="H97" i="2"/>
  <c r="J140" i="1"/>
  <c r="J194" i="1" s="1"/>
  <c r="G647" i="1" s="1"/>
  <c r="H93" i="2"/>
  <c r="H26" i="2"/>
  <c r="I409" i="1"/>
  <c r="E121" i="2"/>
  <c r="H135" i="2"/>
  <c r="H96" i="2"/>
  <c r="H35" i="2"/>
  <c r="H13" i="2"/>
  <c r="H9" i="2"/>
  <c r="H38" i="2"/>
  <c r="H43" i="2"/>
  <c r="H47" i="2"/>
  <c r="H100" i="2"/>
  <c r="H73" i="2"/>
  <c r="H80" i="2"/>
  <c r="H34" i="2"/>
  <c r="D18" i="13"/>
  <c r="C18" i="13" s="1"/>
  <c r="H102" i="2"/>
  <c r="H89" i="2"/>
  <c r="H59" i="2"/>
  <c r="H29" i="2"/>
  <c r="H24" i="2"/>
  <c r="H132" i="2"/>
  <c r="H36" i="2"/>
  <c r="H44" i="2"/>
  <c r="H48" i="2"/>
  <c r="H98" i="2"/>
  <c r="H94" i="2"/>
  <c r="H27" i="2"/>
  <c r="H113" i="2"/>
  <c r="H137" i="2"/>
  <c r="G409" i="1"/>
  <c r="H646" i="1" s="1"/>
  <c r="D29" i="13"/>
  <c r="C29" i="13" s="1"/>
  <c r="G662" i="1"/>
  <c r="A40" i="12"/>
  <c r="H112" i="2"/>
  <c r="C32" i="10"/>
  <c r="C110" i="2"/>
  <c r="E13" i="13"/>
  <c r="C13" i="13" s="1"/>
  <c r="G651" i="1"/>
  <c r="N2" i="14"/>
  <c r="N3" i="14" s="1"/>
  <c r="M2" i="14"/>
  <c r="M3" i="14" s="1"/>
  <c r="C13" i="10"/>
  <c r="C12" i="10"/>
  <c r="D15" i="13"/>
  <c r="C15" i="13" s="1"/>
  <c r="C121" i="2"/>
  <c r="H121" i="2" s="1"/>
  <c r="C120" i="2"/>
  <c r="H120" i="2" s="1"/>
  <c r="C119" i="2"/>
  <c r="D6" i="13"/>
  <c r="C6" i="13" s="1"/>
  <c r="L2" i="14"/>
  <c r="L3" i="14" s="1"/>
  <c r="K2" i="14"/>
  <c r="K3" i="14" s="1"/>
  <c r="G646" i="1"/>
  <c r="H76" i="2"/>
  <c r="H22" i="2"/>
  <c r="D78" i="2"/>
  <c r="H77" i="2"/>
  <c r="H23" i="2"/>
  <c r="H11" i="2"/>
  <c r="H12" i="2"/>
  <c r="H8" i="2"/>
  <c r="E119" i="2"/>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L338" i="1"/>
  <c r="F62" i="2"/>
  <c r="F63" i="2" s="1"/>
  <c r="C23" i="10"/>
  <c r="G163" i="2"/>
  <c r="G162" i="2"/>
  <c r="G160" i="2"/>
  <c r="G159" i="2"/>
  <c r="G158" i="2"/>
  <c r="G103" i="2"/>
  <c r="F103" i="2"/>
  <c r="C103"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G140" i="1"/>
  <c r="B11" i="16" s="1"/>
  <c r="F140" i="1"/>
  <c r="G63" i="2"/>
  <c r="J619" i="1"/>
  <c r="G42" i="2"/>
  <c r="G50" i="2" s="1"/>
  <c r="J51" i="1"/>
  <c r="G16" i="2"/>
  <c r="G18" i="2" s="1"/>
  <c r="J19" i="1"/>
  <c r="G622" i="1" s="1"/>
  <c r="F546" i="1"/>
  <c r="H435" i="1"/>
  <c r="D103" i="2"/>
  <c r="I140" i="1"/>
  <c r="A22" i="12"/>
  <c r="J653" i="1"/>
  <c r="G572" i="1"/>
  <c r="I435" i="1"/>
  <c r="G435" i="1"/>
  <c r="I664" i="1"/>
  <c r="H624" i="1" l="1"/>
  <c r="J624" i="1" s="1"/>
  <c r="H114" i="2"/>
  <c r="I662" i="1"/>
  <c r="I663" i="1"/>
  <c r="L572" i="1"/>
  <c r="H85" i="2"/>
  <c r="H57" i="2"/>
  <c r="H134" i="2"/>
  <c r="H78" i="2"/>
  <c r="H16" i="2"/>
  <c r="H21" i="2"/>
  <c r="H42" i="2"/>
  <c r="D128" i="2"/>
  <c r="D145" i="2" s="1"/>
  <c r="H127" i="2"/>
  <c r="G24" i="14"/>
  <c r="H24" i="14" s="1"/>
  <c r="I24" i="14" s="1"/>
  <c r="H118" i="2"/>
  <c r="H123" i="2"/>
  <c r="H119" i="2"/>
  <c r="E128" i="2"/>
  <c r="H110" i="2"/>
  <c r="H103" i="2"/>
  <c r="E51" i="2"/>
  <c r="H31" i="2"/>
  <c r="H91" i="2"/>
  <c r="H62" i="2"/>
  <c r="D51" i="2"/>
  <c r="H50" i="2"/>
  <c r="H18" i="2"/>
  <c r="C81" i="2"/>
  <c r="H81" i="2" s="1"/>
  <c r="F194" i="1"/>
  <c r="G628" i="1" s="1"/>
  <c r="J628" i="1" s="1"/>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M24" i="14" l="1"/>
  <c r="H128" i="2"/>
  <c r="C144" i="2"/>
  <c r="C145" i="2" s="1"/>
  <c r="H141" i="2"/>
  <c r="H51" i="2"/>
  <c r="C104" i="2"/>
  <c r="H104" i="2" s="1"/>
  <c r="H63"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H144" i="2" l="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<sst xmlns="http://schemas.openxmlformats.org/spreadsheetml/2006/main" count="6563" uniqueCount="1816">
  <si>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</si>
  <si>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</si>
  <si>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</si>
  <si>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</si>
  <si>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</si>
  <si>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</si>
  <si>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</si>
  <si>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</si>
  <si>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</si>
  <si>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</si>
  <si>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</si>
  <si>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</si>
  <si>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</si>
  <si>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</si>
  <si>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</si>
  <si>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</si>
  <si>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</si>
  <si>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</si>
  <si>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</si>
  <si>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</si>
  <si>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</si>
  <si>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</si>
  <si>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</si>
  <si>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</si>
  <si>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</si>
  <si>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</si>
  <si>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</si>
  <si>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</si>
  <si>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</si>
  <si>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</si>
  <si>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</si>
  <si>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</si>
  <si>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</si>
  <si>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</si>
  <si>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</si>
  <si>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</si>
  <si>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</si>
  <si>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</si>
  <si>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</si>
  <si>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</si>
  <si>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</si>
  <si>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</si>
  <si>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</si>
  <si>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</si>
  <si>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</si>
  <si>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</si>
  <si>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</si>
  <si>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</si>
  <si>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</si>
  <si>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</si>
  <si>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</si>
  <si>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</si>
  <si>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</si>
  <si>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</si>
  <si>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</si>
  <si>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</si>
  <si>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</si>
  <si>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</si>
  <si>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</si>
  <si>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</si>
  <si>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</si>
  <si>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</si>
  <si>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</si>
  <si>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</si>
  <si>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</si>
  <si>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</si>
  <si>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</si>
  <si>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</si>
  <si>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</si>
  <si>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</si>
  <si>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</si>
  <si>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</si>
  <si>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</si>
  <si>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</si>
  <si>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</si>
  <si>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</si>
  <si>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</si>
  <si>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</si>
  <si>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</si>
  <si>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</si>
  <si>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</si>
  <si>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</si>
  <si>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</si>
  <si>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</si>
  <si>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</si>
  <si>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</si>
  <si>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</si>
  <si>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</si>
  <si>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</si>
  <si>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</si>
  <si>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</si>
  <si>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</si>
  <si>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</si>
  <si>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</si>
  <si>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</si>
  <si>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</si>
  <si>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</si>
  <si>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</si>
  <si>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</si>
  <si>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</si>
  <si>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</si>
  <si>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</si>
  <si>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</si>
  <si>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</si>
  <si>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</si>
  <si>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</si>
  <si>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</si>
  <si>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</si>
  <si>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</si>
  <si>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</si>
  <si>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</si>
  <si>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</si>
  <si>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</si>
  <si>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</si>
  <si>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</si>
  <si>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</si>
  <si>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</si>
  <si>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</si>
  <si>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</si>
  <si>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</si>
  <si>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</si>
  <si>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</si>
  <si>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</si>
  <si>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</si>
  <si>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</si>
  <si>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</si>
  <si>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</si>
  <si>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</si>
  <si>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</si>
  <si>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</si>
  <si>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</si>
  <si>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</si>
  <si>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</si>
  <si>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</si>
  <si>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</si>
  <si>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</si>
  <si>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</si>
  <si>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</si>
  <si>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</si>
  <si>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</si>
  <si>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</si>
  <si>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</si>
  <si>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</si>
  <si>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</si>
  <si>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</si>
  <si>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</si>
  <si>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</si>
  <si>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</si>
  <si>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</si>
  <si>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</si>
  <si>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</si>
  <si>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</si>
  <si>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</si>
  <si>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</si>
  <si>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</si>
  <si>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</si>
  <si>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</si>
  <si>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</si>
  <si>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</si>
  <si>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</si>
  <si>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</si>
  <si>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</si>
  <si>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</si>
  <si>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</si>
  <si>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</si>
  <si>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</si>
  <si>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</si>
  <si>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</si>
  <si>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</si>
  <si>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</si>
  <si>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</si>
  <si>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</si>
  <si>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</si>
  <si>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</si>
  <si>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</si>
  <si>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</si>
  <si>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</si>
  <si>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</si>
  <si>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</si>
  <si>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</si>
  <si>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</si>
  <si>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</si>
  <si>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</si>
  <si>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</si>
  <si>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</si>
  <si>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</si>
  <si>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</si>
  <si>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</si>
  <si>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</si>
  <si>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</si>
  <si>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</si>
  <si>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</si>
  <si>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</si>
  <si>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</si>
  <si>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</si>
  <si>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</si>
  <si>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</si>
  <si>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</si>
  <si>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</si>
  <si>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</si>
  <si>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</si>
  <si>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</si>
  <si>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</si>
  <si>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</si>
  <si>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</si>
  <si>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</si>
  <si>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</si>
  <si>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</si>
  <si>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</si>
  <si>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</si>
  <si>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</si>
  <si>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</si>
  <si>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</si>
  <si>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</si>
  <si>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</si>
  <si>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</si>
  <si>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</si>
  <si>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</si>
  <si>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</si>
  <si>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</si>
  <si>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</si>
  <si>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</si>
  <si>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</si>
  <si>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</si>
  <si>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</si>
  <si>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</si>
  <si>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</si>
  <si>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</si>
  <si>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</si>
  <si>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</si>
  <si>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</si>
  <si>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</si>
  <si>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</si>
  <si>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</si>
  <si>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</si>
  <si>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</si>
  <si>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</si>
  <si>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</si>
  <si>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</si>
  <si>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</si>
  <si>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</si>
  <si>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</si>
  <si>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</si>
  <si>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</si>
  <si>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</si>
  <si>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</si>
  <si>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</si>
  <si>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</si>
  <si>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</si>
  <si>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</si>
  <si>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</si>
  <si>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</si>
  <si>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</si>
  <si>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</si>
  <si>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</si>
  <si>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</si>
  <si>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</si>
  <si>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</si>
  <si>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</si>
  <si>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</si>
  <si>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</si>
  <si>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</si>
  <si>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</si>
  <si>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</si>
  <si>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</si>
  <si>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</si>
  <si>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</si>
  <si>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</si>
  <si>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</si>
  <si>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</si>
  <si>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</si>
  <si>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</si>
  <si>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</si>
  <si>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</si>
  <si>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</si>
  <si>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</si>
  <si>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</si>
  <si>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</si>
  <si>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</si>
  <si>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</si>
  <si>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</si>
  <si>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</si>
  <si>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</si>
  <si>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</si>
  <si>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</si>
  <si>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</si>
  <si>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</si>
  <si>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</si>
  <si>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</si>
  <si>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</si>
  <si>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</si>
  <si>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</si>
  <si>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</si>
  <si>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</si>
  <si>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</si>
  <si>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</si>
  <si>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</si>
  <si>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</si>
  <si>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</si>
  <si>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</si>
  <si>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</si>
  <si>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</si>
  <si>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</si>
  <si>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</si>
  <si>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</si>
  <si>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</si>
  <si>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</si>
  <si>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</si>
  <si>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</si>
  <si>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</si>
  <si>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</si>
  <si>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</si>
  <si>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</si>
  <si>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</si>
  <si>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</si>
  <si>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</si>
  <si>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</si>
  <si>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</si>
  <si>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</si>
  <si>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</si>
  <si>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</si>
  <si>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</si>
  <si>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</si>
  <si>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</si>
  <si>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</si>
  <si>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</si>
  <si>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</si>
  <si>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</si>
  <si>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</si>
  <si>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</si>
  <si>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</si>
  <si>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</si>
  <si>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</si>
  <si>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</si>
  <si>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</si>
  <si>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</si>
  <si>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</si>
  <si>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</si>
  <si>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</si>
  <si>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</si>
  <si>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</si>
  <si>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</si>
  <si>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</si>
  <si>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</si>
  <si>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</si>
  <si>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</si>
  <si>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</si>
  <si>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</si>
  <si>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</si>
  <si>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</si>
  <si>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</si>
  <si>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</si>
  <si>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</si>
  <si>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</si>
  <si>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</si>
  <si>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</si>
  <si>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</si>
  <si>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</si>
  <si>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</si>
  <si>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</si>
  <si>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</si>
  <si>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</si>
  <si>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</si>
  <si>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</si>
  <si>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</si>
  <si>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</si>
  <si>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</si>
  <si>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</si>
  <si>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</si>
  <si>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</si>
  <si>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</si>
  <si>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</si>
  <si>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</si>
  <si>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</si>
  <si>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</si>
  <si>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</si>
  <si>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</si>
  <si>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</si>
  <si>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</si>
  <si>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</si>
  <si>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</si>
  <si>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</si>
  <si>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</si>
  <si>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</si>
  <si>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</si>
  <si>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</si>
  <si>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</si>
  <si>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</si>
  <si>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</si>
  <si>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</si>
  <si>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</si>
  <si>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</si>
  <si>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</si>
  <si>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</si>
  <si>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</si>
  <si>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</si>
  <si>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</si>
  <si>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</si>
  <si>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</si>
  <si>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</si>
  <si>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</si>
  <si>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</si>
  <si>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</si>
  <si>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</si>
  <si>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</si>
  <si>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</si>
  <si>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</si>
  <si>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</si>
  <si>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</si>
  <si>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</si>
  <si>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</si>
  <si>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</si>
  <si>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</si>
  <si>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</si>
  <si>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</si>
  <si>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</si>
  <si>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</si>
  <si>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</si>
  <si>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</si>
  <si>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</si>
  <si>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</si>
  <si>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</si>
  <si>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</si>
  <si>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</si>
  <si>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</si>
  <si>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</si>
  <si>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</si>
  <si>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</si>
  <si>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</si>
  <si>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</si>
  <si>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</si>
  <si>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</si>
  <si>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</si>
  <si>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</si>
  <si>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</si>
  <si>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</si>
  <si>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</si>
  <si>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</si>
  <si>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</si>
  <si>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</si>
  <si>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</si>
  <si>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</si>
  <si>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</si>
  <si>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</si>
  <si>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</si>
  <si>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</si>
  <si>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</si>
  <si>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</si>
  <si>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</si>
  <si>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</si>
  <si>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</si>
  <si>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</si>
  <si>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</si>
  <si>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</si>
  <si>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</si>
  <si>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</si>
  <si>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</si>
  <si>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</si>
  <si>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</si>
  <si>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</si>
  <si>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</si>
  <si>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</si>
  <si>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</si>
  <si>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</si>
  <si>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</si>
  <si>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</si>
  <si>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</si>
  <si>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</si>
  <si>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</si>
  <si>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</si>
  <si>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</si>
  <si>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</si>
  <si>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</si>
  <si>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</si>
  <si>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</si>
  <si>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</si>
  <si>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</si>
  <si>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</si>
  <si>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</si>
  <si>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</si>
  <si>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</si>
  <si>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</si>
  <si>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</si>
  <si>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</si>
  <si>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</si>
  <si>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</si>
  <si>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</si>
  <si>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</si>
  <si>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</si>
  <si>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</si>
  <si>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</si>
  <si>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</si>
  <si>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</si>
  <si>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</si>
  <si>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</si>
  <si>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</si>
  <si>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</si>
  <si>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</si>
  <si>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</si>
  <si>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</si>
  <si>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</si>
  <si>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</si>
  <si>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</si>
  <si>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</si>
  <si>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</si>
  <si>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</si>
  <si>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</si>
  <si>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</si>
  <si>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</si>
  <si>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</si>
  <si>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</si>
  <si>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</si>
  <si>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</si>
  <si>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</si>
  <si>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</si>
  <si>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</si>
  <si>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</si>
  <si>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</si>
  <si>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</si>
  <si>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</si>
  <si>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</si>
  <si>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</si>
  <si>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</si>
  <si>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</si>
  <si>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</si>
  <si>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</si>
  <si>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</si>
  <si>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</si>
  <si>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</si>
  <si>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</si>
  <si>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</si>
  <si>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</si>
  <si>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</si>
  <si>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</si>
  <si>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</si>
  <si>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</si>
  <si>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</si>
  <si>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</si>
  <si>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</si>
  <si>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</si>
  <si>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</si>
  <si>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</si>
  <si>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</si>
  <si>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</si>
  <si>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</si>
  <si>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</si>
  <si>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</si>
  <si>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</si>
  <si>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</si>
  <si>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</si>
  <si>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</si>
  <si>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</si>
  <si>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</si>
  <si>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</si>
  <si>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</si>
  <si>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</si>
  <si>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</si>
  <si>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</si>
  <si>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</si>
  <si>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</si>
  <si>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</si>
  <si>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</si>
  <si>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</si>
  <si>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</si>
  <si>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</si>
  <si>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</si>
  <si>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</si>
  <si>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</si>
  <si>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</si>
  <si>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</si>
  <si>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</si>
  <si>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</si>
  <si>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</si>
  <si>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</si>
  <si>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</si>
  <si>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</si>
  <si>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</si>
  <si>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</si>
  <si>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</si>
  <si>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</si>
  <si>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</si>
  <si>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</si>
  <si>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</si>
  <si>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</si>
  <si>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</si>
  <si>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</si>
  <si>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</si>
  <si>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</si>
  <si>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</si>
  <si>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</si>
  <si>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</si>
  <si>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</si>
  <si>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</si>
  <si>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</si>
  <si>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</si>
  <si>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</si>
  <si>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</si>
  <si>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</si>
  <si>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</si>
  <si>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</si>
  <si>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</si>
  <si>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</si>
  <si>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</si>
  <si>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</si>
  <si>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</si>
  <si>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</si>
  <si>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</si>
  <si>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</si>
  <si>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</si>
  <si>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</si>
  <si>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</si>
  <si>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</si>
  <si>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</si>
  <si>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</si>
  <si>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</si>
  <si>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</si>
  <si>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</si>
  <si>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</si>
  <si>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</si>
  <si>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</si>
  <si>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</si>
  <si>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</si>
  <si>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</si>
  <si>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</si>
  <si>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</si>
  <si>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</si>
  <si>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</si>
  <si>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</si>
  <si>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</si>
  <si>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</si>
  <si>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</si>
  <si>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</si>
  <si>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</si>
  <si>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</si>
  <si>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</si>
  <si>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</si>
  <si>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</si>
  <si>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</si>
  <si>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</si>
  <si>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</si>
  <si>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</si>
  <si>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</si>
  <si>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</si>
  <si>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</si>
  <si>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</si>
  <si>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</si>
  <si>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</si>
  <si>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</si>
  <si>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</si>
  <si>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</si>
  <si>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</si>
  <si>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</si>
  <si>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</si>
  <si>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</si>
  <si>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</si>
  <si>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</si>
  <si>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</si>
  <si>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</si>
  <si>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</si>
  <si>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</si>
  <si>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</si>
  <si>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</si>
  <si>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</si>
  <si>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</si>
  <si>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</si>
  <si>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</si>
  <si>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</si>
  <si>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</si>
  <si>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</si>
  <si>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</si>
  <si>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</si>
  <si>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</si>
  <si>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</si>
  <si>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</si>
  <si>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</si>
  <si>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</si>
  <si>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</si>
  <si>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</si>
  <si>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</si>
  <si>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</si>
  <si>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</si>
  <si>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</si>
  <si>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</si>
  <si>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</si>
  <si>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</si>
  <si>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</si>
  <si>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</si>
  <si>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</si>
  <si>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</si>
  <si>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</si>
  <si>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</si>
  <si>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</si>
  <si>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</si>
  <si>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</si>
  <si>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</si>
  <si>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</si>
  <si>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</si>
  <si>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</si>
  <si>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</si>
  <si>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</si>
  <si>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</si>
  <si>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</si>
  <si>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</si>
  <si>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</si>
  <si>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</si>
  <si>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</si>
  <si>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</si>
  <si>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</si>
  <si>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</si>
  <si>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</si>
  <si>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</si>
  <si>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</si>
  <si>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</si>
  <si>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</si>
  <si>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</si>
  <si>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</si>
  <si>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</si>
  <si>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</si>
  <si>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</si>
  <si>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</si>
  <si>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</si>
  <si>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</si>
  <si>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</si>
  <si>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</si>
  <si>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</si>
  <si>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</si>
  <si>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</si>
  <si>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</si>
  <si>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</si>
  <si>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</si>
  <si>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</si>
  <si>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</si>
  <si>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</si>
  <si>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</si>
  <si>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</si>
  <si>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</si>
  <si>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</si>
  <si>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</si>
  <si>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</si>
  <si>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</si>
  <si>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</si>
  <si>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</si>
  <si>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</si>
  <si>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</si>
  <si>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</si>
  <si>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</si>
  <si>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</si>
  <si>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</si>
  <si>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</si>
  <si>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</si>
  <si>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</si>
  <si>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</si>
  <si>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</si>
  <si>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</si>
  <si>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</si>
  <si>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</si>
  <si>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</si>
  <si>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</si>
  <si>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</si>
  <si>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</si>
  <si>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</si>
  <si>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</si>
  <si>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</si>
  <si>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</si>
  <si>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</si>
  <si>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</si>
  <si>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</si>
  <si>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</si>
  <si>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</si>
  <si>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</si>
  <si>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</si>
  <si>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</si>
  <si>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</si>
  <si>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</si>
  <si>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</si>
  <si>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</si>
  <si>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</si>
  <si>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</si>
  <si>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</si>
  <si>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</si>
  <si>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</si>
  <si>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</si>
  <si>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</si>
  <si>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</si>
  <si>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</si>
  <si>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</si>
  <si>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</si>
  <si>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</si>
  <si>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</si>
  <si>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</si>
  <si>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</si>
  <si>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</si>
  <si>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</si>
  <si>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</si>
  <si>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</si>
  <si>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</si>
  <si>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</si>
  <si>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</si>
  <si>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</si>
  <si>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</si>
  <si>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</si>
  <si>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</si>
  <si>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</si>
  <si>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</si>
  <si>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</si>
  <si>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</si>
  <si>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</si>
  <si>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</si>
  <si>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</si>
  <si>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</si>
  <si>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</si>
  <si>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</si>
  <si>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</si>
  <si>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</si>
  <si>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</si>
  <si>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</si>
  <si>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</si>
  <si>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</si>
  <si>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</si>
  <si>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</si>
  <si>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</si>
  <si>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</si>
  <si>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</si>
  <si>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</si>
  <si>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</si>
  <si>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</si>
  <si>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</si>
  <si>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</si>
  <si>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</si>
  <si>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</si>
  <si>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</si>
  <si>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</si>
  <si>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</si>
  <si>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</si>
  <si>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</si>
  <si>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</si>
  <si>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</si>
  <si>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</si>
  <si>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</si>
  <si>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</si>
  <si>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</si>
  <si>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</si>
  <si>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</si>
  <si>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</si>
  <si>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</si>
  <si>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</si>
  <si>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</si>
  <si>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</si>
  <si>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</si>
  <si>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</si>
  <si>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</si>
  <si>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</si>
  <si>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</si>
  <si>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</si>
  <si>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</si>
  <si>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</si>
  <si>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</si>
  <si>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</si>
  <si>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</si>
  <si>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</si>
  <si>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</si>
  <si>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</si>
  <si>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</si>
  <si>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</si>
  <si>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</si>
  <si>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</si>
  <si>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</si>
  <si>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</si>
  <si>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</si>
  <si>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</si>
  <si>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</si>
  <si>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</si>
  <si>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</si>
  <si>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</si>
  <si>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</si>
  <si>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</si>
  <si>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</si>
  <si>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</si>
  <si>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</si>
  <si>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</si>
  <si>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</si>
  <si>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</si>
  <si>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</si>
  <si>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</si>
  <si>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</si>
  <si>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</si>
  <si>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</si>
  <si>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</si>
  <si>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</si>
  <si>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</si>
  <si>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</si>
  <si>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</si>
  <si>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</si>
  <si>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</si>
  <si>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</si>
  <si>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</si>
  <si>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</si>
  <si>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</si>
  <si>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</si>
  <si>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</si>
  <si>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</si>
  <si>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</si>
  <si>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</si>
  <si>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</si>
  <si>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</si>
  <si>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</si>
  <si>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</si>
  <si>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</si>
  <si>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</si>
  <si>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</si>
  <si>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</si>
  <si>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</si>
  <si>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</si>
  <si>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</si>
  <si>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</si>
  <si>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</si>
  <si>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</si>
  <si>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</si>
  <si>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</si>
  <si>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</si>
  <si>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</si>
  <si>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</si>
  <si>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</si>
  <si>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</si>
  <si>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</si>
  <si>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</si>
  <si>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</si>
  <si>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</si>
  <si>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</si>
  <si>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</si>
  <si>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</si>
  <si>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</si>
  <si>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</si>
  <si>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</si>
  <si>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</si>
  <si>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</si>
  <si>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</si>
  <si>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</si>
  <si>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</si>
  <si>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</si>
  <si>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</si>
  <si>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</si>
  <si>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</si>
  <si>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</si>
  <si>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</si>
  <si>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</si>
  <si>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</si>
  <si>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</si>
  <si>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</si>
  <si>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</si>
  <si>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</si>
  <si>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</si>
  <si>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</si>
  <si>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</si>
  <si>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</si>
  <si>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</si>
  <si>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</si>
  <si>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</si>
  <si>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</si>
  <si>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</si>
  <si>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</si>
  <si>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</si>
  <si>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</si>
  <si>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</si>
  <si>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</si>
  <si>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</si>
  <si>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</si>
  <si>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</si>
  <si>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</si>
  <si>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</si>
  <si>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</si>
  <si>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</si>
  <si>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</si>
  <si>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</si>
  <si>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</si>
  <si>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</si>
  <si>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</si>
  <si>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</si>
  <si>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</si>
  <si>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</si>
  <si>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</si>
  <si>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</si>
  <si>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</si>
  <si>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</si>
  <si>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</si>
  <si>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</si>
  <si>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</si>
  <si>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</si>
  <si>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</si>
  <si>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</si>
  <si>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</si>
  <si>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</si>
  <si>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</si>
  <si>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</si>
  <si>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</si>
  <si>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</si>
  <si>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</si>
  <si>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</si>
  <si>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</si>
  <si>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</si>
  <si>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</si>
  <si>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</si>
  <si>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</si>
  <si>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</si>
  <si>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</si>
  <si>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</si>
  <si>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</si>
  <si>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</si>
  <si>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</si>
  <si>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</si>
  <si>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</si>
  <si>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</si>
  <si>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</si>
  <si>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</si>
  <si>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</si>
  <si>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</si>
  <si>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</si>
  <si>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</si>
  <si>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</si>
  <si>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</si>
  <si>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</si>
  <si>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</si>
  <si>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</si>
  <si>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</si>
  <si>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</si>
  <si>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</si>
  <si>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</si>
  <si>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</si>
  <si>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</si>
  <si>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</si>
  <si>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</si>
  <si>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</si>
  <si>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</si>
  <si>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</si>
  <si>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</si>
  <si>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</si>
  <si>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</si>
  <si>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</si>
  <si>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</si>
  <si>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</si>
  <si>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</si>
  <si>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</si>
  <si>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</si>
  <si>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</si>
  <si>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</si>
  <si>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</si>
  <si>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</si>
  <si>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</si>
  <si>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</si>
  <si>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</si>
  <si>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</si>
  <si>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</si>
  <si>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</si>
  <si>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</si>
  <si>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</si>
  <si>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</si>
  <si>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</si>
  <si>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</si>
  <si>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</si>
  <si>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</si>
  <si>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</si>
  <si>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</si>
  <si>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</si>
  <si>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</si>
  <si>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</si>
  <si>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</si>
  <si>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</si>
  <si>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</si>
  <si>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</si>
  <si>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</si>
  <si>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</si>
  <si>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</si>
  <si>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</si>
  <si>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</si>
  <si>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</si>
  <si>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</si>
  <si>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</si>
  <si>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</si>
  <si>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</si>
  <si>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</si>
  <si>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</si>
  <si>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</si>
  <si>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</si>
  <si>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</si>
  <si>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</si>
  <si>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</si>
  <si>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</si>
  <si>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</si>
  <si>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</si>
  <si>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</si>
  <si>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</si>
  <si>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</si>
  <si>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</si>
  <si>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</si>
  <si>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</si>
  <si>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</si>
  <si>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</si>
  <si>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</si>
  <si>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</si>
  <si>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</si>
  <si>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</si>
  <si>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</si>
  <si>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</si>
  <si>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</si>
  <si>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</si>
  <si>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</si>
  <si>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</si>
  <si>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</si>
  <si>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</si>
  <si>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</si>
  <si>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</si>
  <si>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</si>
  <si>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</si>
  <si>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</si>
  <si>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</si>
  <si>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</si>
  <si>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</si>
  <si>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</si>
  <si>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</si>
  <si>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</si>
  <si>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</si>
  <si>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</si>
  <si>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</si>
  <si>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</si>
  <si>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</si>
  <si>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</si>
  <si>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</si>
  <si>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</si>
  <si>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</si>
  <si>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</si>
  <si>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</si>
  <si>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</si>
  <si>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</si>
  <si>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</si>
  <si>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</si>
  <si>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</si>
  <si>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</si>
  <si>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</si>
  <si>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</si>
  <si>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</si>
  <si>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</si>
  <si>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</si>
  <si>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</si>
  <si>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</si>
  <si>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</si>
  <si>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</si>
  <si>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</si>
  <si>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</si>
  <si>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</si>
  <si>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</si>
  <si>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</si>
  <si>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</si>
  <si>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</si>
  <si>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</si>
  <si>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</si>
  <si>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</si>
  <si>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</si>
  <si>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</si>
  <si>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</si>
  <si>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</si>
  <si>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</si>
  <si>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</si>
  <si>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</si>
  <si>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</si>
  <si>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</si>
  <si>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</si>
  <si>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</si>
  <si>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</si>
  <si>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</si>
  <si>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</si>
  <si>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</si>
  <si>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</si>
  <si>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</si>
  <si>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</si>
  <si>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</si>
  <si>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</si>
  <si>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</si>
  <si>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</si>
  <si>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</si>
  <si>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</si>
  <si>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</si>
  <si>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</si>
  <si>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</si>
  <si>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</si>
  <si>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</si>
  <si>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</si>
  <si>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</si>
  <si>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</si>
  <si>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</si>
  <si>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</si>
  <si>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</si>
  <si>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</si>
  <si>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</si>
  <si>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</si>
  <si>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</si>
  <si>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</si>
  <si>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</si>
  <si>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</si>
  <si>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</si>
  <si>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</si>
  <si>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</si>
  <si>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</si>
  <si>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</si>
  <si>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</si>
  <si>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</si>
  <si>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</si>
  <si>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</si>
  <si>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</si>
  <si>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</si>
  <si>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</si>
  <si>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</si>
  <si>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</si>
  <si>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</si>
  <si>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</si>
  <si>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</si>
  <si>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</si>
  <si>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</si>
  <si>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</si>
  <si>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</si>
  <si>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</si>
  <si>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</si>
  <si>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</si>
  <si>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</si>
  <si>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</si>
  <si>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</si>
  <si>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</si>
  <si>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</si>
  <si>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</si>
  <si>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</si>
  <si>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</si>
  <si>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</si>
  <si>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</si>
  <si>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</si>
  <si>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</si>
  <si>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</si>
  <si>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</si>
  <si>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</si>
  <si>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</si>
  <si>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</si>
  <si>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</si>
  <si>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</si>
  <si>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</si>
  <si>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</si>
  <si>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</si>
  <si>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</si>
  <si>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</si>
  <si>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</si>
  <si>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</si>
  <si>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</si>
  <si>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</si>
  <si>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</si>
  <si>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</si>
  <si>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</si>
  <si>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</si>
  <si>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</si>
  <si>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</si>
  <si>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</si>
  <si>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</si>
  <si>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</si>
  <si>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</si>
  <si>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</si>
  <si>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</si>
  <si>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</si>
  <si>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</si>
  <si>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</si>
  <si>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</si>
  <si>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</si>
  <si>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</si>
  <si>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</si>
  <si>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</si>
  <si>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</si>
  <si>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</si>
  <si>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</si>
  <si>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</si>
  <si>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</si>
  <si>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</si>
  <si>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</si>
  <si>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</si>
  <si>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</si>
  <si>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</si>
  <si>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</si>
  <si>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</si>
  <si>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</si>
  <si>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</si>
  <si>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</si>
  <si>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</si>
  <si>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</si>
  <si>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</si>
  <si>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</si>
  <si>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</si>
  <si>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</si>
  <si>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</si>
  <si>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</si>
  <si>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</si>
  <si>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</si>
  <si>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</si>
  <si>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</si>
  <si>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</si>
  <si>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</si>
  <si>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</si>
  <si>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</si>
  <si>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</si>
  <si>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</si>
  <si>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</si>
  <si>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</si>
  <si>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</si>
  <si>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</si>
  <si>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</si>
  <si>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</si>
  <si>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</si>
  <si>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</si>
  <si>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</si>
  <si>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</si>
  <si>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</si>
  <si>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</si>
  <si>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</si>
  <si>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</si>
  <si>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</si>
  <si>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</si>
  <si>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</si>
  <si>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</si>
  <si>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</si>
  <si>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</si>
  <si>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</si>
  <si>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</si>
  <si>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</si>
  <si>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</si>
  <si>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</si>
  <si>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</si>
  <si>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</si>
  <si>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</si>
  <si>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</si>
  <si>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</si>
  <si>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</si>
  <si>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</si>
  <si>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</si>
  <si>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</si>
  <si>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</si>
  <si>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</si>
  <si>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</si>
  <si>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</si>
  <si>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</si>
  <si>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</si>
  <si>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</si>
  <si>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</si>
  <si>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</si>
  <si>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</si>
  <si>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</si>
  <si>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</si>
  <si>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</si>
  <si>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</si>
  <si>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</si>
  <si>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</si>
  <si>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</si>
  <si>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</si>
  <si>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</si>
  <si>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</si>
  <si>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</si>
  <si>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</si>
  <si>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</si>
  <si>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</si>
  <si>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</si>
  <si>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</si>
  <si>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</si>
  <si>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</si>
  <si>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</si>
  <si>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</si>
  <si>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</si>
  <si>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</si>
  <si>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</si>
  <si>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</si>
  <si>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</si>
  <si>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</si>
  <si>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</si>
  <si>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</si>
  <si>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</si>
  <si>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</si>
  <si>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</si>
  <si>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</si>
  <si>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</si>
  <si>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</si>
  <si>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</si>
  <si>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</si>
  <si>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</si>
  <si>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</si>
  <si>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</si>
  <si>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</si>
  <si>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</si>
  <si>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</si>
  <si>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</si>
  <si>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</si>
  <si>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</si>
  <si>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</si>
  <si>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</si>
  <si>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</si>
  <si>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</si>
  <si>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</si>
  <si>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</si>
  <si>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</si>
  <si>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</si>
  <si>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</si>
  <si>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</si>
  <si>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</si>
  <si>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</si>
  <si>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</si>
  <si>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</si>
  <si>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</si>
  <si>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</si>
  <si>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</si>
  <si>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</si>
  <si>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</si>
  <si>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</si>
  <si>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</si>
  <si>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</si>
  <si>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</si>
  <si>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</si>
  <si>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</si>
  <si>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</si>
  <si>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</si>
  <si>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</si>
  <si>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</si>
  <si>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</si>
  <si>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</si>
  <si>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</si>
  <si>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</si>
  <si>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</si>
  <si>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</si>
  <si>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</si>
  <si>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</si>
  <si>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</si>
  <si>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</si>
  <si>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</si>
  <si>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</si>
  <si>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</si>
  <si>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</si>
  <si>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</si>
  <si>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</si>
  <si>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</si>
  <si>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</si>
  <si>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</si>
  <si>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</si>
  <si>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</si>
  <si>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</si>
  <si>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</si>
  <si>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</si>
  <si>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</si>
  <si>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</si>
  <si>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</si>
  <si>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</si>
  <si>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</si>
  <si>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</si>
  <si>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</si>
  <si>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</si>
  <si>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</si>
  <si>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</si>
  <si>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</si>
  <si>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</si>
  <si>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</si>
  <si>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</si>
  <si>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</si>
  <si>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</si>
  <si>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</si>
  <si>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</si>
  <si>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</si>
  <si>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</si>
  <si>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</si>
  <si>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</si>
  <si>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</si>
  <si>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</si>
  <si>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</si>
  <si>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</si>
  <si>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</si>
  <si>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</si>
  <si>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</si>
  <si>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</si>
  <si>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</si>
  <si>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</si>
  <si>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</si>
  <si>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</si>
  <si>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</si>
  <si>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</si>
  <si>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</si>
  <si>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</si>
  <si>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</si>
  <si>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</si>
  <si>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</si>
  <si>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</si>
  <si>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</si>
  <si>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</si>
  <si>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</si>
  <si>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</si>
  <si>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</si>
  <si>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</si>
  <si>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</si>
  <si>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</si>
  <si>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</si>
  <si>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</si>
  <si>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</si>
  <si>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</si>
  <si>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</si>
  <si>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</si>
  <si>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</si>
  <si>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</si>
  <si>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</si>
  <si>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</si>
  <si>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</si>
  <si>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</si>
  <si>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</si>
  <si>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</si>
  <si>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</si>
  <si>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</si>
  <si>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</si>
  <si>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</si>
  <si>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</si>
  <si>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</si>
  <si>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</si>
  <si>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</si>
  <si>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</si>
  <si>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</si>
  <si>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</si>
  <si>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</si>
  <si>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</si>
  <si>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</si>
  <si>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</si>
  <si>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</si>
  <si>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</si>
  <si>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</si>
  <si>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</si>
  <si>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</si>
  <si>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</si>
  <si>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</si>
  <si>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</si>
  <si>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</si>
  <si>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</si>
  <si>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</si>
  <si>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</si>
  <si>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</si>
  <si>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</si>
  <si>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</si>
  <si>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</si>
  <si>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</si>
  <si>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</si>
  <si>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</si>
  <si>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</si>
  <si>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</si>
  <si>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</si>
  <si>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</si>
  <si>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</si>
  <si>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</si>
  <si>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</si>
  <si>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</si>
  <si>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</si>
  <si>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</si>
  <si>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</si>
  <si>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</si>
  <si>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</si>
  <si>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</si>
  <si>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</si>
  <si>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</si>
  <si>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</si>
  <si>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</si>
  <si>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</si>
  <si>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</si>
  <si>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</si>
  <si>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</si>
  <si>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</si>
  <si>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</si>
  <si>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</si>
  <si>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</si>
  <si>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</si>
  <si>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</si>
  <si>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</si>
  <si>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</si>
  <si>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</si>
  <si>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</si>
  <si>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</si>
  <si>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</si>
  <si>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</si>
  <si>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</si>
  <si>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</si>
  <si>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</si>
  <si>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</si>
  <si>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</si>
  <si>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</si>
  <si>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</si>
  <si>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</si>
  <si>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</si>
  <si>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</si>
  <si>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</si>
  <si>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</si>
  <si>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</si>
  <si>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</si>
  <si>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</si>
  <si>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</si>
  <si>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</si>
  <si>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</si>
  <si>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</si>
  <si>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</si>
  <si>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</si>
  <si>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</si>
  <si>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</si>
  <si>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</si>
  <si>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</si>
  <si>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</si>
  <si>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</si>
  <si>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</si>
  <si>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</si>
  <si>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</si>
  <si>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</si>
  <si>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</si>
  <si>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</si>
  <si>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</si>
  <si>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</si>
  <si>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</si>
  <si>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</si>
  <si>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</si>
  <si>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</si>
  <si>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</si>
  <si>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</si>
  <si>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</si>
  <si>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</si>
  <si>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</si>
  <si>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</si>
  <si>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</si>
  <si>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</si>
  <si>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</si>
  <si>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</si>
  <si>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</si>
  <si>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</si>
  <si>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</si>
  <si>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</si>
  <si>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</si>
  <si>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</si>
  <si>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</si>
  <si>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</si>
  <si>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</si>
  <si>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</si>
  <si>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</si>
  <si>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</si>
  <si>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</si>
  <si>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</si>
  <si>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</si>
  <si>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</si>
  <si>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</si>
  <si>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</si>
  <si>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</si>
  <si>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</si>
  <si>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</si>
  <si>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</si>
  <si>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</si>
  <si>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</si>
  <si>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</si>
  <si>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</si>
  <si>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</si>
  <si>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</si>
  <si>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</si>
  <si>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</si>
  <si>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</si>
  <si>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</si>
  <si>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</si>
  <si>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</si>
  <si>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</si>
  <si>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</si>
  <si>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</si>
  <si>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</si>
  <si>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</si>
  <si>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</si>
  <si>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</si>
  <si>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</si>
  <si>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</si>
  <si>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</si>
  <si>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</si>
  <si>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</si>
  <si>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</si>
  <si>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</si>
  <si>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</si>
  <si>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</si>
  <si>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</si>
  <si>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</si>
  <si>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</si>
  <si>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</si>
  <si>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</si>
  <si>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</si>
  <si>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</si>
  <si>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</si>
  <si>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</si>
  <si>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</si>
  <si>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</si>
  <si>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</si>
  <si>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</si>
  <si>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</si>
  <si>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</si>
  <si>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</si>
  <si>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</si>
  <si>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</si>
  <si>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</si>
  <si>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</si>
  <si>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</si>
  <si>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</si>
  <si>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</si>
  <si>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</si>
  <si>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</si>
  <si>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</si>
  <si>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</si>
  <si>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</si>
  <si>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</si>
  <si>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</si>
  <si>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</si>
  <si>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</si>
  <si>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</si>
  <si>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</si>
  <si>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</si>
  <si>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</si>
  <si>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</si>
  <si>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</si>
  <si>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</si>
  <si>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</si>
  <si>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</si>
  <si>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</si>
  <si>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</si>
  <si>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</si>
  <si>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</si>
  <si>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</si>
  <si>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</si>
  <si>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</si>
  <si>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</si>
  <si>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</si>
  <si>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</si>
  <si>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</si>
  <si>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</si>
  <si>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</si>
  <si>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</si>
  <si>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</si>
  <si>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</si>
  <si>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</si>
  <si>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</si>
  <si>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</si>
  <si>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</si>
  <si>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</si>
  <si>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</si>
  <si>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</si>
  <si>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</si>
  <si>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</si>
  <si>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</si>
  <si>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</si>
  <si>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</si>
  <si>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</si>
  <si>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</si>
  <si>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</si>
  <si>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</si>
  <si>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</si>
  <si>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</si>
  <si>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</si>
  <si>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</si>
  <si>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</si>
  <si>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</si>
  <si>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</si>
  <si>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</si>
  <si>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</si>
  <si>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</si>
  <si>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</si>
  <si>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</si>
  <si>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</si>
  <si>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</si>
  <si>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</si>
  <si>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</si>
  <si>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</si>
  <si>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</si>
  <si>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</si>
  <si>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</si>
  <si>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</si>
  <si>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</si>
  <si>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</si>
  <si>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</si>
  <si>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</si>
  <si>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</si>
  <si>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</si>
  <si>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</si>
  <si>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</si>
  <si>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</si>
  <si>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</si>
  <si>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</si>
  <si>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</si>
  <si>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</si>
  <si>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</si>
  <si>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</si>
  <si>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</si>
  <si>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</si>
  <si>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</si>
  <si>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</si>
  <si>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</si>
  <si>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</si>
  <si>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</si>
  <si>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</si>
  <si>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</si>
  <si>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</si>
  <si>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</si>
  <si>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</si>
  <si>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</si>
  <si>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</si>
  <si>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</si>
  <si>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</si>
  <si>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</si>
  <si>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</si>
  <si>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</si>
  <si>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</si>
  <si>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</si>
  <si>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</si>
  <si>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</si>
  <si>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</si>
  <si>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</si>
  <si>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</si>
  <si>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Private Purpose Trusts (Scholarships)</t>
  </si>
  <si>
    <t>Permanent Funds</t>
  </si>
  <si>
    <t>07/17</t>
  </si>
  <si>
    <t>08/27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</si>
</sst>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2" zoomScaleNormal="100" workbookViewId="0">
      <selection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1135</v>
      </c>
      <c r="B2">
        <f>INDEX('School Tables'!$AH$3:$AH$209,MATCH('DOE25'!A2,'School Tables'!$AJ$3:$AJ$209,0))</f>
        <v>274</v>
      </c>
      <c r="C2">
        <f>INDEX('School Tables'!$AI$3:$AI$209,MATCH('DOE25'!A2,'School Tables'!$AJ$3:$AJ$209,0))</f>
        <v>0</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2107609.21+6000+3000</f>
        <v>2116609.21</v>
      </c>
      <c r="G9" s="18">
        <v>7.39</v>
      </c>
      <c r="H9" s="18"/>
      <c r="I9" s="18"/>
      <c r="J9" s="13">
        <f>SUM(I440)</f>
        <v>0</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3195410.95</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f>59241.05+76288.5</f>
        <v>135529.54999999999</v>
      </c>
      <c r="G12" s="18">
        <v>213036.1</v>
      </c>
      <c r="H12" s="18"/>
      <c r="I12" s="18"/>
      <c r="J12" s="13">
        <f>SUM(I442)</f>
        <v>6561</v>
      </c>
      <c r="K12" s="23" t="s">
        <v>288</v>
      </c>
      <c r="L12" s="23" t="s">
        <v>288</v>
      </c>
      <c r="M12" s="8"/>
      <c r="N12" s="165"/>
    </row>
    <row r="13" spans="1:14" s="3" customFormat="1" ht="12.2" customHeight="1" x14ac:dyDescent="0.15">
      <c r="A13" s="1" t="s">
        <v>604</v>
      </c>
      <c r="B13" s="2" t="s">
        <v>289</v>
      </c>
      <c r="C13" s="6">
        <v>5</v>
      </c>
      <c r="D13" s="2" t="s">
        <v>428</v>
      </c>
      <c r="E13" s="6">
        <v>140</v>
      </c>
      <c r="F13" s="18">
        <v>27638.560000000001</v>
      </c>
      <c r="G13" s="18">
        <v>56451.73</v>
      </c>
      <c r="H13" s="18">
        <v>322707.01</v>
      </c>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v>20551.330000000002</v>
      </c>
      <c r="G14" s="18"/>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v>16877.18</v>
      </c>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v>8192</v>
      </c>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2308520.65</v>
      </c>
      <c r="G19" s="38">
        <f>SUM(G9:G18)</f>
        <v>286372.40000000002</v>
      </c>
      <c r="H19" s="38">
        <f>SUM(H9:H18)</f>
        <v>322707.01</v>
      </c>
      <c r="I19" s="38">
        <f>SUM(I9:I18)</f>
        <v>0</v>
      </c>
      <c r="J19" s="38">
        <f>SUM(J9:J18)</f>
        <v>3201971.95</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c r="G22" s="18"/>
      <c r="H22" s="18">
        <v>278838.15000000002</v>
      </c>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v>16914.02</v>
      </c>
      <c r="G23" s="18"/>
      <c r="H23" s="18">
        <v>437.5</v>
      </c>
      <c r="I23" s="18"/>
      <c r="J23" s="13">
        <f>SUM(I450)</f>
        <v>76288.5</v>
      </c>
      <c r="K23" s="23" t="s">
        <v>288</v>
      </c>
      <c r="L23" s="23" t="s">
        <v>288</v>
      </c>
      <c r="M23" s="8"/>
      <c r="N23" s="165"/>
    </row>
    <row r="24" spans="1:14" s="3" customFormat="1" ht="12.2" customHeight="1" x14ac:dyDescent="0.15">
      <c r="A24" s="1" t="s">
        <v>570</v>
      </c>
      <c r="B24" s="2" t="s">
        <v>289</v>
      </c>
      <c r="C24" s="6">
        <v>14</v>
      </c>
      <c r="D24" s="2" t="s">
        <v>429</v>
      </c>
      <c r="E24" s="6">
        <v>420</v>
      </c>
      <c r="F24" s="18">
        <v>429959.8</v>
      </c>
      <c r="G24" s="18">
        <v>44392.95</v>
      </c>
      <c r="H24" s="18">
        <v>43431.360000000001</v>
      </c>
      <c r="I24" s="18"/>
      <c r="J24" s="13">
        <f>SUM(I451)</f>
        <v>6561</v>
      </c>
      <c r="K24" s="23" t="s">
        <v>288</v>
      </c>
      <c r="L24" s="23" t="s">
        <v>288</v>
      </c>
      <c r="M24" s="8"/>
      <c r="N24" s="165"/>
    </row>
    <row r="25" spans="1:14" s="3" customFormat="1" ht="12.2" customHeight="1" x14ac:dyDescent="0.15">
      <c r="A25" s="1" t="s">
        <v>574</v>
      </c>
      <c r="B25" s="2" t="s">
        <v>289</v>
      </c>
      <c r="C25" s="6">
        <v>15</v>
      </c>
      <c r="D25" s="2" t="s">
        <v>429</v>
      </c>
      <c r="E25" s="6">
        <v>430</v>
      </c>
      <c r="F25" s="18"/>
      <c r="G25" s="102">
        <v>115942.95</v>
      </c>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v>20858.03</v>
      </c>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f>1595.66+2694.6+15121.85</f>
        <v>19412.11</v>
      </c>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v>19601.75</v>
      </c>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487143.95999999996</v>
      </c>
      <c r="G32" s="38">
        <f>SUM(G22:G31)</f>
        <v>179937.65</v>
      </c>
      <c r="H32" s="38">
        <f>SUM(H22:H31)</f>
        <v>322707.01</v>
      </c>
      <c r="I32" s="38">
        <f>SUM(I22:I31)</f>
        <v>0</v>
      </c>
      <c r="J32" s="38">
        <f>SUM(J22:J31)</f>
        <v>82849.5</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v>16877.18</v>
      </c>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v>8192</v>
      </c>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f>199908.28-110350.71</f>
        <v>89557.569999999992</v>
      </c>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3119122.45</v>
      </c>
      <c r="K43" s="23" t="s">
        <v>288</v>
      </c>
      <c r="L43" s="23" t="s">
        <v>288</v>
      </c>
      <c r="M43" s="8"/>
      <c r="N43" s="165"/>
    </row>
    <row r="44" spans="1:14" s="3" customFormat="1" ht="12.2" customHeight="1" x14ac:dyDescent="0.15">
      <c r="A44" s="1" t="s">
        <v>836</v>
      </c>
      <c r="B44" s="6">
        <v>1</v>
      </c>
      <c r="C44" s="6">
        <v>30</v>
      </c>
      <c r="D44" s="2" t="s">
        <v>653</v>
      </c>
      <c r="E44" s="6">
        <v>755</v>
      </c>
      <c r="F44" s="18">
        <v>150000</v>
      </c>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v>1002799</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c r="H48" s="18"/>
      <c r="I48" s="18"/>
      <c r="J48" s="13">
        <f>SUM(I460)</f>
        <v>0</v>
      </c>
      <c r="K48" s="23" t="s">
        <v>288</v>
      </c>
      <c r="L48" s="23" t="s">
        <v>288</v>
      </c>
      <c r="M48" s="8"/>
      <c r="N48" s="165"/>
    </row>
    <row r="49" spans="1:14" s="3" customFormat="1" ht="12.2" customHeight="1" x14ac:dyDescent="0.15">
      <c r="A49" s="1" t="s">
        <v>858</v>
      </c>
      <c r="B49" s="2" t="s">
        <v>289</v>
      </c>
      <c r="C49" s="6">
        <v>34</v>
      </c>
      <c r="D49" s="2"/>
      <c r="E49" s="6">
        <v>753</v>
      </c>
      <c r="F49" s="18">
        <v>11700</v>
      </c>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f>877425.8+774058.89-1002799</f>
        <v>648685.68999999994</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1821376.69</v>
      </c>
      <c r="G51" s="38">
        <f>SUM(G35:G50)</f>
        <v>106434.75</v>
      </c>
      <c r="H51" s="38">
        <f>SUM(H35:H50)</f>
        <v>0</v>
      </c>
      <c r="I51" s="38">
        <f>SUM(I35:I50)</f>
        <v>0</v>
      </c>
      <c r="J51" s="38">
        <f>SUM(J35:J50)</f>
        <v>3119122.45</v>
      </c>
      <c r="K51" s="42" t="s">
        <v>288</v>
      </c>
      <c r="L51" s="42" t="s">
        <v>288</v>
      </c>
      <c r="N51" s="131"/>
    </row>
    <row r="52" spans="1:14" s="3" customFormat="1" ht="12.2" customHeight="1" thickTop="1" x14ac:dyDescent="0.15">
      <c r="A52" s="35" t="s">
        <v>455</v>
      </c>
      <c r="B52" s="36" t="s">
        <v>289</v>
      </c>
      <c r="C52" s="6">
        <v>37</v>
      </c>
      <c r="D52" s="36" t="s">
        <v>653</v>
      </c>
      <c r="E52" s="36"/>
      <c r="F52" s="38">
        <f>F51+F32</f>
        <v>2308520.65</v>
      </c>
      <c r="G52" s="38">
        <f>G51+G32</f>
        <v>286372.40000000002</v>
      </c>
      <c r="H52" s="38">
        <f>H51+H32</f>
        <v>322707.01</v>
      </c>
      <c r="I52" s="38">
        <f>I51+I32</f>
        <v>0</v>
      </c>
      <c r="J52" s="38">
        <f>J51+J32</f>
        <v>3201971.95</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18425052</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18425052</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v>8757.57</v>
      </c>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8757.57</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62956.22</v>
      </c>
      <c r="G96" s="18"/>
      <c r="H96" s="18"/>
      <c r="I96" s="18"/>
      <c r="J96" s="18">
        <v>139408.57</v>
      </c>
      <c r="K96" s="23" t="s">
        <v>288</v>
      </c>
      <c r="L96" s="23" t="s">
        <v>288</v>
      </c>
      <c r="M96" s="8"/>
      <c r="N96" s="165"/>
    </row>
    <row r="97" spans="1:14" s="3" customFormat="1" ht="12.2" customHeight="1" x14ac:dyDescent="0.15">
      <c r="A97" s="1" t="s">
        <v>503</v>
      </c>
      <c r="B97" s="2" t="s">
        <v>315</v>
      </c>
      <c r="C97" s="6">
        <v>12</v>
      </c>
      <c r="D97" s="2" t="s">
        <v>430</v>
      </c>
      <c r="E97" s="6">
        <v>1600</v>
      </c>
      <c r="F97" s="23" t="s">
        <v>288</v>
      </c>
      <c r="G97" s="18">
        <f>231104.4+6484.5+43754.15+182.3</f>
        <v>281525.34999999998</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v>1975</v>
      </c>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v>75</v>
      </c>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v>177181.44</v>
      </c>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f>92605.55+2000</f>
        <v>94605.55</v>
      </c>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336793.21</v>
      </c>
      <c r="G111" s="38">
        <f>SUM(G96:G110)</f>
        <v>281525.34999999998</v>
      </c>
      <c r="H111" s="38">
        <f>SUM(H96:H110)</f>
        <v>0</v>
      </c>
      <c r="I111" s="38">
        <f>SUM(I96:I110)</f>
        <v>0</v>
      </c>
      <c r="J111" s="38">
        <f>SUM(J96:J110)</f>
        <v>139408.57</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18770602.780000001</v>
      </c>
      <c r="G112" s="38">
        <f>G60+G111</f>
        <v>281525.34999999998</v>
      </c>
      <c r="H112" s="38">
        <f>H60+H79+H94+H111</f>
        <v>0</v>
      </c>
      <c r="I112" s="38">
        <f>I60+I111</f>
        <v>0</v>
      </c>
      <c r="J112" s="38">
        <f>J60+J111</f>
        <v>139408.57</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5676769.21</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1630933</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164387.99</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7472090.2000000002</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763856.71</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v>34315.89</v>
      </c>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v>4276.3999999999996</v>
      </c>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v>4191.82</v>
      </c>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f>6910.62+2097.57</f>
        <v>9008.19</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f>67126.5+82025.5+60699+29029</f>
        <v>238880</v>
      </c>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802449</v>
      </c>
      <c r="G136" s="38">
        <f>SUM(G123:G135)</f>
        <v>9008.19</v>
      </c>
      <c r="H136" s="38">
        <f>SUM(H123:H135)</f>
        <v>243071.82</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8274539.2000000002</v>
      </c>
      <c r="G140" s="38">
        <f>G121+SUM(G136:G137)</f>
        <v>9008.19</v>
      </c>
      <c r="H140" s="38">
        <f>H121+SUM(H136:H139)</f>
        <v>243071.82</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f>2975.45+378453.33</f>
        <v>381428.78</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f>37125.78+1912.52+47387.5+34.76+5547.03</f>
        <v>92007.589999999982</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f>45056.27+196878.12+49574.33+52192.46</f>
        <v>343701.18</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f>6159.31+11774.95+8311.33+239078.69</f>
        <v>265324.28000000003</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161681.12</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v>16452.3</v>
      </c>
      <c r="H161" s="18"/>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f>7250+36999.73+775973.85</f>
        <v>820223.58</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161681.12</v>
      </c>
      <c r="G163" s="38">
        <f>SUM(G150:G162)</f>
        <v>360153.48</v>
      </c>
      <c r="H163" s="38">
        <f>SUM(H150:H162)</f>
        <v>1558984.23</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161681.12</v>
      </c>
      <c r="G170" s="38">
        <f>G147+G163+SUM(G164:G169)</f>
        <v>360153.48</v>
      </c>
      <c r="H170" s="38">
        <f>H147+H163+SUM(H164:H169)</f>
        <v>1558984.23</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c r="H180" s="18"/>
      <c r="I180" s="18"/>
      <c r="J180" s="18">
        <v>375000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v>30468.39</v>
      </c>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30468.39</v>
      </c>
      <c r="G184" s="38">
        <f>SUM(G180:G183)</f>
        <v>0</v>
      </c>
      <c r="H184" s="38">
        <f>SUM(H180:H183)</f>
        <v>0</v>
      </c>
      <c r="I184" s="38">
        <f>SUM(I180:I183)</f>
        <v>0</v>
      </c>
      <c r="J184" s="38">
        <f>SUM(J180:J183)</f>
        <v>375000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30468.39</v>
      </c>
      <c r="G193" s="38">
        <f>G184+SUM(G189:G192)</f>
        <v>0</v>
      </c>
      <c r="H193" s="38">
        <f>+H184+SUM(H189:H192)</f>
        <v>0</v>
      </c>
      <c r="I193" s="38">
        <f>I178+I184+SUM(I189:I192)</f>
        <v>0</v>
      </c>
      <c r="J193" s="38">
        <f>J184</f>
        <v>375000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27237291.490000002</v>
      </c>
      <c r="G194" s="38">
        <f>G112+G140+G170+G193</f>
        <v>650687.02</v>
      </c>
      <c r="H194" s="38">
        <f>H112+H140+H170+H193</f>
        <v>1802056.05</v>
      </c>
      <c r="I194" s="38">
        <f>I112+I140+I170+I193</f>
        <v>0</v>
      </c>
      <c r="J194" s="38">
        <f>J112+J140+J193</f>
        <v>514408.57</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2908357.1999999997</v>
      </c>
      <c r="G198" s="18">
        <v>1617659.62</v>
      </c>
      <c r="H198" s="18">
        <v>15502.369999999999</v>
      </c>
      <c r="I198" s="18">
        <v>87055.800000000017</v>
      </c>
      <c r="J198" s="18">
        <v>9930.82</v>
      </c>
      <c r="K198" s="18">
        <v>0</v>
      </c>
      <c r="L198" s="13">
        <f>SUM(F198:K198)</f>
        <v>4638505.8100000005</v>
      </c>
      <c r="M198" s="8"/>
      <c r="N198" s="165"/>
    </row>
    <row r="199" spans="1:14" s="3" customFormat="1" ht="12.2" customHeight="1" x14ac:dyDescent="0.15">
      <c r="A199" s="1" t="s">
        <v>439</v>
      </c>
      <c r="B199" s="2" t="s">
        <v>341</v>
      </c>
      <c r="C199" s="2" t="s">
        <v>291</v>
      </c>
      <c r="D199" s="2" t="s">
        <v>431</v>
      </c>
      <c r="E199" s="6">
        <v>1200</v>
      </c>
      <c r="F199" s="18">
        <v>1481148.3599999999</v>
      </c>
      <c r="G199" s="18">
        <v>721135.41999999981</v>
      </c>
      <c r="H199" s="18">
        <v>411300.56</v>
      </c>
      <c r="I199" s="18">
        <v>23565.339999999993</v>
      </c>
      <c r="J199" s="18">
        <v>11728.369999999999</v>
      </c>
      <c r="K199" s="18">
        <v>7699.93</v>
      </c>
      <c r="L199" s="13">
        <f>SUM(F199:K199)</f>
        <v>2656577.98</v>
      </c>
      <c r="M199" s="8"/>
      <c r="N199" s="1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5"/>
    </row>
    <row r="201" spans="1:14" s="3" customFormat="1" ht="12.2" customHeight="1" x14ac:dyDescent="0.15">
      <c r="A201" s="1" t="s">
        <v>441</v>
      </c>
      <c r="B201" s="2" t="s">
        <v>341</v>
      </c>
      <c r="C201" s="2" t="s">
        <v>293</v>
      </c>
      <c r="D201" s="2" t="s">
        <v>431</v>
      </c>
      <c r="E201" s="6">
        <v>1400</v>
      </c>
      <c r="F201" s="18">
        <v>134530.65</v>
      </c>
      <c r="G201" s="18">
        <v>36913.429999999993</v>
      </c>
      <c r="H201" s="18">
        <v>0</v>
      </c>
      <c r="I201" s="18">
        <v>1139.5</v>
      </c>
      <c r="J201" s="18">
        <v>0</v>
      </c>
      <c r="K201" s="18">
        <v>350</v>
      </c>
      <c r="L201" s="13">
        <f>SUM(F201:K201)</f>
        <v>172933.58</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387387.35</v>
      </c>
      <c r="G203" s="18">
        <v>230494.56</v>
      </c>
      <c r="H203" s="18">
        <v>311018.55</v>
      </c>
      <c r="I203" s="18">
        <v>9171.85</v>
      </c>
      <c r="J203" s="18">
        <v>0</v>
      </c>
      <c r="K203" s="18">
        <v>50</v>
      </c>
      <c r="L203" s="13">
        <f t="shared" ref="L203:L209" si="0">SUM(F203:K203)</f>
        <v>938122.30999999994</v>
      </c>
      <c r="M203" s="8"/>
      <c r="N203" s="165"/>
    </row>
    <row r="204" spans="1:14" s="3" customFormat="1" ht="12.2" customHeight="1" x14ac:dyDescent="0.15">
      <c r="A204" s="1" t="s">
        <v>443</v>
      </c>
      <c r="B204" s="2" t="s">
        <v>341</v>
      </c>
      <c r="C204" s="2" t="s">
        <v>295</v>
      </c>
      <c r="D204" s="2" t="s">
        <v>431</v>
      </c>
      <c r="E204" s="6">
        <v>2200</v>
      </c>
      <c r="F204" s="18">
        <v>191219.62</v>
      </c>
      <c r="G204" s="18">
        <v>72725.789999999994</v>
      </c>
      <c r="H204" s="18">
        <v>21534.18</v>
      </c>
      <c r="I204" s="18">
        <v>19409.04</v>
      </c>
      <c r="J204" s="18">
        <v>0</v>
      </c>
      <c r="K204" s="18">
        <v>1057.3699999999999</v>
      </c>
      <c r="L204" s="13">
        <f t="shared" si="0"/>
        <v>305945.99999999994</v>
      </c>
      <c r="M204" s="8"/>
      <c r="N204" s="165"/>
    </row>
    <row r="205" spans="1:14" s="3" customFormat="1" ht="12.2" customHeight="1" x14ac:dyDescent="0.15">
      <c r="A205" s="1" t="s">
        <v>444</v>
      </c>
      <c r="B205" s="2" t="s">
        <v>341</v>
      </c>
      <c r="C205" s="2" t="s">
        <v>296</v>
      </c>
      <c r="D205" s="2" t="s">
        <v>431</v>
      </c>
      <c r="E205" s="6">
        <v>2300</v>
      </c>
      <c r="F205" s="18">
        <v>157998.26999999999</v>
      </c>
      <c r="G205" s="18">
        <v>69791.34</v>
      </c>
      <c r="H205" s="18">
        <v>49490.44</v>
      </c>
      <c r="I205" s="18">
        <v>75.989999999999995</v>
      </c>
      <c r="J205" s="18">
        <v>0</v>
      </c>
      <c r="K205" s="18">
        <v>5961.52</v>
      </c>
      <c r="L205" s="13">
        <f t="shared" si="0"/>
        <v>283317.56</v>
      </c>
      <c r="M205" s="8"/>
      <c r="N205" s="165"/>
    </row>
    <row r="206" spans="1:14" s="3" customFormat="1" ht="12.2" customHeight="1" x14ac:dyDescent="0.15">
      <c r="A206" s="1" t="s">
        <v>445</v>
      </c>
      <c r="B206" s="2" t="s">
        <v>341</v>
      </c>
      <c r="C206" s="2" t="s">
        <v>297</v>
      </c>
      <c r="D206" s="2" t="s">
        <v>431</v>
      </c>
      <c r="E206" s="6">
        <v>2400</v>
      </c>
      <c r="F206" s="18">
        <v>463094.4</v>
      </c>
      <c r="G206" s="18">
        <v>257645.72999999998</v>
      </c>
      <c r="H206" s="18">
        <v>8323.41</v>
      </c>
      <c r="I206" s="18">
        <v>3875.7</v>
      </c>
      <c r="J206" s="18">
        <v>0</v>
      </c>
      <c r="K206" s="18">
        <v>4234.5</v>
      </c>
      <c r="L206" s="13">
        <f t="shared" si="0"/>
        <v>737173.74</v>
      </c>
      <c r="M206" s="8"/>
      <c r="N206" s="165"/>
    </row>
    <row r="207" spans="1:14" s="3" customFormat="1" ht="12.2" customHeight="1" x14ac:dyDescent="0.15">
      <c r="A207" s="1" t="s">
        <v>446</v>
      </c>
      <c r="B207" s="2" t="s">
        <v>341</v>
      </c>
      <c r="C207" s="2" t="s">
        <v>298</v>
      </c>
      <c r="D207" s="2" t="s">
        <v>431</v>
      </c>
      <c r="E207" s="6">
        <v>2500</v>
      </c>
      <c r="F207" s="18">
        <v>207171.22</v>
      </c>
      <c r="G207" s="18">
        <v>99976.17</v>
      </c>
      <c r="H207" s="18">
        <v>16248.24</v>
      </c>
      <c r="I207" s="18">
        <v>1858.08</v>
      </c>
      <c r="J207" s="18">
        <v>1228.3699999999999</v>
      </c>
      <c r="K207" s="18">
        <v>24113.63</v>
      </c>
      <c r="L207" s="13">
        <f t="shared" si="0"/>
        <v>350595.71</v>
      </c>
      <c r="M207" s="8"/>
      <c r="N207" s="165"/>
    </row>
    <row r="208" spans="1:14" s="3" customFormat="1" ht="12.2" customHeight="1" x14ac:dyDescent="0.15">
      <c r="A208" s="1" t="s">
        <v>447</v>
      </c>
      <c r="B208" s="2" t="s">
        <v>341</v>
      </c>
      <c r="C208" s="2" t="s">
        <v>299</v>
      </c>
      <c r="D208" s="2" t="s">
        <v>431</v>
      </c>
      <c r="E208" s="6">
        <v>2600</v>
      </c>
      <c r="F208" s="18">
        <v>369557.05000000005</v>
      </c>
      <c r="G208" s="18">
        <v>160828.53</v>
      </c>
      <c r="H208" s="18">
        <v>411028.43000000005</v>
      </c>
      <c r="I208" s="18">
        <v>260137.91</v>
      </c>
      <c r="J208" s="18">
        <v>147377.74</v>
      </c>
      <c r="K208" s="18">
        <v>0</v>
      </c>
      <c r="L208" s="13">
        <f t="shared" si="0"/>
        <v>1348929.6600000001</v>
      </c>
      <c r="M208" s="8"/>
      <c r="N208" s="165"/>
    </row>
    <row r="209" spans="1:14" s="3" customFormat="1" ht="12.2" customHeight="1" x14ac:dyDescent="0.15">
      <c r="A209" s="1" t="s">
        <v>448</v>
      </c>
      <c r="B209" s="2" t="s">
        <v>341</v>
      </c>
      <c r="C209" s="2" t="s">
        <v>300</v>
      </c>
      <c r="D209" s="2" t="s">
        <v>431</v>
      </c>
      <c r="E209" s="6">
        <v>2700</v>
      </c>
      <c r="F209" s="18">
        <v>0</v>
      </c>
      <c r="G209" s="18">
        <v>0</v>
      </c>
      <c r="H209" s="18">
        <v>566831.80000000005</v>
      </c>
      <c r="I209" s="18">
        <v>73644.28</v>
      </c>
      <c r="J209" s="18">
        <v>0</v>
      </c>
      <c r="K209" s="18">
        <v>0</v>
      </c>
      <c r="L209" s="13">
        <f t="shared" si="0"/>
        <v>640476.08000000007</v>
      </c>
      <c r="M209" s="8"/>
      <c r="N209" s="165"/>
    </row>
    <row r="210" spans="1:14" s="3" customFormat="1" ht="12.2" customHeight="1" x14ac:dyDescent="0.15">
      <c r="A210" s="1" t="s">
        <v>449</v>
      </c>
      <c r="B210" s="2" t="s">
        <v>341</v>
      </c>
      <c r="C210" s="2" t="s">
        <v>343</v>
      </c>
      <c r="D210" s="2" t="s">
        <v>431</v>
      </c>
      <c r="E210" s="6">
        <v>2800</v>
      </c>
      <c r="F210" s="18">
        <v>86359.71</v>
      </c>
      <c r="G210" s="18">
        <v>33457.53</v>
      </c>
      <c r="H210" s="18">
        <v>49391.76</v>
      </c>
      <c r="I210" s="18">
        <v>109510.03</v>
      </c>
      <c r="J210" s="18">
        <v>112558.85</v>
      </c>
      <c r="K210" s="18">
        <v>0</v>
      </c>
      <c r="L210" s="13">
        <f>SUM(F210:K210)</f>
        <v>391277.88</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6386823.8299999991</v>
      </c>
      <c r="G212" s="38">
        <f t="shared" si="1"/>
        <v>3300628.1199999996</v>
      </c>
      <c r="H212" s="38">
        <f t="shared" si="1"/>
        <v>1860669.7400000002</v>
      </c>
      <c r="I212" s="38">
        <f t="shared" si="1"/>
        <v>589443.52</v>
      </c>
      <c r="J212" s="38">
        <f t="shared" si="1"/>
        <v>282824.15000000002</v>
      </c>
      <c r="K212" s="38">
        <f t="shared" si="1"/>
        <v>43466.95</v>
      </c>
      <c r="L212" s="38">
        <f t="shared" si="1"/>
        <v>12463856.310000004</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v>1057938.3500000001</v>
      </c>
      <c r="G216" s="18">
        <v>563339.96999999986</v>
      </c>
      <c r="H216" s="18">
        <v>4543.41</v>
      </c>
      <c r="I216" s="18">
        <v>27402.59</v>
      </c>
      <c r="J216" s="18">
        <v>2009.85</v>
      </c>
      <c r="K216" s="18">
        <v>2500</v>
      </c>
      <c r="L216" s="13">
        <f>SUM(F216:K216)</f>
        <v>1657734.17</v>
      </c>
      <c r="M216" s="8"/>
      <c r="N216" s="165"/>
    </row>
    <row r="217" spans="1:14" s="3" customFormat="1" ht="12.2" customHeight="1" x14ac:dyDescent="0.15">
      <c r="A217" s="1" t="s">
        <v>439</v>
      </c>
      <c r="B217" s="2" t="s">
        <v>346</v>
      </c>
      <c r="C217" s="2" t="s">
        <v>291</v>
      </c>
      <c r="D217" s="2" t="s">
        <v>431</v>
      </c>
      <c r="E217" s="6">
        <v>1200</v>
      </c>
      <c r="F217" s="18">
        <v>499419.59</v>
      </c>
      <c r="G217" s="18">
        <v>287614.37</v>
      </c>
      <c r="H217" s="18">
        <v>420748.20999999996</v>
      </c>
      <c r="I217" s="18">
        <v>1835.81</v>
      </c>
      <c r="J217" s="18">
        <v>4135.74</v>
      </c>
      <c r="K217" s="18">
        <v>3563.51</v>
      </c>
      <c r="L217" s="13">
        <f>SUM(F217:K217)</f>
        <v>1217317.23</v>
      </c>
      <c r="M217" s="8"/>
      <c r="N217" s="165"/>
    </row>
    <row r="218" spans="1:14" s="3" customFormat="1" ht="12.2" customHeight="1" x14ac:dyDescent="0.15">
      <c r="A218" s="1" t="s">
        <v>440</v>
      </c>
      <c r="B218" s="2" t="s">
        <v>346</v>
      </c>
      <c r="C218" s="2" t="s">
        <v>292</v>
      </c>
      <c r="D218" s="2" t="s">
        <v>431</v>
      </c>
      <c r="E218" s="6">
        <v>1300</v>
      </c>
      <c r="F218" s="18">
        <v>150850.56</v>
      </c>
      <c r="G218" s="18">
        <v>65751.210000000006</v>
      </c>
      <c r="H218" s="18">
        <v>0</v>
      </c>
      <c r="I218" s="18">
        <v>17658.78</v>
      </c>
      <c r="J218" s="18">
        <v>399.97</v>
      </c>
      <c r="K218" s="18">
        <v>950</v>
      </c>
      <c r="L218" s="13">
        <f>SUM(F218:K218)</f>
        <v>235610.52000000002</v>
      </c>
      <c r="M218" s="8"/>
      <c r="N218" s="165"/>
    </row>
    <row r="219" spans="1:14" s="3" customFormat="1" ht="12.2" customHeight="1" x14ac:dyDescent="0.15">
      <c r="A219" s="1" t="s">
        <v>441</v>
      </c>
      <c r="B219" s="2" t="s">
        <v>346</v>
      </c>
      <c r="C219" s="2" t="s">
        <v>293</v>
      </c>
      <c r="D219" s="2" t="s">
        <v>431</v>
      </c>
      <c r="E219" s="6">
        <v>1400</v>
      </c>
      <c r="F219" s="18">
        <v>63275.159999999996</v>
      </c>
      <c r="G219" s="18">
        <v>16476.96</v>
      </c>
      <c r="H219" s="18">
        <v>6250</v>
      </c>
      <c r="I219" s="18">
        <v>6534.33</v>
      </c>
      <c r="J219" s="18">
        <v>0</v>
      </c>
      <c r="K219" s="18">
        <v>1481.25</v>
      </c>
      <c r="L219" s="13">
        <f>SUM(F219:K219)</f>
        <v>94017.7</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v>273355.07</v>
      </c>
      <c r="G221" s="18">
        <v>157829.56</v>
      </c>
      <c r="H221" s="18">
        <v>105326.29</v>
      </c>
      <c r="I221" s="18">
        <v>1415.3</v>
      </c>
      <c r="J221" s="18">
        <v>0</v>
      </c>
      <c r="K221" s="18">
        <v>0</v>
      </c>
      <c r="L221" s="13">
        <f t="shared" ref="L221:L227" si="2">SUM(F221:K221)</f>
        <v>537926.22000000009</v>
      </c>
      <c r="M221" s="8"/>
      <c r="N221" s="165"/>
    </row>
    <row r="222" spans="1:14" s="3" customFormat="1" ht="12.2" customHeight="1" x14ac:dyDescent="0.15">
      <c r="A222" s="1" t="s">
        <v>443</v>
      </c>
      <c r="B222" s="2" t="s">
        <v>346</v>
      </c>
      <c r="C222" s="2" t="s">
        <v>295</v>
      </c>
      <c r="D222" s="2" t="s">
        <v>431</v>
      </c>
      <c r="E222" s="6">
        <v>2200</v>
      </c>
      <c r="F222" s="18">
        <v>61047.72</v>
      </c>
      <c r="G222" s="18">
        <v>21421.15</v>
      </c>
      <c r="H222" s="18">
        <v>9965.98</v>
      </c>
      <c r="I222" s="18">
        <v>12355.63</v>
      </c>
      <c r="J222" s="18">
        <v>0</v>
      </c>
      <c r="K222" s="18">
        <v>489.35</v>
      </c>
      <c r="L222" s="13">
        <f t="shared" si="2"/>
        <v>105279.83</v>
      </c>
      <c r="M222" s="8"/>
      <c r="N222" s="165"/>
    </row>
    <row r="223" spans="1:14" s="3" customFormat="1" ht="12.2" customHeight="1" x14ac:dyDescent="0.15">
      <c r="A223" s="1" t="s">
        <v>444</v>
      </c>
      <c r="B223" s="2" t="s">
        <v>346</v>
      </c>
      <c r="C223" s="2" t="s">
        <v>296</v>
      </c>
      <c r="D223" s="2" t="s">
        <v>431</v>
      </c>
      <c r="E223" s="6">
        <v>2300</v>
      </c>
      <c r="F223" s="18">
        <v>73121.33</v>
      </c>
      <c r="G223" s="18">
        <v>32299.31</v>
      </c>
      <c r="H223" s="18">
        <v>22904.09</v>
      </c>
      <c r="I223" s="18">
        <v>35.17</v>
      </c>
      <c r="J223" s="18">
        <v>0</v>
      </c>
      <c r="K223" s="18">
        <v>2758.98</v>
      </c>
      <c r="L223" s="13">
        <f t="shared" si="2"/>
        <v>131118.88</v>
      </c>
      <c r="M223" s="8"/>
      <c r="N223" s="165"/>
    </row>
    <row r="224" spans="1:14" s="3" customFormat="1" ht="12.2" customHeight="1" x14ac:dyDescent="0.15">
      <c r="A224" s="1" t="s">
        <v>445</v>
      </c>
      <c r="B224" s="2" t="s">
        <v>346</v>
      </c>
      <c r="C224" s="2" t="s">
        <v>297</v>
      </c>
      <c r="D224" s="2" t="s">
        <v>431</v>
      </c>
      <c r="E224" s="6">
        <v>2400</v>
      </c>
      <c r="F224" s="18">
        <v>237060.54</v>
      </c>
      <c r="G224" s="18">
        <v>121416.65000000001</v>
      </c>
      <c r="H224" s="18">
        <v>4101.1499999999996</v>
      </c>
      <c r="I224" s="18">
        <v>306.09999999999997</v>
      </c>
      <c r="J224" s="18">
        <v>0</v>
      </c>
      <c r="K224" s="18">
        <v>536.53</v>
      </c>
      <c r="L224" s="13">
        <f t="shared" si="2"/>
        <v>363420.97000000003</v>
      </c>
      <c r="M224" s="8"/>
      <c r="N224" s="165"/>
    </row>
    <row r="225" spans="1:14" s="3" customFormat="1" ht="12.2" customHeight="1" x14ac:dyDescent="0.15">
      <c r="A225" s="1" t="s">
        <v>446</v>
      </c>
      <c r="B225" s="2" t="s">
        <v>346</v>
      </c>
      <c r="C225" s="2" t="s">
        <v>298</v>
      </c>
      <c r="D225" s="2" t="s">
        <v>431</v>
      </c>
      <c r="E225" s="6">
        <v>2500</v>
      </c>
      <c r="F225" s="18">
        <v>95878.48</v>
      </c>
      <c r="G225" s="18">
        <v>46268.800000000003</v>
      </c>
      <c r="H225" s="18">
        <v>7519.66</v>
      </c>
      <c r="I225" s="18">
        <v>859.92</v>
      </c>
      <c r="J225" s="18">
        <v>568.49</v>
      </c>
      <c r="K225" s="18">
        <v>11159.74</v>
      </c>
      <c r="L225" s="13">
        <f t="shared" si="2"/>
        <v>162255.09</v>
      </c>
      <c r="M225" s="8"/>
      <c r="N225" s="165"/>
    </row>
    <row r="226" spans="1:14" s="3" customFormat="1" ht="12.2" customHeight="1" x14ac:dyDescent="0.15">
      <c r="A226" s="1" t="s">
        <v>447</v>
      </c>
      <c r="B226" s="2" t="s">
        <v>346</v>
      </c>
      <c r="C226" s="2" t="s">
        <v>299</v>
      </c>
      <c r="D226" s="2" t="s">
        <v>431</v>
      </c>
      <c r="E226" s="6">
        <v>2600</v>
      </c>
      <c r="F226" s="18">
        <v>190561.52</v>
      </c>
      <c r="G226" s="18">
        <v>71873.84</v>
      </c>
      <c r="H226" s="18">
        <v>191388.44999999998</v>
      </c>
      <c r="I226" s="18">
        <v>133657.84000000003</v>
      </c>
      <c r="J226" s="18">
        <v>21870.260000000002</v>
      </c>
      <c r="K226" s="18">
        <v>0</v>
      </c>
      <c r="L226" s="13">
        <f t="shared" si="2"/>
        <v>609351.90999999992</v>
      </c>
      <c r="M226" s="8"/>
      <c r="N226" s="165"/>
    </row>
    <row r="227" spans="1:14" s="3" customFormat="1" ht="12.2" customHeight="1" x14ac:dyDescent="0.15">
      <c r="A227" s="1" t="s">
        <v>448</v>
      </c>
      <c r="B227" s="2" t="s">
        <v>346</v>
      </c>
      <c r="C227" s="2" t="s">
        <v>300</v>
      </c>
      <c r="D227" s="2" t="s">
        <v>431</v>
      </c>
      <c r="E227" s="6">
        <v>2700</v>
      </c>
      <c r="F227" s="18">
        <v>0</v>
      </c>
      <c r="G227" s="18">
        <v>0</v>
      </c>
      <c r="H227" s="18">
        <v>233130.41000000003</v>
      </c>
      <c r="I227" s="18">
        <v>34082.44</v>
      </c>
      <c r="J227" s="18">
        <v>0</v>
      </c>
      <c r="K227" s="18">
        <v>0</v>
      </c>
      <c r="L227" s="13">
        <f t="shared" si="2"/>
        <v>267212.85000000003</v>
      </c>
      <c r="M227" s="8"/>
      <c r="N227" s="165"/>
    </row>
    <row r="228" spans="1:14" s="3" customFormat="1" ht="12.2" customHeight="1" x14ac:dyDescent="0.15">
      <c r="A228" s="1" t="s">
        <v>449</v>
      </c>
      <c r="B228" s="2" t="s">
        <v>346</v>
      </c>
      <c r="C228" s="2" t="s">
        <v>343</v>
      </c>
      <c r="D228" s="2" t="s">
        <v>431</v>
      </c>
      <c r="E228" s="6">
        <v>2800</v>
      </c>
      <c r="F228" s="18">
        <v>39967.120000000003</v>
      </c>
      <c r="G228" s="18">
        <v>15484.09</v>
      </c>
      <c r="H228" s="18">
        <v>22858.42</v>
      </c>
      <c r="I228" s="18">
        <v>46281.950000000004</v>
      </c>
      <c r="J228" s="18">
        <v>51702.17</v>
      </c>
      <c r="K228" s="18">
        <v>0</v>
      </c>
      <c r="L228" s="13">
        <f>SUM(F228:K228)</f>
        <v>176293.75</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2742475.4400000004</v>
      </c>
      <c r="G230" s="38">
        <f>SUM(G216:G229)</f>
        <v>1399775.91</v>
      </c>
      <c r="H230" s="38">
        <f>SUM(H216:H229)</f>
        <v>1028736.07</v>
      </c>
      <c r="I230" s="38">
        <f>SUM(I216:I229)</f>
        <v>282425.86000000004</v>
      </c>
      <c r="J230" s="38">
        <f>SUM(J216:J229)</f>
        <v>80686.48</v>
      </c>
      <c r="K230" s="38">
        <f t="shared" si="3"/>
        <v>23439.360000000001</v>
      </c>
      <c r="L230" s="38">
        <f t="shared" si="3"/>
        <v>5557539.1200000001</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v>1221948.7199999997</v>
      </c>
      <c r="G234" s="18">
        <v>617149.11999999988</v>
      </c>
      <c r="H234" s="18">
        <v>4014.12</v>
      </c>
      <c r="I234" s="18">
        <v>36898.449999999997</v>
      </c>
      <c r="J234" s="18">
        <v>8107.1</v>
      </c>
      <c r="K234" s="18">
        <v>6880</v>
      </c>
      <c r="L234" s="13">
        <f>SUM(F234:K234)</f>
        <v>1894997.5099999998</v>
      </c>
      <c r="M234" s="8"/>
      <c r="N234" s="165"/>
    </row>
    <row r="235" spans="1:14" s="3" customFormat="1" ht="12.2" customHeight="1" x14ac:dyDescent="0.15">
      <c r="A235" s="1" t="s">
        <v>439</v>
      </c>
      <c r="B235" s="2" t="s">
        <v>350</v>
      </c>
      <c r="C235" s="2" t="s">
        <v>291</v>
      </c>
      <c r="D235" s="2" t="s">
        <v>431</v>
      </c>
      <c r="E235" s="6">
        <v>1200</v>
      </c>
      <c r="F235" s="18">
        <v>608615.59000000008</v>
      </c>
      <c r="G235" s="18">
        <v>313136.8</v>
      </c>
      <c r="H235" s="18">
        <v>1085624.19</v>
      </c>
      <c r="I235" s="18">
        <v>1567.5700000000002</v>
      </c>
      <c r="J235" s="18">
        <v>4219.67</v>
      </c>
      <c r="K235" s="18">
        <v>4577.99</v>
      </c>
      <c r="L235" s="13">
        <f>SUM(F235:K235)</f>
        <v>2017741.81</v>
      </c>
      <c r="M235" s="8"/>
      <c r="N235" s="165"/>
    </row>
    <row r="236" spans="1:14" s="3" customFormat="1" ht="12.2" customHeight="1" x14ac:dyDescent="0.15">
      <c r="A236" s="1" t="s">
        <v>440</v>
      </c>
      <c r="B236" s="2" t="s">
        <v>350</v>
      </c>
      <c r="C236" s="2" t="s">
        <v>292</v>
      </c>
      <c r="D236" s="2" t="s">
        <v>431</v>
      </c>
      <c r="E236" s="6">
        <v>1300</v>
      </c>
      <c r="F236" s="18">
        <v>139380.87</v>
      </c>
      <c r="G236" s="18">
        <v>62323.430000000008</v>
      </c>
      <c r="H236" s="18">
        <v>40406.69</v>
      </c>
      <c r="I236" s="18">
        <v>3699.05</v>
      </c>
      <c r="J236" s="18">
        <v>1437.85</v>
      </c>
      <c r="K236" s="18">
        <v>5459</v>
      </c>
      <c r="L236" s="13">
        <f>SUM(F236:K236)</f>
        <v>252706.88999999998</v>
      </c>
      <c r="M236" s="8"/>
      <c r="N236" s="165"/>
    </row>
    <row r="237" spans="1:14" s="3" customFormat="1" ht="12.2" customHeight="1" x14ac:dyDescent="0.15">
      <c r="A237" s="1" t="s">
        <v>441</v>
      </c>
      <c r="B237" s="2" t="s">
        <v>350</v>
      </c>
      <c r="C237" s="2" t="s">
        <v>293</v>
      </c>
      <c r="D237" s="2" t="s">
        <v>431</v>
      </c>
      <c r="E237" s="6">
        <v>1400</v>
      </c>
      <c r="F237" s="18">
        <v>141122.23000000001</v>
      </c>
      <c r="G237" s="18">
        <v>26149.08</v>
      </c>
      <c r="H237" s="18">
        <v>24247.74</v>
      </c>
      <c r="I237" s="18">
        <v>23785.81</v>
      </c>
      <c r="J237" s="18">
        <v>1814.92</v>
      </c>
      <c r="K237" s="18">
        <v>11546.25</v>
      </c>
      <c r="L237" s="13">
        <f>SUM(F237:K237)</f>
        <v>228666.03</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v>391553.29000000004</v>
      </c>
      <c r="G239" s="18">
        <v>201064.75</v>
      </c>
      <c r="H239" s="18">
        <v>104581.18</v>
      </c>
      <c r="I239" s="18">
        <v>22666.84</v>
      </c>
      <c r="J239" s="18">
        <v>0</v>
      </c>
      <c r="K239" s="18">
        <v>189</v>
      </c>
      <c r="L239" s="13">
        <f t="shared" ref="L239:L245" si="4">SUM(F239:K239)</f>
        <v>720055.05999999994</v>
      </c>
      <c r="M239" s="8"/>
      <c r="N239" s="165"/>
    </row>
    <row r="240" spans="1:14" s="3" customFormat="1" ht="12.2" customHeight="1" x14ac:dyDescent="0.15">
      <c r="A240" s="1" t="s">
        <v>443</v>
      </c>
      <c r="B240" s="2" t="s">
        <v>350</v>
      </c>
      <c r="C240" s="2" t="s">
        <v>295</v>
      </c>
      <c r="D240" s="2" t="s">
        <v>431</v>
      </c>
      <c r="E240" s="6">
        <v>2200</v>
      </c>
      <c r="F240" s="18">
        <v>66627.06</v>
      </c>
      <c r="G240" s="18">
        <v>22937.49</v>
      </c>
      <c r="H240" s="18">
        <v>12489.92</v>
      </c>
      <c r="I240" s="18">
        <v>17400.54</v>
      </c>
      <c r="J240" s="18">
        <v>0</v>
      </c>
      <c r="K240" s="18">
        <v>613.28</v>
      </c>
      <c r="L240" s="13">
        <f t="shared" si="4"/>
        <v>120068.29000000001</v>
      </c>
      <c r="M240" s="8"/>
      <c r="N240" s="165"/>
    </row>
    <row r="241" spans="1:14" s="3" customFormat="1" ht="12.2" customHeight="1" x14ac:dyDescent="0.15">
      <c r="A241" s="1" t="s">
        <v>444</v>
      </c>
      <c r="B241" s="2" t="s">
        <v>350</v>
      </c>
      <c r="C241" s="2" t="s">
        <v>296</v>
      </c>
      <c r="D241" s="2" t="s">
        <v>431</v>
      </c>
      <c r="E241" s="6">
        <v>2300</v>
      </c>
      <c r="F241" s="18">
        <v>91639.64</v>
      </c>
      <c r="G241" s="18">
        <v>40479.26</v>
      </c>
      <c r="H241" s="18">
        <v>28704.65</v>
      </c>
      <c r="I241" s="18">
        <v>44.08</v>
      </c>
      <c r="J241" s="18">
        <v>0</v>
      </c>
      <c r="K241" s="18">
        <v>3457.7</v>
      </c>
      <c r="L241" s="13">
        <f t="shared" si="4"/>
        <v>164325.32999999999</v>
      </c>
      <c r="M241" s="8"/>
      <c r="N241" s="165"/>
    </row>
    <row r="242" spans="1:14" s="3" customFormat="1" ht="12.2" customHeight="1" x14ac:dyDescent="0.15">
      <c r="A242" s="1" t="s">
        <v>445</v>
      </c>
      <c r="B242" s="2" t="s">
        <v>350</v>
      </c>
      <c r="C242" s="2" t="s">
        <v>297</v>
      </c>
      <c r="D242" s="2" t="s">
        <v>431</v>
      </c>
      <c r="E242" s="6">
        <v>2400</v>
      </c>
      <c r="F242" s="18">
        <v>240567.11000000002</v>
      </c>
      <c r="G242" s="18">
        <v>122513.73</v>
      </c>
      <c r="H242" s="18">
        <v>13129.240000000002</v>
      </c>
      <c r="I242" s="18">
        <v>2870.38</v>
      </c>
      <c r="J242" s="18">
        <v>0</v>
      </c>
      <c r="K242" s="18">
        <v>1982.72</v>
      </c>
      <c r="L242" s="13">
        <f t="shared" si="4"/>
        <v>381063.18</v>
      </c>
      <c r="M242" s="8"/>
      <c r="N242" s="165"/>
    </row>
    <row r="243" spans="1:14" s="3" customFormat="1" ht="12.2" customHeight="1" x14ac:dyDescent="0.15">
      <c r="A243" s="1" t="s">
        <v>446</v>
      </c>
      <c r="B243" s="2" t="s">
        <v>350</v>
      </c>
      <c r="C243" s="2" t="s">
        <v>298</v>
      </c>
      <c r="D243" s="2" t="s">
        <v>431</v>
      </c>
      <c r="E243" s="6">
        <v>2500</v>
      </c>
      <c r="F243" s="18">
        <v>120160.15</v>
      </c>
      <c r="G243" s="18">
        <v>57986.58</v>
      </c>
      <c r="H243" s="18">
        <v>9424.0499999999993</v>
      </c>
      <c r="I243" s="18">
        <v>1077.69</v>
      </c>
      <c r="J243" s="18">
        <v>712.46</v>
      </c>
      <c r="K243" s="18">
        <v>13986</v>
      </c>
      <c r="L243" s="13">
        <f t="shared" si="4"/>
        <v>203346.92999999996</v>
      </c>
      <c r="M243" s="8"/>
      <c r="N243" s="165"/>
    </row>
    <row r="244" spans="1:14" s="3" customFormat="1" ht="12.2" customHeight="1" x14ac:dyDescent="0.15">
      <c r="A244" s="1" t="s">
        <v>447</v>
      </c>
      <c r="B244" s="2" t="s">
        <v>350</v>
      </c>
      <c r="C244" s="2" t="s">
        <v>299</v>
      </c>
      <c r="D244" s="2" t="s">
        <v>431</v>
      </c>
      <c r="E244" s="6">
        <v>2600</v>
      </c>
      <c r="F244" s="18">
        <v>190477.03</v>
      </c>
      <c r="G244" s="18">
        <v>80515.920000000013</v>
      </c>
      <c r="H244" s="18">
        <v>152290.27000000002</v>
      </c>
      <c r="I244" s="18">
        <v>131917.76000000001</v>
      </c>
      <c r="J244" s="18">
        <v>102277.95000000001</v>
      </c>
      <c r="K244" s="18">
        <v>0</v>
      </c>
      <c r="L244" s="13">
        <f t="shared" si="4"/>
        <v>657478.92999999993</v>
      </c>
      <c r="M244" s="8"/>
      <c r="N244" s="165"/>
    </row>
    <row r="245" spans="1:14" s="3" customFormat="1" ht="12.2" customHeight="1" x14ac:dyDescent="0.15">
      <c r="A245" s="1" t="s">
        <v>448</v>
      </c>
      <c r="B245" s="2" t="s">
        <v>350</v>
      </c>
      <c r="C245" s="2" t="s">
        <v>300</v>
      </c>
      <c r="D245" s="2" t="s">
        <v>431</v>
      </c>
      <c r="E245" s="6">
        <v>2700</v>
      </c>
      <c r="F245" s="18">
        <v>0</v>
      </c>
      <c r="G245" s="18">
        <v>0</v>
      </c>
      <c r="H245" s="18">
        <v>568812.19999999995</v>
      </c>
      <c r="I245" s="18">
        <v>42713.98</v>
      </c>
      <c r="J245" s="18">
        <v>0</v>
      </c>
      <c r="K245" s="18">
        <v>0</v>
      </c>
      <c r="L245" s="13">
        <f t="shared" si="4"/>
        <v>611526.17999999993</v>
      </c>
      <c r="M245" s="8"/>
      <c r="N245" s="165"/>
    </row>
    <row r="246" spans="1:14" s="3" customFormat="1" ht="12.2" customHeight="1" x14ac:dyDescent="0.15">
      <c r="A246" s="1" t="s">
        <v>449</v>
      </c>
      <c r="B246" s="2" t="s">
        <v>350</v>
      </c>
      <c r="C246" s="2" t="s">
        <v>343</v>
      </c>
      <c r="D246" s="2" t="s">
        <v>431</v>
      </c>
      <c r="E246" s="6">
        <v>2800</v>
      </c>
      <c r="F246" s="18">
        <v>50088.98</v>
      </c>
      <c r="G246" s="18">
        <v>19405.5</v>
      </c>
      <c r="H246" s="18">
        <v>28647.43</v>
      </c>
      <c r="I246" s="18">
        <v>61815.299999999996</v>
      </c>
      <c r="J246" s="18">
        <v>63857.29</v>
      </c>
      <c r="K246" s="18">
        <v>0</v>
      </c>
      <c r="L246" s="13">
        <f>SUM(F246:K246)</f>
        <v>223814.5</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3262180.6699999995</v>
      </c>
      <c r="G248" s="38">
        <f t="shared" si="5"/>
        <v>1563661.66</v>
      </c>
      <c r="H248" s="38">
        <f t="shared" si="5"/>
        <v>2072371.6799999997</v>
      </c>
      <c r="I248" s="38">
        <f t="shared" si="5"/>
        <v>346457.45</v>
      </c>
      <c r="J248" s="38">
        <f t="shared" si="5"/>
        <v>182427.24000000002</v>
      </c>
      <c r="K248" s="38">
        <f t="shared" si="5"/>
        <v>48691.939999999995</v>
      </c>
      <c r="L248" s="38">
        <f t="shared" si="5"/>
        <v>7475790.6399999987</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v>3144.93</v>
      </c>
      <c r="K254" s="18"/>
      <c r="L254" s="13">
        <f t="shared" si="6"/>
        <v>3144.93</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v>402229.1</v>
      </c>
      <c r="I256" s="18"/>
      <c r="J256" s="18"/>
      <c r="K256" s="18"/>
      <c r="L256" s="13">
        <f t="shared" si="6"/>
        <v>402229.1</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402229.1</v>
      </c>
      <c r="I257" s="38">
        <f t="shared" si="7"/>
        <v>0</v>
      </c>
      <c r="J257" s="38">
        <f t="shared" si="7"/>
        <v>3144.93</v>
      </c>
      <c r="K257" s="38">
        <f t="shared" si="7"/>
        <v>0</v>
      </c>
      <c r="L257" s="38">
        <f>SUM(F257:K257)</f>
        <v>405374.02999999997</v>
      </c>
      <c r="M257" s="8"/>
      <c r="N257" s="165"/>
    </row>
    <row r="258" spans="1:14" s="3" customFormat="1" ht="12.2" customHeight="1" thickTop="1" x14ac:dyDescent="0.15">
      <c r="A258" s="35" t="s">
        <v>462</v>
      </c>
      <c r="B258" s="37">
        <v>10</v>
      </c>
      <c r="C258" s="37">
        <v>8</v>
      </c>
      <c r="D258" s="36" t="s">
        <v>431</v>
      </c>
      <c r="E258" s="37"/>
      <c r="F258" s="38">
        <f t="shared" ref="F258:L258" si="8">F212+F230+F248+F257</f>
        <v>12391479.939999999</v>
      </c>
      <c r="G258" s="38">
        <f t="shared" si="8"/>
        <v>6264065.6899999995</v>
      </c>
      <c r="H258" s="38">
        <f t="shared" si="8"/>
        <v>5364006.59</v>
      </c>
      <c r="I258" s="38">
        <f t="shared" si="8"/>
        <v>1218326.83</v>
      </c>
      <c r="J258" s="38">
        <f t="shared" si="8"/>
        <v>549082.80000000005</v>
      </c>
      <c r="K258" s="38">
        <f t="shared" si="8"/>
        <v>115598.25</v>
      </c>
      <c r="L258" s="38">
        <f t="shared" si="8"/>
        <v>25902560.100000001</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145000</v>
      </c>
      <c r="L261" s="13">
        <f>SUM(F261:K261)</f>
        <v>145000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40672.5</v>
      </c>
      <c r="L262" s="13">
        <f>SUM(F262:K262)</f>
        <v>40672.5</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375000</v>
      </c>
      <c r="L267" s="13">
        <f t="shared" si="9"/>
        <v>375000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560672.5</v>
      </c>
      <c r="L271" s="38">
        <f t="shared" si="9"/>
        <v>560672.5</v>
      </c>
      <c r="M271" s="8"/>
      <c r="N271" s="165"/>
    </row>
    <row r="272" spans="1:14" s="33" customFormat="1" ht="12.2" customHeight="1" thickTop="1" x14ac:dyDescent="0.2">
      <c r="A272" s="40" t="s">
        <v>464</v>
      </c>
      <c r="B272" s="37">
        <v>10</v>
      </c>
      <c r="C272" s="37">
        <v>18</v>
      </c>
      <c r="D272" s="36" t="s">
        <v>431</v>
      </c>
      <c r="E272" s="37"/>
      <c r="F272" s="39">
        <f t="shared" ref="F272:L272" si="11">F258+F271</f>
        <v>12391479.939999999</v>
      </c>
      <c r="G272" s="39">
        <f t="shared" si="11"/>
        <v>6264065.6899999995</v>
      </c>
      <c r="H272" s="39">
        <f t="shared" si="11"/>
        <v>5364006.59</v>
      </c>
      <c r="I272" s="39">
        <f t="shared" si="11"/>
        <v>1218326.83</v>
      </c>
      <c r="J272" s="39">
        <f t="shared" si="11"/>
        <v>549082.80000000005</v>
      </c>
      <c r="K272" s="39">
        <f t="shared" si="11"/>
        <v>676270.75</v>
      </c>
      <c r="L272" s="39">
        <f t="shared" si="11"/>
        <v>26463232.600000001</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337793.08</v>
      </c>
      <c r="G277" s="18">
        <v>176628.52</v>
      </c>
      <c r="H277" s="18"/>
      <c r="I277" s="18">
        <v>25183.86</v>
      </c>
      <c r="J277" s="18"/>
      <c r="K277" s="18"/>
      <c r="L277" s="13">
        <f>SUM(F277:K277)</f>
        <v>539605.46</v>
      </c>
      <c r="M277" s="8"/>
      <c r="N277" s="165"/>
    </row>
    <row r="278" spans="1:14" s="3" customFormat="1" ht="12.2" customHeight="1" x14ac:dyDescent="0.15">
      <c r="A278" s="1" t="s">
        <v>439</v>
      </c>
      <c r="B278" s="2" t="s">
        <v>357</v>
      </c>
      <c r="C278" s="2" t="s">
        <v>291</v>
      </c>
      <c r="D278" s="2" t="s">
        <v>431</v>
      </c>
      <c r="E278" s="6">
        <v>1200</v>
      </c>
      <c r="F278" s="18">
        <v>131341.09</v>
      </c>
      <c r="G278" s="18">
        <v>67742.66</v>
      </c>
      <c r="H278" s="18">
        <v>1447.56</v>
      </c>
      <c r="I278" s="18">
        <v>6093.84</v>
      </c>
      <c r="J278" s="18"/>
      <c r="K278" s="18"/>
      <c r="L278" s="13">
        <f>SUM(F278:K278)</f>
        <v>206625.15</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c r="G280" s="18"/>
      <c r="H280" s="18">
        <v>1758.73</v>
      </c>
      <c r="I280" s="18">
        <v>17.02</v>
      </c>
      <c r="J280" s="18"/>
      <c r="K280" s="18"/>
      <c r="L280" s="13">
        <f>SUM(F280:K280)</f>
        <v>1775.75</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v>22420</v>
      </c>
      <c r="G282" s="18">
        <v>12645.85</v>
      </c>
      <c r="H282" s="18"/>
      <c r="I282" s="18">
        <v>2974.86</v>
      </c>
      <c r="J282" s="18"/>
      <c r="K282" s="18"/>
      <c r="L282" s="13">
        <f t="shared" ref="L282:L288" si="12">SUM(F282:K282)</f>
        <v>38040.71</v>
      </c>
      <c r="M282" s="8"/>
      <c r="N282" s="165"/>
    </row>
    <row r="283" spans="1:14" s="3" customFormat="1" ht="12.2" customHeight="1" x14ac:dyDescent="0.15">
      <c r="A283" s="1" t="s">
        <v>443</v>
      </c>
      <c r="B283" s="2" t="s">
        <v>357</v>
      </c>
      <c r="C283" s="2" t="s">
        <v>295</v>
      </c>
      <c r="D283" s="2" t="s">
        <v>431</v>
      </c>
      <c r="E283" s="6">
        <v>2200</v>
      </c>
      <c r="F283" s="18">
        <v>7587.37</v>
      </c>
      <c r="G283" s="18">
        <v>1641.97</v>
      </c>
      <c r="H283" s="18">
        <v>48941.87</v>
      </c>
      <c r="I283" s="18">
        <v>451.04</v>
      </c>
      <c r="J283" s="18"/>
      <c r="K283" s="18"/>
      <c r="L283" s="13">
        <f t="shared" si="12"/>
        <v>58622.250000000007</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c r="I287" s="18">
        <v>13710.05</v>
      </c>
      <c r="J287" s="18">
        <v>79567</v>
      </c>
      <c r="K287" s="18"/>
      <c r="L287" s="13">
        <f t="shared" si="12"/>
        <v>93277.05</v>
      </c>
      <c r="M287" s="8"/>
      <c r="N287" s="165"/>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499141.54000000004</v>
      </c>
      <c r="G291" s="39">
        <f t="shared" si="13"/>
        <v>258659</v>
      </c>
      <c r="H291" s="39">
        <f t="shared" si="13"/>
        <v>52148.160000000003</v>
      </c>
      <c r="I291" s="39">
        <f t="shared" si="13"/>
        <v>48430.67</v>
      </c>
      <c r="J291" s="39">
        <f t="shared" si="13"/>
        <v>79567</v>
      </c>
      <c r="K291" s="39">
        <f t="shared" si="13"/>
        <v>0</v>
      </c>
      <c r="L291" s="38">
        <f t="shared" si="13"/>
        <v>937946.37</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v>3793.11</v>
      </c>
      <c r="J296" s="18"/>
      <c r="K296" s="18"/>
      <c r="L296" s="13">
        <f>SUM(F296:K296)</f>
        <v>3793.11</v>
      </c>
      <c r="M296" s="8"/>
      <c r="N296" s="165"/>
    </row>
    <row r="297" spans="1:14" s="3" customFormat="1" ht="12.2" customHeight="1" x14ac:dyDescent="0.15">
      <c r="A297" s="1" t="s">
        <v>439</v>
      </c>
      <c r="B297" s="2" t="s">
        <v>358</v>
      </c>
      <c r="C297" s="2" t="s">
        <v>291</v>
      </c>
      <c r="D297" s="2" t="s">
        <v>431</v>
      </c>
      <c r="E297" s="6">
        <v>1200</v>
      </c>
      <c r="F297" s="18">
        <v>21943.16</v>
      </c>
      <c r="G297" s="18">
        <v>6653.82</v>
      </c>
      <c r="H297" s="18"/>
      <c r="I297" s="18">
        <v>2498.6799999999998</v>
      </c>
      <c r="J297" s="18"/>
      <c r="K297" s="18"/>
      <c r="L297" s="13">
        <f>SUM(F297:K297)</f>
        <v>31095.66</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v>798.84</v>
      </c>
      <c r="G299" s="18">
        <v>61.11</v>
      </c>
      <c r="H299" s="18">
        <v>177.85</v>
      </c>
      <c r="I299" s="18">
        <v>741.64</v>
      </c>
      <c r="J299" s="18"/>
      <c r="K299" s="18">
        <v>88.76</v>
      </c>
      <c r="L299" s="13">
        <f>SUM(F299:K299)</f>
        <v>1868.2</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v>1296.93</v>
      </c>
      <c r="J301" s="18"/>
      <c r="K301" s="18"/>
      <c r="L301" s="13">
        <f t="shared" ref="L301:L307" si="14">SUM(F301:K301)</f>
        <v>1296.93</v>
      </c>
      <c r="M301" s="8"/>
      <c r="N301" s="165"/>
    </row>
    <row r="302" spans="1:14" s="3" customFormat="1" ht="12.2" customHeight="1" x14ac:dyDescent="0.15">
      <c r="A302" s="1" t="s">
        <v>443</v>
      </c>
      <c r="B302" s="2" t="s">
        <v>358</v>
      </c>
      <c r="C302" s="2" t="s">
        <v>295</v>
      </c>
      <c r="D302" s="2" t="s">
        <v>431</v>
      </c>
      <c r="E302" s="6">
        <v>2200</v>
      </c>
      <c r="F302" s="18">
        <v>3511.42</v>
      </c>
      <c r="G302" s="18">
        <v>759.9</v>
      </c>
      <c r="H302" s="18">
        <v>21848.38</v>
      </c>
      <c r="I302" s="18">
        <v>208.74</v>
      </c>
      <c r="J302" s="18"/>
      <c r="K302" s="18"/>
      <c r="L302" s="13">
        <f t="shared" si="14"/>
        <v>26328.440000000002</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v>16397.490000000002</v>
      </c>
      <c r="J306" s="18">
        <v>52371.5</v>
      </c>
      <c r="K306" s="18"/>
      <c r="L306" s="13">
        <f t="shared" si="14"/>
        <v>68768.990000000005</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26253.42</v>
      </c>
      <c r="G310" s="39">
        <f t="shared" si="15"/>
        <v>7474.829999999999</v>
      </c>
      <c r="H310" s="39">
        <f t="shared" si="15"/>
        <v>22026.23</v>
      </c>
      <c r="I310" s="39">
        <f t="shared" si="15"/>
        <v>24936.590000000004</v>
      </c>
      <c r="J310" s="39">
        <f t="shared" si="15"/>
        <v>52371.5</v>
      </c>
      <c r="K310" s="39">
        <f t="shared" si="15"/>
        <v>88.76</v>
      </c>
      <c r="L310" s="38">
        <f t="shared" si="15"/>
        <v>133151.33000000002</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v>4753.7299999999996</v>
      </c>
      <c r="J315" s="18"/>
      <c r="K315" s="18"/>
      <c r="L315" s="13">
        <f>SUM(F315:K315)</f>
        <v>4753.7299999999996</v>
      </c>
      <c r="M315" s="8"/>
      <c r="N315" s="165"/>
    </row>
    <row r="316" spans="1:14" s="3" customFormat="1" ht="12.2" customHeight="1" x14ac:dyDescent="0.15">
      <c r="A316" s="1" t="s">
        <v>439</v>
      </c>
      <c r="B316" s="2" t="s">
        <v>359</v>
      </c>
      <c r="C316" s="2" t="s">
        <v>291</v>
      </c>
      <c r="D316" s="2" t="s">
        <v>431</v>
      </c>
      <c r="E316" s="6">
        <v>1200</v>
      </c>
      <c r="F316" s="18">
        <v>1135.7</v>
      </c>
      <c r="G316" s="18">
        <v>321.25</v>
      </c>
      <c r="H316" s="18"/>
      <c r="I316" s="18">
        <v>3131.49</v>
      </c>
      <c r="J316" s="18"/>
      <c r="K316" s="18"/>
      <c r="L316" s="13">
        <f>SUM(F316:K316)</f>
        <v>4588.4399999999996</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v>1001.16</v>
      </c>
      <c r="G318" s="18">
        <v>76.59</v>
      </c>
      <c r="H318" s="18">
        <v>222.89</v>
      </c>
      <c r="I318" s="18">
        <v>929.48</v>
      </c>
      <c r="J318" s="18"/>
      <c r="K318" s="18">
        <v>111.24</v>
      </c>
      <c r="L318" s="13">
        <f>SUM(F318:K318)</f>
        <v>2341.3599999999997</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v>1625.38</v>
      </c>
      <c r="J320" s="18"/>
      <c r="K320" s="18"/>
      <c r="L320" s="13">
        <f t="shared" ref="L320:L326" si="16">SUM(F320:K320)</f>
        <v>1625.38</v>
      </c>
      <c r="M320" s="8"/>
      <c r="N320" s="165"/>
    </row>
    <row r="321" spans="1:14" s="3" customFormat="1" ht="12.2" customHeight="1" x14ac:dyDescent="0.15">
      <c r="A321" s="1" t="s">
        <v>443</v>
      </c>
      <c r="B321" s="2" t="s">
        <v>359</v>
      </c>
      <c r="C321" s="2" t="s">
        <v>295</v>
      </c>
      <c r="D321" s="2" t="s">
        <v>431</v>
      </c>
      <c r="E321" s="6">
        <v>2200</v>
      </c>
      <c r="F321" s="18">
        <v>4400.71</v>
      </c>
      <c r="G321" s="18">
        <v>952.35</v>
      </c>
      <c r="H321" s="18">
        <v>27381.58</v>
      </c>
      <c r="I321" s="18">
        <v>261.60000000000002</v>
      </c>
      <c r="J321" s="18"/>
      <c r="K321" s="18"/>
      <c r="L321" s="13">
        <f t="shared" si="16"/>
        <v>32996.240000000005</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v>21564.46</v>
      </c>
      <c r="J325" s="18">
        <v>62519.5</v>
      </c>
      <c r="K325" s="18"/>
      <c r="L325" s="13">
        <f t="shared" si="16"/>
        <v>84083.959999999992</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6537.57</v>
      </c>
      <c r="G329" s="39">
        <f t="shared" si="17"/>
        <v>1350.19</v>
      </c>
      <c r="H329" s="39">
        <f t="shared" si="17"/>
        <v>27604.47</v>
      </c>
      <c r="I329" s="39">
        <f t="shared" si="17"/>
        <v>32266.14</v>
      </c>
      <c r="J329" s="39">
        <f t="shared" si="17"/>
        <v>62519.5</v>
      </c>
      <c r="K329" s="39">
        <f t="shared" si="17"/>
        <v>111.24</v>
      </c>
      <c r="L329" s="38">
        <f t="shared" si="17"/>
        <v>130389.11</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v>570100.85</v>
      </c>
      <c r="I337" s="18"/>
      <c r="J337" s="18"/>
      <c r="K337" s="18"/>
      <c r="L337" s="13">
        <f t="shared" si="18"/>
        <v>570100.85</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570100.85</v>
      </c>
      <c r="I338" s="38">
        <f t="shared" si="19"/>
        <v>0</v>
      </c>
      <c r="J338" s="38">
        <f t="shared" si="19"/>
        <v>0</v>
      </c>
      <c r="K338" s="38">
        <f t="shared" si="19"/>
        <v>0</v>
      </c>
      <c r="L338" s="38">
        <f t="shared" si="18"/>
        <v>570100.85</v>
      </c>
      <c r="M338" s="8"/>
      <c r="N338" s="165"/>
    </row>
    <row r="339" spans="1:43" s="3" customFormat="1" ht="12.2" customHeight="1" thickTop="1" x14ac:dyDescent="0.15">
      <c r="A339" s="35" t="s">
        <v>468</v>
      </c>
      <c r="B339" s="37">
        <v>14</v>
      </c>
      <c r="C339" s="37">
        <v>7</v>
      </c>
      <c r="D339" s="36" t="s">
        <v>431</v>
      </c>
      <c r="E339" s="37"/>
      <c r="F339" s="38">
        <f t="shared" ref="F339:L339" si="20">F291+F310+F329+F338</f>
        <v>531932.53</v>
      </c>
      <c r="G339" s="38">
        <f t="shared" si="20"/>
        <v>267484.02</v>
      </c>
      <c r="H339" s="38">
        <f t="shared" si="20"/>
        <v>671879.71</v>
      </c>
      <c r="I339" s="38">
        <f t="shared" si="20"/>
        <v>105633.40000000001</v>
      </c>
      <c r="J339" s="38">
        <f t="shared" si="20"/>
        <v>194458</v>
      </c>
      <c r="K339" s="38">
        <f t="shared" si="20"/>
        <v>200</v>
      </c>
      <c r="L339" s="38">
        <f t="shared" si="20"/>
        <v>1771587.6600000001</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v>30468.39</v>
      </c>
      <c r="L345" s="13">
        <f t="shared" ref="L345:L351" si="21">SUM(F345:K345)</f>
        <v>30468.39</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30468.39</v>
      </c>
      <c r="L352" s="38">
        <f>SUM(L342:L351)</f>
        <v>30468.39</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531932.53</v>
      </c>
      <c r="G353" s="38">
        <f>G339</f>
        <v>267484.02</v>
      </c>
      <c r="H353" s="38">
        <f>H339</f>
        <v>671879.71</v>
      </c>
      <c r="I353" s="38">
        <f>I339</f>
        <v>105633.40000000001</v>
      </c>
      <c r="J353" s="38">
        <f>J339</f>
        <v>194458</v>
      </c>
      <c r="K353" s="38">
        <f>K339+K352</f>
        <v>30668.39</v>
      </c>
      <c r="L353" s="38">
        <f>L339+L352</f>
        <v>1802056.05</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c r="G359" s="18"/>
      <c r="H359" s="18">
        <v>345123.99</v>
      </c>
      <c r="I359" s="18">
        <v>7351.49</v>
      </c>
      <c r="J359" s="18">
        <v>20070.47</v>
      </c>
      <c r="K359" s="18"/>
      <c r="L359" s="13">
        <f>SUM(F359:K359)</f>
        <v>372545.94999999995</v>
      </c>
      <c r="M359" s="8"/>
      <c r="N359" s="165"/>
    </row>
    <row r="360" spans="1:22" s="3" customFormat="1" ht="12.2" customHeight="1" x14ac:dyDescent="0.15">
      <c r="A360" s="1" t="s">
        <v>542</v>
      </c>
      <c r="B360" s="2" t="s">
        <v>366</v>
      </c>
      <c r="C360" s="6">
        <v>2</v>
      </c>
      <c r="D360" s="2" t="s">
        <v>431</v>
      </c>
      <c r="E360" s="6"/>
      <c r="F360" s="18"/>
      <c r="G360" s="18"/>
      <c r="H360" s="18">
        <v>159722.79</v>
      </c>
      <c r="I360" s="18">
        <v>3402.25</v>
      </c>
      <c r="J360" s="18">
        <v>9288.58</v>
      </c>
      <c r="K360" s="18"/>
      <c r="L360" s="13">
        <f>SUM(F360:K360)</f>
        <v>172413.62</v>
      </c>
      <c r="M360" s="8"/>
      <c r="N360" s="165"/>
    </row>
    <row r="361" spans="1:22" s="3" customFormat="1" ht="12.2" customHeight="1" x14ac:dyDescent="0.15">
      <c r="A361" s="3" t="s">
        <v>543</v>
      </c>
      <c r="B361" s="2" t="s">
        <v>366</v>
      </c>
      <c r="C361" s="6">
        <v>3</v>
      </c>
      <c r="D361" s="2" t="s">
        <v>431</v>
      </c>
      <c r="E361" s="6"/>
      <c r="F361" s="18"/>
      <c r="G361" s="18"/>
      <c r="H361" s="18">
        <v>200173.32</v>
      </c>
      <c r="I361" s="18">
        <v>4263.8900000000003</v>
      </c>
      <c r="J361" s="18">
        <v>11640.95</v>
      </c>
      <c r="K361" s="18"/>
      <c r="L361" s="13">
        <f>SUM(F361:K361)</f>
        <v>216078.16000000003</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705020.10000000009</v>
      </c>
      <c r="I363" s="38">
        <f t="shared" si="22"/>
        <v>15017.630000000001</v>
      </c>
      <c r="J363" s="38">
        <f t="shared" si="22"/>
        <v>41000</v>
      </c>
      <c r="K363" s="38">
        <f t="shared" si="22"/>
        <v>0</v>
      </c>
      <c r="L363" s="38">
        <f t="shared" si="22"/>
        <v>761037.73</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f>13255.22</f>
        <v>13255.22</v>
      </c>
      <c r="G368" s="18"/>
      <c r="H368" s="18"/>
      <c r="I368" s="13">
        <f>SUM(F368:H368)</f>
        <v>13255.22</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1762.41</v>
      </c>
      <c r="G369" s="53"/>
      <c r="H369" s="53"/>
      <c r="I369" s="13">
        <f>SUM(F369:H369)</f>
        <v>1762.41</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15017.63</v>
      </c>
      <c r="G370" s="38">
        <f>SUM(G368:G369)</f>
        <v>0</v>
      </c>
      <c r="H370" s="38">
        <f>SUM(H368:H369)</f>
        <v>0</v>
      </c>
      <c r="I370" s="38">
        <f>SUM(I368:I369)</f>
        <v>15017.63</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v>300000</v>
      </c>
      <c r="H390" s="18">
        <v>4248.9799999999996</v>
      </c>
      <c r="I390" s="18"/>
      <c r="J390" s="23" t="s">
        <v>288</v>
      </c>
      <c r="K390" s="23" t="s">
        <v>288</v>
      </c>
      <c r="L390" s="13">
        <f t="shared" si="25"/>
        <v>304248.98</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300000</v>
      </c>
      <c r="H394" s="97">
        <f>SUM(H388:H393)</f>
        <v>4248.9799999999996</v>
      </c>
      <c r="I394" s="54">
        <f>SUM(I388:I393)</f>
        <v>0</v>
      </c>
      <c r="J394" s="42" t="s">
        <v>288</v>
      </c>
      <c r="K394" s="42" t="s">
        <v>288</v>
      </c>
      <c r="L394" s="38">
        <f>SUM(L388:L393)</f>
        <v>304248.98</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5"/>
    </row>
    <row r="398" spans="1:14" s="3" customFormat="1" ht="12.2" customHeight="1" x14ac:dyDescent="0.15">
      <c r="A398" s="62" t="s">
        <v>515</v>
      </c>
      <c r="B398" s="2" t="s">
        <v>381</v>
      </c>
      <c r="C398" s="6">
        <v>10</v>
      </c>
      <c r="D398" s="2" t="s">
        <v>432</v>
      </c>
      <c r="E398" s="6"/>
      <c r="F398" s="18"/>
      <c r="G398" s="18">
        <v>75000</v>
      </c>
      <c r="H398" s="18">
        <v>4177.8100000000004</v>
      </c>
      <c r="I398" s="18"/>
      <c r="J398" s="23" t="s">
        <v>288</v>
      </c>
      <c r="K398" s="23" t="s">
        <v>288</v>
      </c>
      <c r="L398" s="13">
        <f t="shared" si="26"/>
        <v>79177.81</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v>65183</v>
      </c>
      <c r="I401" s="18"/>
      <c r="J401" s="23" t="s">
        <v>288</v>
      </c>
      <c r="K401" s="23" t="s">
        <v>288</v>
      </c>
      <c r="L401" s="13">
        <f t="shared" si="26"/>
        <v>65183</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75000</v>
      </c>
      <c r="H402" s="38">
        <f>SUM(H396:H401)</f>
        <v>69360.81</v>
      </c>
      <c r="I402" s="38">
        <f>SUM(I396:I401)</f>
        <v>0</v>
      </c>
      <c r="J402" s="42" t="s">
        <v>288</v>
      </c>
      <c r="K402" s="42" t="s">
        <v>288</v>
      </c>
      <c r="L402" s="38">
        <f>SUM(L396:L401)</f>
        <v>144360.81</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t="s">
        <v>1812</v>
      </c>
      <c r="B404" s="2" t="s">
        <v>381</v>
      </c>
      <c r="C404" s="6">
        <v>15</v>
      </c>
      <c r="D404" s="2" t="s">
        <v>432</v>
      </c>
      <c r="E404" s="6"/>
      <c r="F404" s="18"/>
      <c r="G404" s="18"/>
      <c r="H404" s="18">
        <v>64084.3</v>
      </c>
      <c r="I404" s="18"/>
      <c r="J404" s="23" t="s">
        <v>288</v>
      </c>
      <c r="K404" s="23" t="s">
        <v>288</v>
      </c>
      <c r="L404" s="13">
        <f>SUM(F404:K404)</f>
        <v>64084.3</v>
      </c>
      <c r="M404" s="8"/>
      <c r="N404" s="165"/>
    </row>
    <row r="405" spans="1:21" s="3" customFormat="1" ht="12.2" customHeight="1" x14ac:dyDescent="0.15">
      <c r="A405" s="82" t="s">
        <v>1813</v>
      </c>
      <c r="B405" s="2" t="s">
        <v>381</v>
      </c>
      <c r="C405" s="6">
        <v>16</v>
      </c>
      <c r="D405" s="2" t="s">
        <v>432</v>
      </c>
      <c r="E405" s="6"/>
      <c r="F405" s="18"/>
      <c r="G405" s="18"/>
      <c r="H405" s="18">
        <v>1714.48</v>
      </c>
      <c r="I405" s="18"/>
      <c r="J405" s="23" t="s">
        <v>288</v>
      </c>
      <c r="K405" s="23" t="s">
        <v>288</v>
      </c>
      <c r="L405" s="13">
        <f>SUM(F405:K405)</f>
        <v>1714.48</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65798.78</v>
      </c>
      <c r="I408" s="38">
        <f>SUM(I404:I407)</f>
        <v>0</v>
      </c>
      <c r="J408" s="45" t="s">
        <v>288</v>
      </c>
      <c r="K408" s="45" t="s">
        <v>288</v>
      </c>
      <c r="L408" s="38">
        <f>SUM(L404:L407)</f>
        <v>65798.78</v>
      </c>
      <c r="M408" s="8"/>
      <c r="N408" s="165"/>
    </row>
    <row r="409" spans="1:21" s="3" customFormat="1" ht="12.2" customHeight="1" thickTop="1" x14ac:dyDescent="0.15">
      <c r="A409" s="61" t="s">
        <v>421</v>
      </c>
      <c r="B409" s="2" t="s">
        <v>381</v>
      </c>
      <c r="C409" s="6">
        <v>20</v>
      </c>
      <c r="D409" s="6"/>
      <c r="E409" s="37"/>
      <c r="F409" s="38">
        <f>F394+F402+F408</f>
        <v>0</v>
      </c>
      <c r="G409" s="38">
        <f>G394+G402+G408</f>
        <v>375000</v>
      </c>
      <c r="H409" s="38">
        <f>H394+H402+H408</f>
        <v>139408.57</v>
      </c>
      <c r="I409" s="38">
        <f>I394+I402+I408</f>
        <v>0</v>
      </c>
      <c r="J409" s="23" t="s">
        <v>288</v>
      </c>
      <c r="K409" s="23" t="s">
        <v>288</v>
      </c>
      <c r="L409" s="38">
        <f>L394+L402+L408</f>
        <v>514408.56999999995</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f>72304+83106+1386.16</f>
        <v>156796.16</v>
      </c>
      <c r="I416" s="18"/>
      <c r="J416" s="18"/>
      <c r="K416" s="18"/>
      <c r="L416" s="13">
        <f t="shared" si="27"/>
        <v>156796.16</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156796.16</v>
      </c>
      <c r="I420" s="97">
        <f t="shared" si="28"/>
        <v>0</v>
      </c>
      <c r="J420" s="97">
        <f t="shared" si="28"/>
        <v>0</v>
      </c>
      <c r="K420" s="97">
        <f t="shared" si="28"/>
        <v>0</v>
      </c>
      <c r="L420" s="38">
        <f t="shared" si="28"/>
        <v>156796.16</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v>1893.68</v>
      </c>
      <c r="I424" s="18"/>
      <c r="J424" s="18"/>
      <c r="K424" s="18"/>
      <c r="L424" s="13">
        <f t="shared" si="29"/>
        <v>1893.68</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f>9970+2450+10534.62</f>
        <v>22954.620000000003</v>
      </c>
      <c r="I427" s="18">
        <v>23966.7</v>
      </c>
      <c r="J427" s="18"/>
      <c r="K427" s="18"/>
      <c r="L427" s="13">
        <f t="shared" si="29"/>
        <v>46921.320000000007</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24848.300000000003</v>
      </c>
      <c r="I428" s="38">
        <f t="shared" si="30"/>
        <v>23966.7</v>
      </c>
      <c r="J428" s="38">
        <f t="shared" si="30"/>
        <v>0</v>
      </c>
      <c r="K428" s="38">
        <f t="shared" si="30"/>
        <v>0</v>
      </c>
      <c r="L428" s="38">
        <f t="shared" si="30"/>
        <v>48815.000000000007</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t="s">
        <v>1812</v>
      </c>
      <c r="B430" s="6">
        <v>17</v>
      </c>
      <c r="C430" s="6">
        <v>15</v>
      </c>
      <c r="D430" s="2" t="s">
        <v>432</v>
      </c>
      <c r="E430" s="6"/>
      <c r="F430" s="18"/>
      <c r="G430" s="18"/>
      <c r="H430" s="18">
        <f>21200+9807.68</f>
        <v>31007.68</v>
      </c>
      <c r="I430" s="18"/>
      <c r="J430" s="18"/>
      <c r="K430" s="18"/>
      <c r="L430" s="13">
        <f>SUM(F430:K430)</f>
        <v>31007.68</v>
      </c>
      <c r="M430" s="8"/>
      <c r="N430" s="165"/>
    </row>
    <row r="431" spans="1:21" ht="12.2" customHeight="1" x14ac:dyDescent="0.2">
      <c r="A431" s="82" t="s">
        <v>1813</v>
      </c>
      <c r="B431" s="6">
        <v>17</v>
      </c>
      <c r="C431" s="6">
        <v>16</v>
      </c>
      <c r="D431" s="2" t="s">
        <v>432</v>
      </c>
      <c r="E431" s="6"/>
      <c r="F431" s="18"/>
      <c r="G431" s="18"/>
      <c r="H431" s="18">
        <v>343.05</v>
      </c>
      <c r="I431" s="18"/>
      <c r="J431" s="18"/>
      <c r="K431" s="18"/>
      <c r="L431" s="13">
        <f>SUM(F431:K431)</f>
        <v>343.05</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31350.73</v>
      </c>
      <c r="I434" s="38">
        <f t="shared" si="31"/>
        <v>0</v>
      </c>
      <c r="J434" s="38">
        <f t="shared" si="31"/>
        <v>0</v>
      </c>
      <c r="K434" s="38">
        <f t="shared" si="31"/>
        <v>0</v>
      </c>
      <c r="L434" s="38">
        <f t="shared" si="31"/>
        <v>31350.73</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212995.19000000003</v>
      </c>
      <c r="I435" s="38">
        <f t="shared" si="32"/>
        <v>23966.7</v>
      </c>
      <c r="J435" s="38">
        <f t="shared" si="32"/>
        <v>0</v>
      </c>
      <c r="K435" s="38">
        <f t="shared" si="32"/>
        <v>0</v>
      </c>
      <c r="L435" s="38">
        <f t="shared" si="32"/>
        <v>236961.89</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v>255119.16</v>
      </c>
      <c r="G441" s="18">
        <v>1603803.1</v>
      </c>
      <c r="H441" s="18">
        <v>1336488.69</v>
      </c>
      <c r="I441" s="13">
        <f>SUM(F441:H441)</f>
        <v>3195410.95</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v>6561</v>
      </c>
      <c r="G442" s="18"/>
      <c r="H442" s="18"/>
      <c r="I442" s="13">
        <f t="shared" ref="I442:I446" si="33">SUM(F442:H442)</f>
        <v>6561</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261680.16</v>
      </c>
      <c r="G447" s="13">
        <f>SUM(G440:G446)</f>
        <v>1603803.1</v>
      </c>
      <c r="H447" s="13">
        <f>SUM(H440:H446)</f>
        <v>1336488.69</v>
      </c>
      <c r="I447" s="13">
        <f>SUM(I440:I446)</f>
        <v>3201971.95</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f>69727.5+6561</f>
        <v>76288.5</v>
      </c>
      <c r="G450" s="18"/>
      <c r="H450" s="18"/>
      <c r="I450" s="13">
        <f>SUM(F450:H450)</f>
        <v>76288.5</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v>6561</v>
      </c>
      <c r="G451" s="18"/>
      <c r="H451" s="18"/>
      <c r="I451" s="13">
        <f>SUM(F451:H451)</f>
        <v>6561</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82849.5</v>
      </c>
      <c r="G453" s="57">
        <f>SUM(G449:G452)</f>
        <v>0</v>
      </c>
      <c r="H453" s="57">
        <f>SUM(H449:H452)</f>
        <v>0</v>
      </c>
      <c r="I453" s="57">
        <f>SUM(I449:I452)</f>
        <v>82849.5</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v>178830.66</v>
      </c>
      <c r="G457" s="18">
        <v>1603803.1</v>
      </c>
      <c r="H457" s="18">
        <v>1336488.69</v>
      </c>
      <c r="I457" s="13">
        <f t="shared" si="34"/>
        <v>3119122.45</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c r="H460" s="18"/>
      <c r="I460" s="13">
        <f t="shared" si="34"/>
        <v>0</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178830.66</v>
      </c>
      <c r="G461" s="65">
        <f>SUM(G455:G460)</f>
        <v>1603803.1</v>
      </c>
      <c r="H461" s="65">
        <f>SUM(H455:H460)</f>
        <v>1336488.69</v>
      </c>
      <c r="I461" s="65">
        <f>SUM(I455:I460)</f>
        <v>3119122.45</v>
      </c>
      <c r="J461" s="23" t="s">
        <v>288</v>
      </c>
      <c r="K461" s="23" t="s">
        <v>288</v>
      </c>
      <c r="L461" s="23" t="s">
        <v>288</v>
      </c>
      <c r="N461" s="131"/>
    </row>
    <row r="462" spans="1:86" ht="12.2" customHeight="1" thickTop="1" x14ac:dyDescent="0.2">
      <c r="A462" s="40" t="s">
        <v>424</v>
      </c>
      <c r="B462" s="41">
        <v>18</v>
      </c>
      <c r="C462" s="64">
        <v>21</v>
      </c>
      <c r="D462" s="114" t="s">
        <v>432</v>
      </c>
      <c r="E462" s="64"/>
      <c r="F462" s="39">
        <f>F453+F461</f>
        <v>261680.16</v>
      </c>
      <c r="G462" s="39">
        <f>G453+G461</f>
        <v>1603803.1</v>
      </c>
      <c r="H462" s="39">
        <f>H453+H461</f>
        <v>1336488.69</v>
      </c>
      <c r="I462" s="39">
        <f>I453+I461</f>
        <v>3201971.95</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1047317.8</v>
      </c>
      <c r="G466" s="18">
        <v>216785.46</v>
      </c>
      <c r="H466" s="18">
        <v>0</v>
      </c>
      <c r="I466" s="18">
        <v>0</v>
      </c>
      <c r="J466" s="18">
        <v>2841675.77</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27237291.489999998</v>
      </c>
      <c r="G469" s="18">
        <v>650687.02</v>
      </c>
      <c r="H469" s="18">
        <v>1802056.05</v>
      </c>
      <c r="I469" s="18">
        <v>0</v>
      </c>
      <c r="J469" s="18">
        <v>514408.57</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27237291.489999998</v>
      </c>
      <c r="G471" s="19">
        <f>SUM(G469:G470)</f>
        <v>650687.02</v>
      </c>
      <c r="H471" s="19">
        <f>SUM(H469:H470)</f>
        <v>1802056.05</v>
      </c>
      <c r="I471" s="19">
        <f>SUM(I469:I470)</f>
        <v>0</v>
      </c>
      <c r="J471" s="19">
        <f>SUM(J469:J470)</f>
        <v>514408.57</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26463232.600000001</v>
      </c>
      <c r="G473" s="18">
        <v>761037.73</v>
      </c>
      <c r="H473" s="18">
        <v>1802056.05</v>
      </c>
      <c r="I473" s="18">
        <v>0</v>
      </c>
      <c r="J473" s="18">
        <v>236961.89</v>
      </c>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26463232.600000001</v>
      </c>
      <c r="G475" s="19">
        <f>SUM(G473:G474)</f>
        <v>761037.73</v>
      </c>
      <c r="H475" s="19">
        <f>SUM(H473:H474)</f>
        <v>1802056.05</v>
      </c>
      <c r="I475" s="19">
        <f>SUM(I473:I474)</f>
        <v>0</v>
      </c>
      <c r="J475" s="19">
        <f>SUM(J473:J474)</f>
        <v>236961.89</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1821376.6899999976</v>
      </c>
      <c r="G477" s="19">
        <f>(G466+G471)- G475</f>
        <v>106434.75</v>
      </c>
      <c r="H477" s="19">
        <f>(H466+H471)- H475</f>
        <v>0</v>
      </c>
      <c r="I477" s="19">
        <f>(I466+I471)- I475</f>
        <v>0</v>
      </c>
      <c r="J477" s="19">
        <f>(J466+J471)- J475</f>
        <v>3119122.4499999997</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v>10</v>
      </c>
      <c r="G491" s="111"/>
      <c r="H491" s="111"/>
      <c r="I491" s="111"/>
      <c r="J491" s="111"/>
      <c r="K491" s="23" t="s">
        <v>288</v>
      </c>
      <c r="L491" s="23" t="s">
        <v>288</v>
      </c>
      <c r="N491" s="131"/>
    </row>
    <row r="492" spans="1:14" ht="12.2" customHeight="1" x14ac:dyDescent="0.2">
      <c r="A492" s="21" t="s">
        <v>615</v>
      </c>
      <c r="B492" s="22">
        <v>20</v>
      </c>
      <c r="C492" s="22">
        <v>2</v>
      </c>
      <c r="D492" s="2" t="s">
        <v>432</v>
      </c>
      <c r="E492" s="22"/>
      <c r="F492" s="112" t="s">
        <v>1814</v>
      </c>
      <c r="G492" s="112"/>
      <c r="H492" s="111"/>
      <c r="I492" s="111"/>
      <c r="J492" s="111"/>
      <c r="K492" s="23" t="s">
        <v>288</v>
      </c>
      <c r="L492" s="23" t="s">
        <v>288</v>
      </c>
      <c r="N492" s="131"/>
    </row>
    <row r="493" spans="1:14" ht="12.2" customHeight="1" x14ac:dyDescent="0.2">
      <c r="A493" s="21" t="s">
        <v>616</v>
      </c>
      <c r="B493" s="22">
        <v>20</v>
      </c>
      <c r="C493" s="22">
        <v>3</v>
      </c>
      <c r="D493" s="2" t="s">
        <v>432</v>
      </c>
      <c r="E493" s="22"/>
      <c r="F493" s="112" t="s">
        <v>1815</v>
      </c>
      <c r="G493" s="112"/>
      <c r="H493" s="111"/>
      <c r="I493" s="111"/>
      <c r="J493" s="111"/>
      <c r="K493" s="23" t="s">
        <v>288</v>
      </c>
      <c r="L493" s="23" t="s">
        <v>288</v>
      </c>
      <c r="N493" s="131"/>
    </row>
    <row r="494" spans="1:14" ht="12.2" customHeight="1" x14ac:dyDescent="0.2">
      <c r="A494" s="21" t="s">
        <v>617</v>
      </c>
      <c r="B494" s="22">
        <v>20</v>
      </c>
      <c r="C494" s="22">
        <v>4</v>
      </c>
      <c r="D494" s="2" t="s">
        <v>432</v>
      </c>
      <c r="E494" s="22"/>
      <c r="F494" s="18">
        <v>1446400</v>
      </c>
      <c r="G494" s="18"/>
      <c r="H494" s="18"/>
      <c r="I494" s="18"/>
      <c r="J494" s="18"/>
      <c r="K494" s="23" t="s">
        <v>288</v>
      </c>
      <c r="L494" s="23" t="s">
        <v>288</v>
      </c>
      <c r="N494" s="131"/>
    </row>
    <row r="495" spans="1:14" ht="12.2" customHeight="1" x14ac:dyDescent="0.2">
      <c r="A495" s="21" t="s">
        <v>618</v>
      </c>
      <c r="B495" s="22">
        <v>20</v>
      </c>
      <c r="C495" s="22">
        <v>5</v>
      </c>
      <c r="D495" s="2" t="s">
        <v>432</v>
      </c>
      <c r="E495" s="22"/>
      <c r="F495" s="18">
        <v>5.0999999999999996</v>
      </c>
      <c r="G495" s="18"/>
      <c r="H495" s="18"/>
      <c r="I495" s="18"/>
      <c r="J495" s="18"/>
      <c r="K495" s="23" t="s">
        <v>288</v>
      </c>
      <c r="L495" s="23" t="s">
        <v>288</v>
      </c>
      <c r="N495" s="131"/>
    </row>
    <row r="496" spans="1:14" ht="12.2" customHeight="1" x14ac:dyDescent="0.2">
      <c r="A496" s="21" t="s">
        <v>619</v>
      </c>
      <c r="B496" s="22">
        <v>20</v>
      </c>
      <c r="C496" s="22">
        <v>6</v>
      </c>
      <c r="D496" s="2" t="s">
        <v>432</v>
      </c>
      <c r="E496" s="22"/>
      <c r="F496" s="18">
        <v>870000</v>
      </c>
      <c r="G496" s="18"/>
      <c r="H496" s="18"/>
      <c r="I496" s="18"/>
      <c r="J496" s="18"/>
      <c r="K496" s="19">
        <f>SUM(F496:J496)</f>
        <v>870000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v>145000</v>
      </c>
      <c r="G498" s="18"/>
      <c r="H498" s="18"/>
      <c r="I498" s="18"/>
      <c r="J498" s="18"/>
      <c r="K498" s="19">
        <f t="shared" si="35"/>
        <v>145000</v>
      </c>
      <c r="L498" s="23" t="s">
        <v>288</v>
      </c>
      <c r="N498" s="131"/>
    </row>
    <row r="499" spans="1:14" ht="12.2" customHeight="1" x14ac:dyDescent="0.2">
      <c r="A499" s="144" t="s">
        <v>622</v>
      </c>
      <c r="B499" s="145">
        <v>20</v>
      </c>
      <c r="C499" s="145">
        <v>9</v>
      </c>
      <c r="D499" s="146" t="s">
        <v>432</v>
      </c>
      <c r="E499" s="145"/>
      <c r="F499" s="147">
        <v>725000</v>
      </c>
      <c r="G499" s="147"/>
      <c r="H499" s="147"/>
      <c r="I499" s="147"/>
      <c r="J499" s="147"/>
      <c r="K499" s="148">
        <f t="shared" si="35"/>
        <v>725000</v>
      </c>
      <c r="L499" s="149" t="s">
        <v>288</v>
      </c>
      <c r="N499" s="131"/>
    </row>
    <row r="500" spans="1:14" ht="12.2" customHeight="1" thickBot="1" x14ac:dyDescent="0.25">
      <c r="A500" s="21" t="s">
        <v>623</v>
      </c>
      <c r="B500" s="22">
        <v>20</v>
      </c>
      <c r="C500" s="22">
        <v>10</v>
      </c>
      <c r="D500" s="2" t="s">
        <v>432</v>
      </c>
      <c r="E500" s="22"/>
      <c r="F500" s="18">
        <v>92437.5</v>
      </c>
      <c r="G500" s="18"/>
      <c r="H500" s="18"/>
      <c r="I500" s="18"/>
      <c r="J500" s="18"/>
      <c r="K500" s="19">
        <f t="shared" si="35"/>
        <v>92437.5</v>
      </c>
      <c r="L500" s="23" t="s">
        <v>288</v>
      </c>
      <c r="N500" s="131"/>
    </row>
    <row r="501" spans="1:14" ht="12.2" customHeight="1" thickTop="1" x14ac:dyDescent="0.2">
      <c r="A501" s="97" t="s">
        <v>624</v>
      </c>
      <c r="B501" s="41">
        <v>20</v>
      </c>
      <c r="C501" s="41">
        <v>11</v>
      </c>
      <c r="D501" s="36" t="s">
        <v>432</v>
      </c>
      <c r="E501" s="41"/>
      <c r="F501" s="39">
        <f>SUM(F499:F500)</f>
        <v>817437.5</v>
      </c>
      <c r="G501" s="39">
        <f>SUM(G499:G500)</f>
        <v>0</v>
      </c>
      <c r="H501" s="39">
        <f>SUM(H499:H500)</f>
        <v>0</v>
      </c>
      <c r="I501" s="39">
        <f>SUM(I499:I500)</f>
        <v>0</v>
      </c>
      <c r="J501" s="39">
        <f>SUM(J499:J500)</f>
        <v>0</v>
      </c>
      <c r="K501" s="39">
        <f t="shared" si="35"/>
        <v>817437.5</v>
      </c>
      <c r="L501" s="42" t="s">
        <v>288</v>
      </c>
      <c r="N501" s="131"/>
    </row>
    <row r="502" spans="1:14" ht="12.2" customHeight="1" x14ac:dyDescent="0.2">
      <c r="A502" s="144" t="s">
        <v>651</v>
      </c>
      <c r="B502" s="145">
        <v>20</v>
      </c>
      <c r="C502" s="145">
        <v>12</v>
      </c>
      <c r="D502" s="146" t="s">
        <v>432</v>
      </c>
      <c r="E502" s="145"/>
      <c r="F502" s="147">
        <v>145000</v>
      </c>
      <c r="G502" s="147"/>
      <c r="H502" s="147"/>
      <c r="I502" s="147"/>
      <c r="J502" s="147"/>
      <c r="K502" s="148">
        <f t="shared" si="35"/>
        <v>145000</v>
      </c>
      <c r="L502" s="149" t="s">
        <v>288</v>
      </c>
      <c r="N502" s="131"/>
    </row>
    <row r="503" spans="1:14" ht="12.2" customHeight="1" thickBot="1" x14ac:dyDescent="0.25">
      <c r="A503" s="21" t="s">
        <v>625</v>
      </c>
      <c r="B503" s="22">
        <v>20</v>
      </c>
      <c r="C503" s="22">
        <v>13</v>
      </c>
      <c r="D503" s="2" t="s">
        <v>432</v>
      </c>
      <c r="E503" s="22"/>
      <c r="F503" s="18">
        <f>18487.5+14790</f>
        <v>33277.5</v>
      </c>
      <c r="G503" s="18"/>
      <c r="H503" s="18"/>
      <c r="I503" s="18"/>
      <c r="J503" s="18"/>
      <c r="K503" s="19">
        <f t="shared" si="35"/>
        <v>33277.5</v>
      </c>
      <c r="L503" s="23" t="s">
        <v>288</v>
      </c>
      <c r="N503" s="131"/>
    </row>
    <row r="504" spans="1:14" ht="12.2" customHeight="1" thickTop="1" x14ac:dyDescent="0.2">
      <c r="A504" s="97" t="s">
        <v>626</v>
      </c>
      <c r="B504" s="41">
        <v>20</v>
      </c>
      <c r="C504" s="41">
        <v>14</v>
      </c>
      <c r="D504" s="36" t="s">
        <v>432</v>
      </c>
      <c r="E504" s="41"/>
      <c r="F504" s="39">
        <f>SUM(F502:F503)</f>
        <v>178277.5</v>
      </c>
      <c r="G504" s="39">
        <f>SUM(G502:G503)</f>
        <v>0</v>
      </c>
      <c r="H504" s="39">
        <f>SUM(H502:H503)</f>
        <v>0</v>
      </c>
      <c r="I504" s="39">
        <f>SUM(I502:I503)</f>
        <v>0</v>
      </c>
      <c r="J504" s="39">
        <f>SUM(J502:J503)</f>
        <v>0</v>
      </c>
      <c r="K504" s="39">
        <f t="shared" si="35"/>
        <v>178277.5</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v>1078309.6499999999</v>
      </c>
      <c r="G508" s="101"/>
      <c r="H508" s="101">
        <v>47083.54</v>
      </c>
      <c r="I508" s="101">
        <v>1031226.11</v>
      </c>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v>750120.15</v>
      </c>
      <c r="G512" s="23" t="s">
        <v>288</v>
      </c>
      <c r="H512" s="18">
        <v>750120.15</v>
      </c>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v>1535172.35</v>
      </c>
      <c r="G513" s="23" t="s">
        <v>288</v>
      </c>
      <c r="H513" s="18">
        <v>1535172.35</v>
      </c>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v>29018778.68</v>
      </c>
      <c r="G514" s="23" t="s">
        <v>288</v>
      </c>
      <c r="H514" s="18">
        <f>253567.25+29018778.68</f>
        <v>29272345.93</v>
      </c>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v>1454564.69</v>
      </c>
      <c r="G515" s="23" t="s">
        <v>288</v>
      </c>
      <c r="H515" s="18">
        <f>27499.5+1454564.69</f>
        <v>1482064.19</v>
      </c>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v>2848671</v>
      </c>
      <c r="G516" s="23" t="s">
        <v>288</v>
      </c>
      <c r="H516" s="18">
        <v>6280796.25</v>
      </c>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v>35607306.869999997</v>
      </c>
      <c r="H517" s="23" t="s">
        <v>288</v>
      </c>
      <c r="I517" s="18">
        <v>39320498.869999997</v>
      </c>
      <c r="J517" s="23" t="s">
        <v>288</v>
      </c>
      <c r="K517" s="23" t="s">
        <v>288</v>
      </c>
      <c r="L517" s="23" t="s">
        <v>288</v>
      </c>
      <c r="N517" s="131"/>
    </row>
    <row r="518" spans="1:14" ht="12.2" customHeight="1" thickTop="1" x14ac:dyDescent="0.2">
      <c r="A518" s="74" t="s">
        <v>427</v>
      </c>
      <c r="B518" s="22">
        <v>20</v>
      </c>
      <c r="C518" s="22">
        <v>22</v>
      </c>
      <c r="D518" s="2" t="s">
        <v>432</v>
      </c>
      <c r="E518" s="22"/>
      <c r="F518" s="39">
        <f>SUM(F512:F517)</f>
        <v>35607306.870000005</v>
      </c>
      <c r="G518" s="39">
        <f>SUM(G512:G517)</f>
        <v>35607306.869999997</v>
      </c>
      <c r="H518" s="39">
        <f>SUM(H512:H517)</f>
        <v>39320498.870000005</v>
      </c>
      <c r="I518" s="39">
        <f>SUM(I512:I517)</f>
        <v>39320498.869999997</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f>1326338.69+129383+1958.09</f>
        <v>1457679.78</v>
      </c>
      <c r="G522" s="18">
        <f>616093.81+67188.78+553.88</f>
        <v>683836.47000000009</v>
      </c>
      <c r="H522" s="18">
        <f>383998.36+1447.56</f>
        <v>385445.92</v>
      </c>
      <c r="I522" s="18">
        <f>22842.28+694.76+5399.08</f>
        <v>28936.119999999995</v>
      </c>
      <c r="J522" s="18">
        <f>4453.11</f>
        <v>4453.1099999999997</v>
      </c>
      <c r="K522" s="18">
        <v>0</v>
      </c>
      <c r="L522" s="69">
        <f>SUM(F522:K522)</f>
        <v>2560351.4</v>
      </c>
      <c r="N522" s="131"/>
    </row>
    <row r="523" spans="1:14" ht="12.2" customHeight="1" x14ac:dyDescent="0.2">
      <c r="A523" s="21" t="s">
        <v>634</v>
      </c>
      <c r="B523" s="22">
        <v>21</v>
      </c>
      <c r="C523" s="22">
        <v>2</v>
      </c>
      <c r="D523" s="2" t="s">
        <v>432</v>
      </c>
      <c r="E523" s="22"/>
      <c r="F523" s="18">
        <f>419948.16+21036.96+906.2</f>
        <v>441891.32</v>
      </c>
      <c r="G523" s="18">
        <f>237479.82+6397.49+256.33</f>
        <v>244133.63999999998</v>
      </c>
      <c r="H523" s="18">
        <f>408112.8</f>
        <v>408112.8</v>
      </c>
      <c r="I523" s="18">
        <f>1501.18+2498.68</f>
        <v>3999.8599999999997</v>
      </c>
      <c r="J523" s="18">
        <f>768.76</f>
        <v>768.76</v>
      </c>
      <c r="K523" s="18">
        <v>0</v>
      </c>
      <c r="L523" s="69">
        <f>SUM(F523:K523)</f>
        <v>1098906.3800000001</v>
      </c>
      <c r="N523" s="131"/>
    </row>
    <row r="524" spans="1:14" ht="12.2" customHeight="1" thickBot="1" x14ac:dyDescent="0.25">
      <c r="A524" s="21" t="s">
        <v>635</v>
      </c>
      <c r="B524" s="22">
        <v>21</v>
      </c>
      <c r="C524" s="22">
        <v>3</v>
      </c>
      <c r="D524" s="2" t="s">
        <v>432</v>
      </c>
      <c r="E524" s="22"/>
      <c r="F524" s="18">
        <f>506904.95+1135.7</f>
        <v>508040.65</v>
      </c>
      <c r="G524" s="18">
        <f>249320.72+321.25</f>
        <v>249641.97</v>
      </c>
      <c r="H524" s="18">
        <f>1069788.81</f>
        <v>1069788.81</v>
      </c>
      <c r="I524" s="18">
        <f>1148.19+3131.49</f>
        <v>4279.68</v>
      </c>
      <c r="J524" s="18">
        <v>0</v>
      </c>
      <c r="K524" s="18">
        <v>112</v>
      </c>
      <c r="L524" s="69">
        <f>SUM(F524:K524)</f>
        <v>1831863.11</v>
      </c>
      <c r="N524" s="131"/>
    </row>
    <row r="525" spans="1:14" ht="12.2" customHeight="1" thickTop="1" x14ac:dyDescent="0.2">
      <c r="A525" s="97" t="s">
        <v>63</v>
      </c>
      <c r="B525" s="41">
        <v>21</v>
      </c>
      <c r="C525" s="41">
        <v>4</v>
      </c>
      <c r="D525" s="115" t="s">
        <v>432</v>
      </c>
      <c r="E525" s="41"/>
      <c r="F525" s="81">
        <f>SUM(F522:F524)</f>
        <v>2407611.75</v>
      </c>
      <c r="G525" s="81">
        <f t="shared" ref="G525:L525" si="36">SUM(G522:G524)</f>
        <v>1177612.08</v>
      </c>
      <c r="H525" s="81">
        <f t="shared" si="36"/>
        <v>1863347.53</v>
      </c>
      <c r="I525" s="81">
        <f t="shared" si="36"/>
        <v>37215.659999999996</v>
      </c>
      <c r="J525" s="81">
        <f t="shared" si="36"/>
        <v>5221.87</v>
      </c>
      <c r="K525" s="81">
        <f t="shared" si="36"/>
        <v>112</v>
      </c>
      <c r="L525" s="70">
        <f t="shared" si="36"/>
        <v>5491120.8900000006</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v>123664.75</v>
      </c>
      <c r="G527" s="18">
        <v>72103.41</v>
      </c>
      <c r="H527" s="18">
        <f>310868.55+4048.85</f>
        <v>314917.39999999997</v>
      </c>
      <c r="I527" s="18">
        <f>11642.72+172.5+2802.36</f>
        <v>14617.58</v>
      </c>
      <c r="J527" s="18">
        <v>1875</v>
      </c>
      <c r="K527" s="18">
        <v>0</v>
      </c>
      <c r="L527" s="69">
        <f>SUM(F527:K527)</f>
        <v>527178.1399999999</v>
      </c>
      <c r="M527" s="8"/>
      <c r="N527" s="165"/>
    </row>
    <row r="528" spans="1:14" s="3" customFormat="1" ht="12.2" customHeight="1" x14ac:dyDescent="0.15">
      <c r="A528" s="21" t="s">
        <v>634</v>
      </c>
      <c r="B528" s="22">
        <v>21</v>
      </c>
      <c r="C528" s="22">
        <v>6</v>
      </c>
      <c r="D528" s="2" t="s">
        <v>432</v>
      </c>
      <c r="E528" s="22"/>
      <c r="F528" s="18">
        <v>63605.11</v>
      </c>
      <c r="G528" s="18">
        <v>37132.25</v>
      </c>
      <c r="H528" s="18">
        <f>105196.29+1873.8</f>
        <v>107070.09</v>
      </c>
      <c r="I528" s="18">
        <f>1933.21+1296.93</f>
        <v>3230.1400000000003</v>
      </c>
      <c r="J528" s="18">
        <v>749</v>
      </c>
      <c r="K528" s="18">
        <v>0</v>
      </c>
      <c r="L528" s="69">
        <f>SUM(F528:K528)</f>
        <v>211786.59000000003</v>
      </c>
      <c r="M528" s="8"/>
      <c r="N528" s="165"/>
    </row>
    <row r="529" spans="1:14" s="3" customFormat="1" ht="12.2" customHeight="1" thickBot="1" x14ac:dyDescent="0.2">
      <c r="A529" s="21" t="s">
        <v>635</v>
      </c>
      <c r="B529" s="22">
        <v>21</v>
      </c>
      <c r="C529" s="22">
        <v>7</v>
      </c>
      <c r="D529" s="2" t="s">
        <v>432</v>
      </c>
      <c r="E529" s="22"/>
      <c r="F529" s="18">
        <v>62510.84</v>
      </c>
      <c r="G529" s="18">
        <v>36821.47</v>
      </c>
      <c r="H529" s="18">
        <f>103609.09+2348.35</f>
        <v>105957.44</v>
      </c>
      <c r="I529" s="18">
        <f>2638.84+1625.38</f>
        <v>4264.22</v>
      </c>
      <c r="J529" s="18">
        <v>0</v>
      </c>
      <c r="K529" s="18">
        <v>0</v>
      </c>
      <c r="L529" s="69">
        <f>SUM(F529:K529)</f>
        <v>209553.97</v>
      </c>
      <c r="M529" s="8"/>
      <c r="N529" s="165"/>
    </row>
    <row r="530" spans="1:14" s="3" customFormat="1" ht="12.2" customHeight="1" thickTop="1" x14ac:dyDescent="0.15">
      <c r="A530" s="97" t="s">
        <v>65</v>
      </c>
      <c r="B530" s="41">
        <v>21</v>
      </c>
      <c r="C530" s="41">
        <v>8</v>
      </c>
      <c r="D530" s="115" t="s">
        <v>432</v>
      </c>
      <c r="E530" s="41"/>
      <c r="F530" s="70">
        <f>SUM(F527:F529)</f>
        <v>249780.69999999998</v>
      </c>
      <c r="G530" s="70">
        <f t="shared" ref="G530:L530" si="37">SUM(G527:G529)</f>
        <v>146057.13</v>
      </c>
      <c r="H530" s="70">
        <f t="shared" si="37"/>
        <v>527944.92999999993</v>
      </c>
      <c r="I530" s="70">
        <f t="shared" si="37"/>
        <v>22111.940000000002</v>
      </c>
      <c r="J530" s="70">
        <f t="shared" si="37"/>
        <v>2624</v>
      </c>
      <c r="K530" s="70">
        <f t="shared" si="37"/>
        <v>0</v>
      </c>
      <c r="L530" s="70">
        <f t="shared" si="37"/>
        <v>948518.7</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183068.81</v>
      </c>
      <c r="G532" s="18">
        <v>111111.7</v>
      </c>
      <c r="H532" s="18">
        <v>11496.51</v>
      </c>
      <c r="I532" s="18">
        <v>767.11</v>
      </c>
      <c r="J532" s="18">
        <v>7275.26</v>
      </c>
      <c r="K532" s="18">
        <v>7699.93</v>
      </c>
      <c r="L532" s="69">
        <f>SUM(F532:K532)</f>
        <v>321419.32</v>
      </c>
      <c r="M532" s="8"/>
      <c r="N532" s="165"/>
    </row>
    <row r="533" spans="1:14" s="3" customFormat="1" ht="12.2" customHeight="1" x14ac:dyDescent="0.15">
      <c r="A533" s="21" t="s">
        <v>634</v>
      </c>
      <c r="B533" s="22">
        <v>21</v>
      </c>
      <c r="C533" s="22">
        <v>10</v>
      </c>
      <c r="D533" s="2" t="s">
        <v>432</v>
      </c>
      <c r="E533" s="22"/>
      <c r="F533" s="18">
        <v>84723.93</v>
      </c>
      <c r="G533" s="18">
        <v>51422.3</v>
      </c>
      <c r="H533" s="18">
        <v>5320.57</v>
      </c>
      <c r="I533" s="18">
        <v>355.02</v>
      </c>
      <c r="J533" s="18">
        <v>3366.98</v>
      </c>
      <c r="K533" s="18">
        <v>3563.51</v>
      </c>
      <c r="L533" s="69">
        <f>SUM(F533:K533)</f>
        <v>148752.31</v>
      </c>
      <c r="M533" s="8"/>
      <c r="N533" s="165"/>
    </row>
    <row r="534" spans="1:14" s="3" customFormat="1" ht="12.2" customHeight="1" thickBot="1" x14ac:dyDescent="0.2">
      <c r="A534" s="21" t="s">
        <v>635</v>
      </c>
      <c r="B534" s="22">
        <v>21</v>
      </c>
      <c r="C534" s="22">
        <v>11</v>
      </c>
      <c r="D534" s="2" t="s">
        <v>432</v>
      </c>
      <c r="E534" s="22"/>
      <c r="F534" s="18">
        <v>106180.66</v>
      </c>
      <c r="G534" s="18">
        <v>64445.24</v>
      </c>
      <c r="H534" s="18">
        <v>6668.03</v>
      </c>
      <c r="I534" s="18">
        <v>444.93</v>
      </c>
      <c r="J534" s="18">
        <v>4219.67</v>
      </c>
      <c r="K534" s="18">
        <v>4465.99</v>
      </c>
      <c r="L534" s="69">
        <f>SUM(F534:K534)</f>
        <v>186424.52</v>
      </c>
      <c r="M534" s="8"/>
      <c r="N534" s="165"/>
    </row>
    <row r="535" spans="1:14" s="3" customFormat="1" ht="12.2" customHeight="1" thickTop="1" x14ac:dyDescent="0.15">
      <c r="A535" s="97" t="s">
        <v>67</v>
      </c>
      <c r="B535" s="41">
        <v>21</v>
      </c>
      <c r="C535" s="41">
        <v>12</v>
      </c>
      <c r="D535" s="115" t="s">
        <v>432</v>
      </c>
      <c r="E535" s="41"/>
      <c r="F535" s="70">
        <f>SUM(F532:F534)</f>
        <v>373973.4</v>
      </c>
      <c r="G535" s="70">
        <f t="shared" ref="G535:L535" si="38">SUM(G532:G534)</f>
        <v>226979.24</v>
      </c>
      <c r="H535" s="70">
        <f t="shared" si="38"/>
        <v>23485.11</v>
      </c>
      <c r="I535" s="70">
        <f t="shared" si="38"/>
        <v>1567.0600000000002</v>
      </c>
      <c r="J535" s="70">
        <f t="shared" si="38"/>
        <v>14861.91</v>
      </c>
      <c r="K535" s="70">
        <f t="shared" si="38"/>
        <v>15729.43</v>
      </c>
      <c r="L535" s="70">
        <f t="shared" si="38"/>
        <v>656596.15</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v>1412.51</v>
      </c>
      <c r="I537" s="18"/>
      <c r="J537" s="18"/>
      <c r="K537" s="18">
        <v>4330.75</v>
      </c>
      <c r="L537" s="69">
        <f>SUM(F537:K537)</f>
        <v>5743.26</v>
      </c>
      <c r="M537" s="8"/>
      <c r="N537" s="165"/>
    </row>
    <row r="538" spans="1:14" s="3" customFormat="1" ht="12.2" customHeight="1" x14ac:dyDescent="0.15">
      <c r="A538" s="21" t="s">
        <v>634</v>
      </c>
      <c r="B538" s="22">
        <v>21</v>
      </c>
      <c r="C538" s="22">
        <v>14</v>
      </c>
      <c r="D538" s="2" t="s">
        <v>432</v>
      </c>
      <c r="E538" s="22"/>
      <c r="F538" s="18"/>
      <c r="G538" s="18"/>
      <c r="H538" s="18">
        <v>653.71</v>
      </c>
      <c r="I538" s="18"/>
      <c r="J538" s="18"/>
      <c r="K538" s="18">
        <v>2004.26</v>
      </c>
      <c r="L538" s="69">
        <f>SUM(F538:K538)</f>
        <v>2657.9700000000003</v>
      </c>
      <c r="M538" s="8"/>
      <c r="N538" s="165"/>
    </row>
    <row r="539" spans="1:14" s="3" customFormat="1" ht="12.2" customHeight="1" thickBot="1" x14ac:dyDescent="0.2">
      <c r="A539" s="21" t="s">
        <v>635</v>
      </c>
      <c r="B539" s="22">
        <v>21</v>
      </c>
      <c r="C539" s="22">
        <v>15</v>
      </c>
      <c r="D539" s="2" t="s">
        <v>432</v>
      </c>
      <c r="E539" s="22"/>
      <c r="F539" s="18"/>
      <c r="G539" s="18"/>
      <c r="H539" s="18">
        <v>819.26</v>
      </c>
      <c r="I539" s="18"/>
      <c r="J539" s="18"/>
      <c r="K539" s="18">
        <v>2511.85</v>
      </c>
      <c r="L539" s="69">
        <f>SUM(F539:K539)</f>
        <v>3331.1099999999997</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2885.4800000000005</v>
      </c>
      <c r="I540" s="70">
        <f t="shared" si="39"/>
        <v>0</v>
      </c>
      <c r="J540" s="70">
        <f t="shared" si="39"/>
        <v>0</v>
      </c>
      <c r="K540" s="70">
        <f t="shared" si="39"/>
        <v>8846.86</v>
      </c>
      <c r="L540" s="70">
        <f t="shared" si="39"/>
        <v>11732.34</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v>263021.90000000002</v>
      </c>
      <c r="I542" s="18"/>
      <c r="J542" s="18"/>
      <c r="K542" s="18"/>
      <c r="L542" s="69">
        <f>SUM(F542:K542)</f>
        <v>263021.90000000002</v>
      </c>
      <c r="M542" s="8"/>
      <c r="N542" s="165"/>
    </row>
    <row r="543" spans="1:14" s="3" customFormat="1" ht="12.2" customHeight="1" x14ac:dyDescent="0.15">
      <c r="A543" s="21" t="s">
        <v>634</v>
      </c>
      <c r="B543" s="22">
        <v>21</v>
      </c>
      <c r="C543" s="22">
        <v>18</v>
      </c>
      <c r="D543" s="2" t="s">
        <v>432</v>
      </c>
      <c r="E543" s="22"/>
      <c r="F543" s="18"/>
      <c r="G543" s="18"/>
      <c r="H543" s="18">
        <v>83930.82</v>
      </c>
      <c r="I543" s="18"/>
      <c r="J543" s="18"/>
      <c r="K543" s="18"/>
      <c r="L543" s="69">
        <f>SUM(F543:K543)</f>
        <v>83930.82</v>
      </c>
      <c r="M543" s="8"/>
      <c r="N543" s="165"/>
    </row>
    <row r="544" spans="1:14" s="3" customFormat="1" ht="12.2" customHeight="1" thickBot="1" x14ac:dyDescent="0.2">
      <c r="A544" s="21" t="s">
        <v>635</v>
      </c>
      <c r="B544" s="22">
        <v>21</v>
      </c>
      <c r="C544" s="22">
        <v>19</v>
      </c>
      <c r="D544" s="2" t="s">
        <v>432</v>
      </c>
      <c r="E544" s="22"/>
      <c r="F544" s="18"/>
      <c r="G544" s="18"/>
      <c r="H544" s="18">
        <v>209710.92</v>
      </c>
      <c r="I544" s="18"/>
      <c r="J544" s="18"/>
      <c r="K544" s="18"/>
      <c r="L544" s="69">
        <f>SUM(F544:K544)</f>
        <v>209710.92</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556663.64</v>
      </c>
      <c r="I545" s="141">
        <f t="shared" si="40"/>
        <v>0</v>
      </c>
      <c r="J545" s="141">
        <f t="shared" si="40"/>
        <v>0</v>
      </c>
      <c r="K545" s="141">
        <f t="shared" si="40"/>
        <v>0</v>
      </c>
      <c r="L545" s="141">
        <f t="shared" si="40"/>
        <v>556663.64</v>
      </c>
      <c r="M545" s="8"/>
      <c r="N545" s="165"/>
    </row>
    <row r="546" spans="1:14" s="3" customFormat="1" ht="12.2" customHeight="1" thickTop="1" x14ac:dyDescent="0.15">
      <c r="A546" s="75" t="s">
        <v>72</v>
      </c>
      <c r="B546" s="41">
        <v>21</v>
      </c>
      <c r="C546" s="41">
        <v>21</v>
      </c>
      <c r="D546" s="115" t="s">
        <v>432</v>
      </c>
      <c r="E546" s="41"/>
      <c r="F546" s="70">
        <f>F525+F530+F535+F540+F545</f>
        <v>3031365.85</v>
      </c>
      <c r="G546" s="70">
        <f t="shared" ref="G546:L546" si="41">G525+G530+G535+G540+G545</f>
        <v>1550648.45</v>
      </c>
      <c r="H546" s="70">
        <f t="shared" si="41"/>
        <v>2974326.69</v>
      </c>
      <c r="I546" s="70">
        <f t="shared" si="41"/>
        <v>60894.659999999996</v>
      </c>
      <c r="J546" s="70">
        <f t="shared" si="41"/>
        <v>22707.78</v>
      </c>
      <c r="K546" s="70">
        <f t="shared" si="41"/>
        <v>24688.29</v>
      </c>
      <c r="L546" s="70">
        <f t="shared" si="41"/>
        <v>7664631.7200000007</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2560351.4</v>
      </c>
      <c r="G550" s="69">
        <f>L527</f>
        <v>527178.1399999999</v>
      </c>
      <c r="H550" s="69">
        <f>L532</f>
        <v>321419.32</v>
      </c>
      <c r="I550" s="69">
        <f>L537</f>
        <v>5743.26</v>
      </c>
      <c r="J550" s="69">
        <f>L542</f>
        <v>263021.90000000002</v>
      </c>
      <c r="K550" s="69">
        <f>SUM(F550:J550)</f>
        <v>3677714.0199999996</v>
      </c>
      <c r="L550" s="23" t="s">
        <v>288</v>
      </c>
      <c r="M550" s="8"/>
      <c r="N550" s="165"/>
    </row>
    <row r="551" spans="1:14" s="3" customFormat="1" ht="12.2" customHeight="1" x14ac:dyDescent="0.15">
      <c r="A551" s="21" t="s">
        <v>634</v>
      </c>
      <c r="B551" s="22">
        <v>21</v>
      </c>
      <c r="C551" s="22">
        <v>23</v>
      </c>
      <c r="D551" s="2" t="s">
        <v>432</v>
      </c>
      <c r="E551" s="22"/>
      <c r="F551" s="69">
        <f>L523</f>
        <v>1098906.3800000001</v>
      </c>
      <c r="G551" s="69">
        <f>L528</f>
        <v>211786.59000000003</v>
      </c>
      <c r="H551" s="69">
        <f>L533</f>
        <v>148752.31</v>
      </c>
      <c r="I551" s="69">
        <f>L538</f>
        <v>2657.9700000000003</v>
      </c>
      <c r="J551" s="69">
        <f>L543</f>
        <v>83930.82</v>
      </c>
      <c r="K551" s="69">
        <f>SUM(F551:J551)</f>
        <v>1546034.0700000003</v>
      </c>
      <c r="L551" s="23" t="s">
        <v>288</v>
      </c>
      <c r="M551" s="8"/>
      <c r="N551" s="165"/>
    </row>
    <row r="552" spans="1:14" s="3" customFormat="1" ht="12.2" customHeight="1" thickBot="1" x14ac:dyDescent="0.2">
      <c r="A552" s="21" t="s">
        <v>635</v>
      </c>
      <c r="B552" s="22">
        <v>21</v>
      </c>
      <c r="C552" s="22">
        <v>24</v>
      </c>
      <c r="D552" s="2" t="s">
        <v>432</v>
      </c>
      <c r="E552" s="22"/>
      <c r="F552" s="69">
        <f>L524</f>
        <v>1831863.11</v>
      </c>
      <c r="G552" s="69">
        <f>L529</f>
        <v>209553.97</v>
      </c>
      <c r="H552" s="69">
        <f>L534</f>
        <v>186424.52</v>
      </c>
      <c r="I552" s="69">
        <f>L539</f>
        <v>3331.1099999999997</v>
      </c>
      <c r="J552" s="69">
        <f>L544</f>
        <v>209710.92</v>
      </c>
      <c r="K552" s="69">
        <f>SUM(F552:J552)</f>
        <v>2440883.63</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5491120.8900000006</v>
      </c>
      <c r="G553" s="70">
        <f t="shared" si="42"/>
        <v>948518.7</v>
      </c>
      <c r="H553" s="70">
        <f t="shared" si="42"/>
        <v>656596.15</v>
      </c>
      <c r="I553" s="70">
        <f t="shared" si="42"/>
        <v>11732.34</v>
      </c>
      <c r="J553" s="70">
        <f t="shared" si="42"/>
        <v>556663.64</v>
      </c>
      <c r="K553" s="70">
        <f t="shared" si="42"/>
        <v>7664631.7199999997</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v>2378.62</v>
      </c>
      <c r="G563" s="18">
        <v>659.98</v>
      </c>
      <c r="H563" s="18"/>
      <c r="I563" s="18"/>
      <c r="J563" s="18"/>
      <c r="K563" s="18"/>
      <c r="L563" s="69">
        <f>SUM(F563:K563)</f>
        <v>3038.6</v>
      </c>
      <c r="M563" s="8"/>
      <c r="N563" s="165"/>
    </row>
    <row r="564" spans="1:14" s="3" customFormat="1" ht="12.2" customHeight="1" x14ac:dyDescent="0.15">
      <c r="A564" s="21" t="s">
        <v>634</v>
      </c>
      <c r="B564" s="22">
        <v>22</v>
      </c>
      <c r="C564" s="22">
        <v>6</v>
      </c>
      <c r="D564" s="2" t="s">
        <v>432</v>
      </c>
      <c r="E564" s="22"/>
      <c r="F564" s="18">
        <v>37619.58</v>
      </c>
      <c r="G564" s="18">
        <v>23279.17</v>
      </c>
      <c r="H564" s="18"/>
      <c r="I564" s="18"/>
      <c r="J564" s="18"/>
      <c r="K564" s="18"/>
      <c r="L564" s="69">
        <f>SUM(F564:K564)</f>
        <v>60898.75</v>
      </c>
      <c r="M564" s="8"/>
      <c r="N564" s="165"/>
    </row>
    <row r="565" spans="1:14" s="3" customFormat="1" ht="12.2" customHeight="1" thickBot="1" x14ac:dyDescent="0.2">
      <c r="A565" s="21" t="s">
        <v>635</v>
      </c>
      <c r="B565" s="22">
        <v>22</v>
      </c>
      <c r="C565" s="22">
        <v>7</v>
      </c>
      <c r="D565" s="2" t="s">
        <v>432</v>
      </c>
      <c r="E565" s="22"/>
      <c r="F565" s="18">
        <v>38282.74</v>
      </c>
      <c r="G565" s="18">
        <v>23466.07</v>
      </c>
      <c r="H565" s="18"/>
      <c r="I565" s="18"/>
      <c r="J565" s="18"/>
      <c r="K565" s="18"/>
      <c r="L565" s="69">
        <f>SUM(F565:K565)</f>
        <v>61748.81</v>
      </c>
      <c r="M565" s="8"/>
      <c r="N565" s="165"/>
    </row>
    <row r="566" spans="1:14" s="3" customFormat="1" ht="12.2" customHeight="1" thickTop="1" x14ac:dyDescent="0.15">
      <c r="A566" s="97" t="s">
        <v>65</v>
      </c>
      <c r="B566" s="41">
        <v>22</v>
      </c>
      <c r="C566" s="41">
        <v>8</v>
      </c>
      <c r="D566" s="115" t="s">
        <v>432</v>
      </c>
      <c r="E566" s="41"/>
      <c r="F566" s="70">
        <f t="shared" ref="F566:L566" si="44">SUM(F563:F565)</f>
        <v>78280.94</v>
      </c>
      <c r="G566" s="70">
        <f t="shared" si="44"/>
        <v>47405.22</v>
      </c>
      <c r="H566" s="70">
        <f t="shared" si="44"/>
        <v>0</v>
      </c>
      <c r="I566" s="70">
        <f t="shared" si="44"/>
        <v>0</v>
      </c>
      <c r="J566" s="70">
        <f t="shared" si="44"/>
        <v>0</v>
      </c>
      <c r="K566" s="70">
        <f t="shared" si="44"/>
        <v>0</v>
      </c>
      <c r="L566" s="70">
        <f t="shared" si="44"/>
        <v>125686.16</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78280.94</v>
      </c>
      <c r="G572" s="70">
        <f t="shared" ref="G572:L572" si="46">G561+G566+G571</f>
        <v>47405.22</v>
      </c>
      <c r="H572" s="70">
        <f t="shared" si="46"/>
        <v>0</v>
      </c>
      <c r="I572" s="70">
        <f t="shared" si="46"/>
        <v>0</v>
      </c>
      <c r="J572" s="70">
        <f t="shared" si="46"/>
        <v>0</v>
      </c>
      <c r="K572" s="70">
        <f t="shared" si="46"/>
        <v>0</v>
      </c>
      <c r="L572" s="70">
        <f t="shared" si="46"/>
        <v>125686.16</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v>1875</v>
      </c>
      <c r="H579" s="18"/>
      <c r="I579" s="69">
        <f t="shared" si="47"/>
        <v>1875</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v>165659.29999999999</v>
      </c>
      <c r="G581" s="18">
        <v>50293.440000000002</v>
      </c>
      <c r="H581" s="18">
        <v>78476</v>
      </c>
      <c r="I581" s="69">
        <f t="shared" si="47"/>
        <v>294428.74</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178381.37</v>
      </c>
      <c r="G583" s="18">
        <v>342908.06</v>
      </c>
      <c r="H583" s="18">
        <v>611146.6</v>
      </c>
      <c r="I583" s="69">
        <f t="shared" si="47"/>
        <v>1132436.03</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v>368039.44</v>
      </c>
      <c r="I584" s="69">
        <f t="shared" si="47"/>
        <v>368039.44</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v>39345.86</v>
      </c>
      <c r="I585" s="69">
        <f t="shared" si="47"/>
        <v>39345.86</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368094.48</v>
      </c>
      <c r="I592" s="18">
        <v>170353.48</v>
      </c>
      <c r="J592" s="18">
        <v>213496.3</v>
      </c>
      <c r="K592" s="80">
        <f t="shared" ref="K592:K598" si="48">SUM(H592:J592)</f>
        <v>751944.26</v>
      </c>
      <c r="L592" s="23" t="s">
        <v>288</v>
      </c>
      <c r="M592" s="8"/>
      <c r="N592" s="165"/>
    </row>
    <row r="593" spans="1:14" s="3" customFormat="1" ht="12.2" customHeight="1" x14ac:dyDescent="0.15">
      <c r="A593" s="3" t="s">
        <v>638</v>
      </c>
      <c r="B593" s="22">
        <v>23</v>
      </c>
      <c r="C593" s="22">
        <v>2</v>
      </c>
      <c r="D593" s="2" t="s">
        <v>432</v>
      </c>
      <c r="E593" s="22"/>
      <c r="F593" s="78">
        <v>2722</v>
      </c>
      <c r="G593" s="79" t="s">
        <v>97</v>
      </c>
      <c r="H593" s="18">
        <v>263021.90000000002</v>
      </c>
      <c r="I593" s="18">
        <v>83930.82</v>
      </c>
      <c r="J593" s="18">
        <v>209710.92</v>
      </c>
      <c r="K593" s="80">
        <f t="shared" si="48"/>
        <v>556663.64</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v>132966</v>
      </c>
      <c r="K594" s="80">
        <f t="shared" si="48"/>
        <v>132966</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v>10187.049999999999</v>
      </c>
      <c r="J595" s="18">
        <v>49411.24</v>
      </c>
      <c r="K595" s="80">
        <f t="shared" si="48"/>
        <v>59598.289999999994</v>
      </c>
      <c r="L595" s="23" t="s">
        <v>288</v>
      </c>
      <c r="M595" s="8"/>
      <c r="N595" s="165"/>
    </row>
    <row r="596" spans="1:14" s="3" customFormat="1" ht="12.2" customHeight="1" x14ac:dyDescent="0.15">
      <c r="A596" s="103" t="s">
        <v>652</v>
      </c>
      <c r="B596" s="22">
        <v>23</v>
      </c>
      <c r="C596" s="22">
        <v>5</v>
      </c>
      <c r="D596" s="2" t="s">
        <v>432</v>
      </c>
      <c r="E596" s="22"/>
      <c r="F596" s="78">
        <v>2725</v>
      </c>
      <c r="G596" s="79" t="s">
        <v>97</v>
      </c>
      <c r="H596" s="18">
        <v>9359.7000000000007</v>
      </c>
      <c r="I596" s="18">
        <v>2741.5</v>
      </c>
      <c r="J596" s="18">
        <v>5941.72</v>
      </c>
      <c r="K596" s="80">
        <f t="shared" si="48"/>
        <v>18042.920000000002</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640476.07999999996</v>
      </c>
      <c r="I599" s="81">
        <f>SUM(I592:I598)</f>
        <v>267212.85000000003</v>
      </c>
      <c r="J599" s="81">
        <f>SUM(J592:J598)</f>
        <v>611526.17999999993</v>
      </c>
      <c r="K599" s="81">
        <f>SUM(K592:K598)</f>
        <v>1519215.1099999999</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379555.45</v>
      </c>
      <c r="I605" s="18">
        <v>125453.55</v>
      </c>
      <c r="J605" s="18">
        <v>238531.8</v>
      </c>
      <c r="K605" s="80">
        <f>SUM(H605:J605)</f>
        <v>743540.8</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379555.45</v>
      </c>
      <c r="I606" s="81">
        <f>SUM(I603:I605)</f>
        <v>125453.55</v>
      </c>
      <c r="J606" s="81">
        <f>SUM(J603:J605)</f>
        <v>238531.8</v>
      </c>
      <c r="K606" s="81">
        <f>SUM(K603:K605)</f>
        <v>743540.8</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v>64512.639999999999</v>
      </c>
      <c r="G612" s="18">
        <v>15802.68</v>
      </c>
      <c r="H612" s="18">
        <v>860.94</v>
      </c>
      <c r="I612" s="18">
        <v>614.05999999999995</v>
      </c>
      <c r="J612" s="18"/>
      <c r="K612" s="18"/>
      <c r="L612" s="69">
        <f>SUM(F612:K612)</f>
        <v>81790.320000000007</v>
      </c>
      <c r="M612" s="8"/>
      <c r="N612" s="165"/>
    </row>
    <row r="613" spans="1:14" s="3" customFormat="1" ht="12.2" customHeight="1" x14ac:dyDescent="0.15">
      <c r="A613" s="21" t="s">
        <v>634</v>
      </c>
      <c r="B613" s="22">
        <v>23</v>
      </c>
      <c r="C613" s="22">
        <v>14</v>
      </c>
      <c r="D613" s="2" t="s">
        <v>432</v>
      </c>
      <c r="E613" s="22"/>
      <c r="F613" s="18">
        <v>12796.5</v>
      </c>
      <c r="G613" s="18">
        <v>3403.02</v>
      </c>
      <c r="H613" s="18">
        <v>398.44</v>
      </c>
      <c r="I613" s="18"/>
      <c r="J613" s="18"/>
      <c r="K613" s="18"/>
      <c r="L613" s="69">
        <f>SUM(F613:K613)</f>
        <v>16597.96</v>
      </c>
      <c r="M613" s="8"/>
      <c r="N613" s="165"/>
    </row>
    <row r="614" spans="1:14" s="3" customFormat="1" ht="12.2" customHeight="1" thickBot="1" x14ac:dyDescent="0.2">
      <c r="A614" s="21" t="s">
        <v>645</v>
      </c>
      <c r="B614" s="22">
        <v>23</v>
      </c>
      <c r="C614" s="22">
        <v>15</v>
      </c>
      <c r="D614" s="2" t="s">
        <v>432</v>
      </c>
      <c r="E614" s="22"/>
      <c r="F614" s="18">
        <v>10770.02</v>
      </c>
      <c r="G614" s="18">
        <v>2435.38</v>
      </c>
      <c r="H614" s="18">
        <v>499.35</v>
      </c>
      <c r="I614" s="18"/>
      <c r="J614" s="18"/>
      <c r="K614" s="18"/>
      <c r="L614" s="69">
        <f>SUM(F614:K614)</f>
        <v>13704.750000000002</v>
      </c>
      <c r="M614" s="8"/>
      <c r="N614" s="165"/>
    </row>
    <row r="615" spans="1:14" s="3" customFormat="1" ht="12.2" customHeight="1" thickTop="1" x14ac:dyDescent="0.15">
      <c r="A615" s="75" t="s">
        <v>340</v>
      </c>
      <c r="B615" s="41">
        <v>23</v>
      </c>
      <c r="C615" s="41">
        <v>16</v>
      </c>
      <c r="D615" s="36" t="s">
        <v>432</v>
      </c>
      <c r="E615" s="41"/>
      <c r="F615" s="81">
        <f t="shared" ref="F615:L615" si="49">SUM(F612:F614)</f>
        <v>88079.16</v>
      </c>
      <c r="G615" s="81">
        <f t="shared" si="49"/>
        <v>21641.08</v>
      </c>
      <c r="H615" s="81">
        <f t="shared" si="49"/>
        <v>1758.73</v>
      </c>
      <c r="I615" s="81">
        <f t="shared" si="49"/>
        <v>614.05999999999995</v>
      </c>
      <c r="J615" s="81">
        <f t="shared" si="49"/>
        <v>0</v>
      </c>
      <c r="K615" s="81">
        <f t="shared" si="49"/>
        <v>0</v>
      </c>
      <c r="L615" s="70">
        <f t="shared" si="49"/>
        <v>112093.03</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2308520.65</v>
      </c>
      <c r="H618" s="80">
        <f>SUM(F52)</f>
        <v>2308520.65</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286372.40000000002</v>
      </c>
      <c r="H619" s="80">
        <f>SUM(G52)</f>
        <v>286372.40000000002</v>
      </c>
      <c r="I619" s="87" t="s">
        <v>875</v>
      </c>
      <c r="J619" s="80">
        <f>G619-H619</f>
        <v>0</v>
      </c>
      <c r="K619" s="80"/>
      <c r="L619" s="80"/>
      <c r="M619" s="8"/>
    </row>
    <row r="620" spans="1:14" s="3" customFormat="1" ht="12.2" customHeight="1" x14ac:dyDescent="0.15">
      <c r="A620" s="74"/>
      <c r="B620" s="22"/>
      <c r="C620" s="22"/>
      <c r="D620" s="22"/>
      <c r="E620" s="22"/>
      <c r="F620" s="87" t="s">
        <v>685</v>
      </c>
      <c r="G620" s="80">
        <f>SUM(H19)</f>
        <v>322707.01</v>
      </c>
      <c r="H620" s="80">
        <f>SUM(H52)</f>
        <v>322707.01</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3201971.95</v>
      </c>
      <c r="H622" s="80">
        <f>SUM(J52)</f>
        <v>3201971.95</v>
      </c>
      <c r="I622" s="87" t="s">
        <v>878</v>
      </c>
      <c r="J622" s="80">
        <f>G622-H622</f>
        <v>0</v>
      </c>
      <c r="K622" s="80"/>
      <c r="L622" s="80"/>
      <c r="M622" s="8"/>
    </row>
    <row r="623" spans="1:14" s="3" customFormat="1" ht="12.2" customHeight="1" x14ac:dyDescent="0.15">
      <c r="A623" s="74"/>
      <c r="B623" s="22"/>
      <c r="C623" s="22"/>
      <c r="D623" s="22"/>
      <c r="E623" s="22"/>
      <c r="F623" s="87" t="s">
        <v>864</v>
      </c>
      <c r="G623" s="80">
        <f>F51</f>
        <v>1821376.69</v>
      </c>
      <c r="H623" s="80">
        <f>F477</f>
        <v>1821376.6899999976</v>
      </c>
      <c r="I623" s="87" t="s">
        <v>101</v>
      </c>
      <c r="J623" s="80">
        <f t="shared" ref="J623:J656" si="50">G623-H623</f>
        <v>2.3283064365386963E-9</v>
      </c>
      <c r="K623" s="80"/>
      <c r="L623" s="80"/>
      <c r="M623" s="8"/>
    </row>
    <row r="624" spans="1:14" s="3" customFormat="1" ht="12.2" customHeight="1" x14ac:dyDescent="0.15">
      <c r="A624" s="74"/>
      <c r="B624" s="22"/>
      <c r="C624" s="85"/>
      <c r="D624" s="85"/>
      <c r="E624" s="85"/>
      <c r="F624" s="85" t="s">
        <v>865</v>
      </c>
      <c r="G624" s="80">
        <f>G51</f>
        <v>106434.75</v>
      </c>
      <c r="H624" s="80">
        <f>G477</f>
        <v>106434.75</v>
      </c>
      <c r="I624" s="87" t="s">
        <v>102</v>
      </c>
      <c r="J624" s="80">
        <f t="shared" si="50"/>
        <v>0</v>
      </c>
      <c r="K624" s="80"/>
      <c r="L624" s="80"/>
      <c r="M624" s="8"/>
    </row>
    <row r="625" spans="1:13" s="3" customFormat="1" ht="12.2" customHeight="1" x14ac:dyDescent="0.15">
      <c r="A625" s="74"/>
      <c r="B625" s="22"/>
      <c r="C625" s="22"/>
      <c r="D625" s="22"/>
      <c r="E625" s="22"/>
      <c r="F625" s="86" t="s">
        <v>866</v>
      </c>
      <c r="G625" s="80">
        <f>H51</f>
        <v>0</v>
      </c>
      <c r="H625" s="80">
        <f>H477</f>
        <v>0</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3119122.45</v>
      </c>
      <c r="H627" s="80">
        <f>J477</f>
        <v>3119122.4499999997</v>
      </c>
      <c r="I627" s="87" t="s">
        <v>105</v>
      </c>
      <c r="J627" s="80">
        <f t="shared" si="50"/>
        <v>0</v>
      </c>
      <c r="K627" s="67"/>
      <c r="L627" s="69"/>
      <c r="M627" s="8"/>
    </row>
    <row r="628" spans="1:13" s="3" customFormat="1" ht="12.2" customHeight="1" x14ac:dyDescent="0.15">
      <c r="A628" s="21"/>
      <c r="B628" s="22"/>
      <c r="C628" s="22"/>
      <c r="D628" s="22"/>
      <c r="E628" s="22"/>
      <c r="F628" s="86" t="s">
        <v>658</v>
      </c>
      <c r="G628" s="80">
        <f>F194</f>
        <v>27237291.490000002</v>
      </c>
      <c r="H628" s="80">
        <f>SUM(F469)</f>
        <v>27237291.489999998</v>
      </c>
      <c r="I628" s="87" t="s">
        <v>106</v>
      </c>
      <c r="J628" s="80">
        <f>G628-H628</f>
        <v>0</v>
      </c>
      <c r="K628" s="67"/>
      <c r="L628" s="69"/>
      <c r="M628" s="8"/>
    </row>
    <row r="629" spans="1:13" s="3" customFormat="1" ht="12.2" customHeight="1" x14ac:dyDescent="0.15">
      <c r="A629" s="21"/>
      <c r="B629" s="22"/>
      <c r="C629" s="22"/>
      <c r="D629" s="22"/>
      <c r="E629" s="22"/>
      <c r="F629" s="86" t="s">
        <v>659</v>
      </c>
      <c r="G629" s="80">
        <f>G194</f>
        <v>650687.02</v>
      </c>
      <c r="H629" s="80">
        <f>SUM(G469)</f>
        <v>650687.02</v>
      </c>
      <c r="I629" s="87" t="s">
        <v>107</v>
      </c>
      <c r="J629" s="80">
        <f>G629-H629</f>
        <v>0</v>
      </c>
      <c r="K629" s="67"/>
      <c r="L629" s="69"/>
      <c r="M629" s="8"/>
    </row>
    <row r="630" spans="1:13" s="3" customFormat="1" ht="12.2" customHeight="1" x14ac:dyDescent="0.15">
      <c r="A630" s="21"/>
      <c r="B630" s="22"/>
      <c r="C630" s="22"/>
      <c r="D630" s="22"/>
      <c r="E630" s="22"/>
      <c r="F630" s="86" t="s">
        <v>660</v>
      </c>
      <c r="G630" s="80">
        <f>H194</f>
        <v>1802056.05</v>
      </c>
      <c r="H630" s="80">
        <f>SUM(H469)</f>
        <v>1802056.05</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514408.57</v>
      </c>
      <c r="H632" s="80">
        <f>SUM(J469)</f>
        <v>514408.57</v>
      </c>
      <c r="I632" s="87" t="s">
        <v>110</v>
      </c>
      <c r="J632" s="80">
        <f>G632-H632</f>
        <v>0</v>
      </c>
      <c r="K632" s="67"/>
      <c r="L632" s="69"/>
      <c r="M632" s="8"/>
    </row>
    <row r="633" spans="1:13" s="3" customFormat="1" ht="12.2" customHeight="1" x14ac:dyDescent="0.15">
      <c r="A633" s="21"/>
      <c r="B633" s="22"/>
      <c r="C633" s="22"/>
      <c r="D633" s="22"/>
      <c r="E633" s="22"/>
      <c r="F633" s="86" t="s">
        <v>394</v>
      </c>
      <c r="G633" s="80">
        <f>SUM(L272)</f>
        <v>26463232.600000001</v>
      </c>
      <c r="H633" s="80">
        <f>SUM(F473)</f>
        <v>26463232.600000001</v>
      </c>
      <c r="I633" s="87" t="s">
        <v>111</v>
      </c>
      <c r="J633" s="80">
        <f t="shared" si="50"/>
        <v>0</v>
      </c>
      <c r="K633" s="67"/>
      <c r="L633" s="69"/>
      <c r="M633" s="8"/>
    </row>
    <row r="634" spans="1:13" s="3" customFormat="1" ht="12.2" customHeight="1" x14ac:dyDescent="0.15">
      <c r="A634" s="21"/>
      <c r="B634" s="22"/>
      <c r="C634" s="22"/>
      <c r="D634" s="22"/>
      <c r="E634" s="22"/>
      <c r="F634" s="86" t="s">
        <v>395</v>
      </c>
      <c r="G634" s="80">
        <f>SUM(L353)</f>
        <v>1802056.05</v>
      </c>
      <c r="H634" s="80">
        <f>SUM(H473)</f>
        <v>1802056.05</v>
      </c>
      <c r="I634" s="87" t="s">
        <v>112</v>
      </c>
      <c r="J634" s="80">
        <f>G634-H634</f>
        <v>0</v>
      </c>
      <c r="K634" s="67"/>
      <c r="L634" s="69"/>
      <c r="M634" s="8"/>
    </row>
    <row r="635" spans="1:13" s="124" customFormat="1" ht="12.2" customHeight="1" x14ac:dyDescent="0.15">
      <c r="A635" s="21"/>
      <c r="B635" s="22"/>
      <c r="C635" s="22"/>
      <c r="D635" s="22"/>
      <c r="E635" s="22"/>
      <c r="F635" s="99" t="s">
        <v>247</v>
      </c>
      <c r="G635" s="80">
        <f>I363</f>
        <v>15017.630000000001</v>
      </c>
      <c r="H635" s="80">
        <f>I370</f>
        <v>15017.63</v>
      </c>
      <c r="I635" s="100" t="s">
        <v>248</v>
      </c>
      <c r="J635" s="80">
        <f>G635-H635</f>
        <v>0</v>
      </c>
      <c r="K635" s="67"/>
      <c r="L635" s="69"/>
      <c r="M635" s="123"/>
    </row>
    <row r="636" spans="1:13" s="124" customFormat="1" ht="12.2" customHeight="1" x14ac:dyDescent="0.15">
      <c r="A636" s="21"/>
      <c r="B636" s="22"/>
      <c r="C636" s="22"/>
      <c r="D636" s="22"/>
      <c r="E636" s="22"/>
      <c r="F636" s="86" t="s">
        <v>113</v>
      </c>
      <c r="G636" s="80">
        <f>SUM(L363)</f>
        <v>761037.73</v>
      </c>
      <c r="H636" s="80">
        <f>SUM(G473)</f>
        <v>761037.73</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514408.56999999995</v>
      </c>
      <c r="H638" s="108">
        <f>SUM(J469)</f>
        <v>514408.57</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236961.89</v>
      </c>
      <c r="H639" s="108">
        <f>SUM(J473)</f>
        <v>236961.89</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261680.16</v>
      </c>
      <c r="H640" s="80">
        <f>SUM(F462)</f>
        <v>261680.16</v>
      </c>
      <c r="I640" s="87" t="s">
        <v>840</v>
      </c>
      <c r="J640" s="80">
        <f t="shared" si="50"/>
        <v>0</v>
      </c>
      <c r="K640" s="67"/>
      <c r="L640" s="69"/>
      <c r="M640" s="8"/>
    </row>
    <row r="641" spans="1:13" s="3" customFormat="1" ht="12.2" customHeight="1" x14ac:dyDescent="0.15">
      <c r="A641" s="21"/>
      <c r="B641" s="22"/>
      <c r="C641" s="22"/>
      <c r="D641" s="22"/>
      <c r="E641" s="22"/>
      <c r="F641" s="86" t="s">
        <v>119</v>
      </c>
      <c r="G641" s="80">
        <f>SUM(G447)</f>
        <v>1603803.1</v>
      </c>
      <c r="H641" s="80">
        <f>SUM(G462)</f>
        <v>1603803.1</v>
      </c>
      <c r="I641" s="87" t="s">
        <v>841</v>
      </c>
      <c r="J641" s="80">
        <f t="shared" si="50"/>
        <v>0</v>
      </c>
      <c r="K641" s="67"/>
      <c r="L641" s="69"/>
      <c r="M641" s="8"/>
    </row>
    <row r="642" spans="1:13" s="3" customFormat="1" ht="12.2" customHeight="1" x14ac:dyDescent="0.15">
      <c r="A642" s="21"/>
      <c r="B642" s="22"/>
      <c r="C642" s="22"/>
      <c r="D642" s="22"/>
      <c r="E642" s="22"/>
      <c r="F642" s="86" t="s">
        <v>120</v>
      </c>
      <c r="G642" s="80">
        <f>SUM(H447)</f>
        <v>1336488.69</v>
      </c>
      <c r="H642" s="80">
        <f>SUM(H462)</f>
        <v>1336488.69</v>
      </c>
      <c r="I642" s="87" t="s">
        <v>842</v>
      </c>
      <c r="J642" s="80">
        <f t="shared" si="50"/>
        <v>0</v>
      </c>
      <c r="K642" s="67"/>
      <c r="L642" s="69"/>
      <c r="M642" s="8"/>
    </row>
    <row r="643" spans="1:13" s="3" customFormat="1" ht="12.2" customHeight="1" x14ac:dyDescent="0.15">
      <c r="A643" s="21"/>
      <c r="B643" s="22"/>
      <c r="C643" s="22"/>
      <c r="D643" s="22"/>
      <c r="E643" s="22"/>
      <c r="F643" s="86" t="s">
        <v>121</v>
      </c>
      <c r="G643" s="80">
        <f>SUM(I447)</f>
        <v>3201971.95</v>
      </c>
      <c r="H643" s="80">
        <f>SUM(I462)</f>
        <v>3201971.95</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139408.57</v>
      </c>
      <c r="H645" s="80">
        <f>H409</f>
        <v>139408.57</v>
      </c>
      <c r="I645" s="87" t="s">
        <v>480</v>
      </c>
      <c r="J645" s="80">
        <f t="shared" si="50"/>
        <v>0</v>
      </c>
      <c r="K645" s="67"/>
      <c r="L645" s="69"/>
      <c r="M645" s="8"/>
    </row>
    <row r="646" spans="1:13" s="3" customFormat="1" ht="12.2" customHeight="1" x14ac:dyDescent="0.15">
      <c r="A646" s="21"/>
      <c r="B646" s="22"/>
      <c r="C646" s="22"/>
      <c r="D646" s="22"/>
      <c r="E646" s="22"/>
      <c r="F646" s="86" t="s">
        <v>664</v>
      </c>
      <c r="G646" s="80">
        <f>J184</f>
        <v>375000</v>
      </c>
      <c r="H646" s="80">
        <f>G409</f>
        <v>375000</v>
      </c>
      <c r="I646" s="87" t="s">
        <v>481</v>
      </c>
      <c r="J646" s="80">
        <f t="shared" si="50"/>
        <v>0</v>
      </c>
      <c r="K646" s="67"/>
      <c r="L646" s="69"/>
      <c r="M646" s="8"/>
    </row>
    <row r="647" spans="1:13" s="3" customFormat="1" ht="12.2" customHeight="1" x14ac:dyDescent="0.15">
      <c r="A647" s="21"/>
      <c r="B647" s="22"/>
      <c r="C647" s="22"/>
      <c r="D647" s="22"/>
      <c r="E647" s="22"/>
      <c r="F647" s="86" t="s">
        <v>662</v>
      </c>
      <c r="G647" s="80">
        <f>J194</f>
        <v>514408.57</v>
      </c>
      <c r="H647" s="80">
        <f>L409</f>
        <v>514408.56999999995</v>
      </c>
      <c r="I647" s="87" t="s">
        <v>477</v>
      </c>
      <c r="J647" s="80">
        <f t="shared" si="50"/>
        <v>0</v>
      </c>
      <c r="K647" s="67"/>
      <c r="L647" s="69"/>
      <c r="M647" s="8"/>
    </row>
    <row r="648" spans="1:13" s="3" customFormat="1" ht="12.2" customHeight="1" x14ac:dyDescent="0.15">
      <c r="A648" s="21"/>
      <c r="B648" s="22"/>
      <c r="C648" s="22"/>
      <c r="D648" s="22"/>
      <c r="E648" s="22"/>
      <c r="F648" s="86" t="s">
        <v>51</v>
      </c>
      <c r="G648" s="80">
        <f>K599</f>
        <v>1519215.1099999999</v>
      </c>
      <c r="H648" s="80">
        <f>L209+L227+L245</f>
        <v>1519215.11</v>
      </c>
      <c r="I648" s="87" t="s">
        <v>396</v>
      </c>
      <c r="J648" s="80">
        <f t="shared" si="50"/>
        <v>0</v>
      </c>
      <c r="K648" s="67"/>
      <c r="L648" s="69"/>
      <c r="M648" s="8"/>
    </row>
    <row r="649" spans="1:13" s="3" customFormat="1" ht="12.2" customHeight="1" x14ac:dyDescent="0.15">
      <c r="A649" s="21"/>
      <c r="B649" s="22"/>
      <c r="C649" s="22"/>
      <c r="D649" s="22"/>
      <c r="E649" s="22"/>
      <c r="F649" s="86" t="s">
        <v>52</v>
      </c>
      <c r="G649" s="80">
        <f>K606</f>
        <v>743540.8</v>
      </c>
      <c r="H649" s="80">
        <f>(J258+J339)-(J256+J337)</f>
        <v>743540.8</v>
      </c>
      <c r="I649" s="87" t="s">
        <v>699</v>
      </c>
      <c r="J649" s="80">
        <f t="shared" si="50"/>
        <v>0</v>
      </c>
      <c r="K649" s="67"/>
      <c r="L649" s="69"/>
      <c r="M649" s="8"/>
    </row>
    <row r="650" spans="1:13" s="3" customFormat="1" ht="12.2" customHeight="1" x14ac:dyDescent="0.15">
      <c r="A650" s="21"/>
      <c r="B650" s="22"/>
      <c r="C650" s="22"/>
      <c r="D650" s="22"/>
      <c r="E650" s="22"/>
      <c r="F650" s="86" t="s">
        <v>387</v>
      </c>
      <c r="G650" s="80">
        <f>L209</f>
        <v>640476.08000000007</v>
      </c>
      <c r="H650" s="80">
        <f>H599</f>
        <v>640476.07999999996</v>
      </c>
      <c r="I650" s="87" t="s">
        <v>388</v>
      </c>
      <c r="J650" s="80">
        <f t="shared" si="50"/>
        <v>0</v>
      </c>
      <c r="K650" s="67"/>
      <c r="L650" s="69"/>
      <c r="M650" s="8"/>
    </row>
    <row r="651" spans="1:13" s="3" customFormat="1" ht="12.2" customHeight="1" x14ac:dyDescent="0.15">
      <c r="A651" s="21"/>
      <c r="B651" s="22"/>
      <c r="C651" s="22"/>
      <c r="D651" s="22"/>
      <c r="E651" s="22"/>
      <c r="F651" s="86" t="s">
        <v>392</v>
      </c>
      <c r="G651" s="80">
        <f>L227</f>
        <v>267212.85000000003</v>
      </c>
      <c r="H651" s="80">
        <f>I599</f>
        <v>267212.85000000003</v>
      </c>
      <c r="I651" s="87" t="s">
        <v>389</v>
      </c>
      <c r="J651" s="80">
        <f t="shared" si="50"/>
        <v>0</v>
      </c>
      <c r="K651" s="67"/>
      <c r="L651" s="69"/>
      <c r="M651" s="8"/>
    </row>
    <row r="652" spans="1:13" s="3" customFormat="1" ht="12.2" customHeight="1" x14ac:dyDescent="0.15">
      <c r="A652" s="21"/>
      <c r="B652" s="22"/>
      <c r="C652" s="22"/>
      <c r="D652" s="22"/>
      <c r="E652" s="22"/>
      <c r="F652" s="86" t="s">
        <v>393</v>
      </c>
      <c r="G652" s="80">
        <f>L245</f>
        <v>611526.17999999993</v>
      </c>
      <c r="H652" s="80">
        <f>J599</f>
        <v>611526.17999999993</v>
      </c>
      <c r="I652" s="87" t="s">
        <v>390</v>
      </c>
      <c r="J652" s="80">
        <f t="shared" si="50"/>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375000</v>
      </c>
      <c r="H656" s="80">
        <f>K267+K348</f>
        <v>375000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13774348.630000003</v>
      </c>
      <c r="G661" s="13">
        <f>(L230+L310+L360)</f>
        <v>5863104.0700000003</v>
      </c>
      <c r="H661" s="13">
        <f>(L248+L329+L361)</f>
        <v>7822257.9099999992</v>
      </c>
      <c r="I661" s="13">
        <f>SUM(F661:H661)</f>
        <v>27459710.610000003</v>
      </c>
      <c r="J661" s="13"/>
      <c r="K661" s="13"/>
      <c r="L661" s="13"/>
      <c r="M661" s="9"/>
    </row>
    <row r="662" spans="1:13" s="3" customFormat="1" ht="12.2" customHeight="1" x14ac:dyDescent="0.2">
      <c r="A662" s="1" t="s">
        <v>127</v>
      </c>
      <c r="F662" s="13">
        <f>(L359/IF(SUM(L359:L361)=0,1,SUM(L359:L361))*(SUM(G97:G110)))</f>
        <v>137813.31047125941</v>
      </c>
      <c r="G662" s="13">
        <f>(L360/IF(SUM(L359:L361)=0,1,SUM(L359:L361))*(SUM(G97:G110)))</f>
        <v>63779.761241623317</v>
      </c>
      <c r="H662" s="13">
        <f>(L361/IF(SUM(L359:L361)=0,1,SUM(L359:L361))*(SUM(G97:G110)))</f>
        <v>79932.278287117253</v>
      </c>
      <c r="I662" s="13">
        <f>SUM(F662:H662)</f>
        <v>281525.34999999998</v>
      </c>
      <c r="J662"/>
      <c r="K662" s="13"/>
      <c r="L662" s="13"/>
      <c r="M662" s="8"/>
    </row>
    <row r="663" spans="1:13" s="3" customFormat="1" ht="12.2" customHeight="1" x14ac:dyDescent="0.2">
      <c r="A663" s="1" t="s">
        <v>128</v>
      </c>
      <c r="F663" s="13">
        <f>(L209+L288)-(J209+J288)</f>
        <v>640476.08000000007</v>
      </c>
      <c r="G663" s="13">
        <f>(L227+L307)-(J227+J307)</f>
        <v>267212.85000000003</v>
      </c>
      <c r="H663" s="13">
        <f>(L245+L326)-(J245+J326)</f>
        <v>611526.17999999993</v>
      </c>
      <c r="I663" s="13">
        <f>SUM(F663:H663)</f>
        <v>1519215.11</v>
      </c>
      <c r="J663"/>
      <c r="K663" s="13"/>
      <c r="L663" s="13"/>
      <c r="M663" s="9"/>
    </row>
    <row r="664" spans="1:13" s="3" customFormat="1" ht="12.2" customHeight="1" x14ac:dyDescent="0.15">
      <c r="A664" s="142" t="s">
        <v>129</v>
      </c>
      <c r="B664" s="124"/>
      <c r="C664" s="124"/>
      <c r="D664" s="124"/>
      <c r="E664" s="124"/>
      <c r="F664" s="143">
        <f>SUM(F576:F588)+SUM(H603:H605)+SUM(L612)</f>
        <v>805386.44</v>
      </c>
      <c r="G664" s="143">
        <f>SUM(G576:G588)+SUM(I603:I605)+L613</f>
        <v>537128.01</v>
      </c>
      <c r="H664" s="143">
        <f>SUM(H576:H588)+SUM(J603:J605)+L614</f>
        <v>1349244.4500000002</v>
      </c>
      <c r="I664" s="13">
        <f>SUM(F664:H664)</f>
        <v>2691758.9000000004</v>
      </c>
      <c r="J664" s="13"/>
      <c r="K664" s="13"/>
      <c r="L664" s="13"/>
      <c r="M664" s="9"/>
    </row>
    <row r="665" spans="1:13" s="3" customFormat="1" ht="12.2" customHeight="1" x14ac:dyDescent="0.15">
      <c r="A665" s="1" t="s">
        <v>130</v>
      </c>
      <c r="F665" s="13">
        <f>F661-SUM(F662:F664)</f>
        <v>12190672.799528744</v>
      </c>
      <c r="G665" s="13">
        <f>G661-SUM(G662:G664)</f>
        <v>4994983.4487583768</v>
      </c>
      <c r="H665" s="13">
        <f>H661-SUM(H662:H664)</f>
        <v>5781555.001712882</v>
      </c>
      <c r="I665" s="13">
        <f>I661-SUM(I662:I664)</f>
        <v>22967211.250000004</v>
      </c>
      <c r="J665" s="13"/>
      <c r="K665" s="13"/>
      <c r="L665" s="13"/>
      <c r="M665" s="8"/>
    </row>
    <row r="666" spans="1:13" s="3" customFormat="1" ht="12.2" customHeight="1" x14ac:dyDescent="0.2">
      <c r="A666" s="1" t="s">
        <v>131</v>
      </c>
      <c r="F666" s="183">
        <v>587.17999999999995</v>
      </c>
      <c r="G666" s="184">
        <v>272.68</v>
      </c>
      <c r="H666" s="184">
        <v>341.67</v>
      </c>
      <c r="I666" s="13">
        <f>SUM(F666:H666)</f>
        <v>1201.53</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20761.39</v>
      </c>
      <c r="G668" s="13">
        <f>ROUND(G665/G666,2)</f>
        <v>18318.11</v>
      </c>
      <c r="H668" s="13">
        <f>ROUND(H665/H666,2)</f>
        <v>16921.46</v>
      </c>
      <c r="I668" s="13">
        <f>ROUND(I665/I666,2)</f>
        <v>19114.97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2" customHeight="1" x14ac:dyDescent="0.15">
      <c r="A671" s="1" t="s">
        <v>135</v>
      </c>
      <c r="F671" s="18"/>
      <c r="G671" s="18"/>
      <c r="H671" s="18">
        <v>-3.78</v>
      </c>
      <c r="I671" s="13">
        <f>SUM(F671:H671)</f>
        <v>-3.78</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20761.39</v>
      </c>
      <c r="G673" s="13">
        <f>ROUND((G665+G670)/(G666+G671),2)</f>
        <v>18318.11</v>
      </c>
      <c r="H673" s="13">
        <f>ROUND((H665+H670)/(H666+H671),2)</f>
        <v>17110.759999999998</v>
      </c>
      <c r="I673" s="13">
        <f>ROUND((I665+I670)/(I666+I671),2)</f>
        <v>19175.3</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horizontalCentered="1" gridLines="1" gridLinesSet="0"/>
  <pageMargins left="0.25" right="0.25" top="0.5" bottom="0.5" header="0.3" footer="0.3"/>
  <pageSetup scale="80"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A6" sqref="A6"/>
    </sheetView>
  </sheetViews>
  <sheetFormatPr defaultColWidth="9.33203125"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92007.589999999982</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91972.83</v>
      </c>
      <c r="F9" s="272" t="s">
        <v>1627</v>
      </c>
    </row>
    <row r="10" spans="2:8" x14ac:dyDescent="0.25">
      <c r="B10" s="271"/>
      <c r="C10" s="271"/>
      <c r="D10" s="271"/>
      <c r="E10" s="271"/>
      <c r="F10" s="271"/>
    </row>
    <row r="11" spans="2:8" x14ac:dyDescent="0.25">
      <c r="B11" s="271"/>
      <c r="C11" s="275" t="s">
        <v>1631</v>
      </c>
      <c r="D11" s="272" t="s">
        <v>1634</v>
      </c>
      <c r="E11" s="260">
        <v>0</v>
      </c>
      <c r="F11" s="272" t="s">
        <v>1628</v>
      </c>
    </row>
    <row r="12" spans="2:8" x14ac:dyDescent="0.25">
      <c r="B12" s="271"/>
      <c r="C12" s="271"/>
      <c r="D12" s="272"/>
      <c r="E12" s="271"/>
      <c r="F12" s="271"/>
    </row>
    <row r="13" spans="2:8" x14ac:dyDescent="0.25">
      <c r="B13" s="271"/>
      <c r="C13" s="272" t="s">
        <v>1621</v>
      </c>
      <c r="D13" s="272" t="s">
        <v>1635</v>
      </c>
      <c r="E13" s="260">
        <v>34.76</v>
      </c>
      <c r="F13" s="272" t="s">
        <v>1629</v>
      </c>
    </row>
    <row r="14" spans="2:8" x14ac:dyDescent="0.25">
      <c r="B14" s="271"/>
      <c r="C14" s="271"/>
      <c r="D14" s="272"/>
      <c r="E14" s="271"/>
      <c r="F14" s="271"/>
    </row>
    <row r="15" spans="2:8" x14ac:dyDescent="0.25">
      <c r="B15" s="271"/>
      <c r="C15" s="272" t="s">
        <v>1623</v>
      </c>
      <c r="D15" s="272" t="s">
        <v>1636</v>
      </c>
      <c r="E15" s="260">
        <v>0</v>
      </c>
      <c r="F15" s="272" t="s">
        <v>1630</v>
      </c>
    </row>
    <row r="16" spans="2:8" x14ac:dyDescent="0.25">
      <c r="B16" s="271"/>
      <c r="C16" s="271"/>
      <c r="D16" s="271"/>
      <c r="E16" s="271"/>
      <c r="F16" s="271"/>
    </row>
    <row r="17" spans="2:8" x14ac:dyDescent="0.25">
      <c r="B17" s="271"/>
      <c r="C17" s="272" t="s">
        <v>1622</v>
      </c>
      <c r="D17" s="272" t="s">
        <v>1637</v>
      </c>
      <c r="E17" s="260">
        <v>0</v>
      </c>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v>0</v>
      </c>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rintOptions horizontalCentered="1" gridLines="1"/>
  <pageMargins left="0.25" right="0.25" top="0.5" bottom="0.5" header="0.3" footer="0.3"/>
  <pageSetup scale="77" orientation="landscape" r:id="rId1"/>
  <headerFooter alignWithMargins="0">
    <oddFooter>&amp;L&amp;F&amp;CPage &amp;P&amp;R&amp;D&amp;T</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A6" sqref="A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6" t="str">
        <f>'DOE25'!A2</f>
        <v>Jaffrey-Rindge Cooperative</v>
      </c>
      <c r="C5" s="317"/>
      <c r="D5" s="317"/>
      <c r="E5" s="317"/>
      <c r="F5" s="317"/>
    </row>
    <row r="8" spans="1:9" ht="18" x14ac:dyDescent="0.25">
      <c r="A8" s="240" t="s">
        <v>1560</v>
      </c>
      <c r="F8" s="247" t="s">
        <v>1578</v>
      </c>
    </row>
    <row r="9" spans="1:9" ht="15" x14ac:dyDescent="0.2">
      <c r="A9" s="238" t="s">
        <v>1561</v>
      </c>
      <c r="B9" s="241">
        <f>'DOE25'!G97</f>
        <v>281525.34999999998</v>
      </c>
      <c r="F9" s="238" t="s">
        <v>1574</v>
      </c>
    </row>
    <row r="10" spans="1:9" ht="15" x14ac:dyDescent="0.2">
      <c r="A10" s="238" t="s">
        <v>1562</v>
      </c>
      <c r="B10" s="241">
        <f>'DOE25'!G112-'DOE25'!G97</f>
        <v>0</v>
      </c>
      <c r="F10" s="238" t="s">
        <v>1575</v>
      </c>
    </row>
    <row r="11" spans="1:9" ht="15" x14ac:dyDescent="0.2">
      <c r="A11" s="238" t="s">
        <v>1563</v>
      </c>
      <c r="B11" s="241">
        <f>'DOE25'!G140</f>
        <v>9008.19</v>
      </c>
      <c r="F11" s="238" t="s">
        <v>1576</v>
      </c>
    </row>
    <row r="12" spans="1:9" ht="15" x14ac:dyDescent="0.2">
      <c r="A12" s="238" t="s">
        <v>1564</v>
      </c>
      <c r="B12" s="241">
        <f>'DOE25'!G170</f>
        <v>360153.48</v>
      </c>
      <c r="F12" s="238" t="s">
        <v>1577</v>
      </c>
    </row>
    <row r="13" spans="1:9" ht="15" x14ac:dyDescent="0.2">
      <c r="A13" s="238" t="s">
        <v>1565</v>
      </c>
      <c r="B13" s="241">
        <f>'DOE25'!G193-'DOE25'!G180</f>
        <v>0</v>
      </c>
      <c r="F13" s="238" t="s">
        <v>1587</v>
      </c>
    </row>
    <row r="14" spans="1:9" ht="18" x14ac:dyDescent="0.25">
      <c r="A14" s="240" t="s">
        <v>732</v>
      </c>
      <c r="B14" s="242">
        <f>SUM(B9:B13)</f>
        <v>650687.02</v>
      </c>
    </row>
    <row r="16" spans="1:9" ht="18" x14ac:dyDescent="0.25">
      <c r="A16" s="240" t="s">
        <v>786</v>
      </c>
      <c r="F16" s="247" t="s">
        <v>1579</v>
      </c>
    </row>
    <row r="17" spans="1:6" ht="15" x14ac:dyDescent="0.2">
      <c r="A17" s="238" t="s">
        <v>1566</v>
      </c>
      <c r="B17" s="241">
        <f>'DOE25'!L363-'DOE25'!L362</f>
        <v>761037.73</v>
      </c>
      <c r="F17" s="238" t="s">
        <v>1580</v>
      </c>
    </row>
    <row r="18" spans="1:6" ht="15" x14ac:dyDescent="0.2">
      <c r="A18" s="238" t="s">
        <v>1567</v>
      </c>
      <c r="B18" s="251"/>
      <c r="F18" s="247" t="s">
        <v>1604</v>
      </c>
    </row>
    <row r="19" spans="1:6" ht="18" x14ac:dyDescent="0.25">
      <c r="A19" s="240" t="s">
        <v>725</v>
      </c>
      <c r="B19" s="242">
        <f>SUM(B17:B18)</f>
        <v>761037.73</v>
      </c>
    </row>
    <row r="21" spans="1:6" ht="18.75" thickBot="1" x14ac:dyDescent="0.3">
      <c r="A21" s="240" t="s">
        <v>1568</v>
      </c>
    </row>
    <row r="22" spans="1:6" ht="18.75" thickTop="1" x14ac:dyDescent="0.25">
      <c r="A22" s="240" t="s">
        <v>1569</v>
      </c>
      <c r="B22" s="246">
        <f>B14-B19</f>
        <v>-110350.70999999996</v>
      </c>
      <c r="F22" s="238" t="s">
        <v>1581</v>
      </c>
    </row>
    <row r="26" spans="1:6" ht="18" x14ac:dyDescent="0.25">
      <c r="A26" s="240" t="s">
        <v>186</v>
      </c>
    </row>
    <row r="27" spans="1:6" ht="15" x14ac:dyDescent="0.2">
      <c r="A27" s="238" t="s">
        <v>1570</v>
      </c>
      <c r="B27" s="241">
        <f>'DOE25'!G180</f>
        <v>0</v>
      </c>
      <c r="F27" s="238" t="s">
        <v>1582</v>
      </c>
    </row>
    <row r="28" spans="1:6" ht="15" x14ac:dyDescent="0.2">
      <c r="A28" s="238" t="s">
        <v>1572</v>
      </c>
      <c r="B28" s="241">
        <f>'DOE25'!L362</f>
        <v>0</v>
      </c>
      <c r="F28" s="238" t="s">
        <v>1583</v>
      </c>
    </row>
    <row r="31" spans="1:6" ht="15" x14ac:dyDescent="0.2">
      <c r="A31" s="238" t="s">
        <v>1797</v>
      </c>
      <c r="B31" s="241">
        <f>'DOE25'!G466</f>
        <v>216785.46</v>
      </c>
      <c r="F31" s="238" t="s">
        <v>1584</v>
      </c>
    </row>
    <row r="33" spans="1:6" ht="15" x14ac:dyDescent="0.2">
      <c r="A33" s="238" t="s">
        <v>1798</v>
      </c>
      <c r="B33" s="241">
        <f>'DOE25'!G477</f>
        <v>106434.75</v>
      </c>
      <c r="F33" s="238" t="s">
        <v>1585</v>
      </c>
    </row>
    <row r="36" spans="1:6" ht="15" x14ac:dyDescent="0.2">
      <c r="A36" s="238" t="s">
        <v>1571</v>
      </c>
      <c r="B36" s="252">
        <v>52192.46</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rintOptions horizontalCentered="1" gridLines="1"/>
  <pageMargins left="0.25" right="0.25" top="0.5" bottom="0.5" header="0.3" footer="0.3"/>
  <pageSetup scale="85" orientation="portrait" r:id="rId1"/>
  <headerFooter alignWithMargins="0">
    <oddFooter>&amp;L&amp;F&amp;CPage &amp;P&amp;R&amp;D&amp;T</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A6" sqref="A6"/>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Jaffrey-Rindge Cooperative</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5526037.3499999996</v>
      </c>
      <c r="C9" s="167">
        <f>'DOE25'!G198+'DOE25'!G216+'DOE25'!G234+'DOE25'!G277+'DOE25'!G296+'DOE25'!G315</f>
        <v>2974777.23</v>
      </c>
    </row>
    <row r="10" spans="1:3" x14ac:dyDescent="0.2">
      <c r="A10" t="s">
        <v>775</v>
      </c>
      <c r="B10" s="177">
        <v>5244131.59</v>
      </c>
      <c r="C10" s="177">
        <v>2929266.89</v>
      </c>
    </row>
    <row r="11" spans="1:3" x14ac:dyDescent="0.2">
      <c r="A11" t="s">
        <v>776</v>
      </c>
      <c r="B11" s="177">
        <v>72322.83</v>
      </c>
      <c r="C11" s="177">
        <v>5770.59</v>
      </c>
    </row>
    <row r="12" spans="1:3" x14ac:dyDescent="0.2">
      <c r="A12" t="s">
        <v>777</v>
      </c>
      <c r="B12" s="177">
        <v>209582.93</v>
      </c>
      <c r="C12" s="177">
        <v>39739.75</v>
      </c>
    </row>
    <row r="13" spans="1:3" x14ac:dyDescent="0.2">
      <c r="A13" t="str">
        <f>IF(B9=B13,IF(C9=C13,"Check Total OK","Check Total Error"),"Check Total Error")</f>
        <v>Check Total OK</v>
      </c>
      <c r="B13" s="169">
        <f>SUM(B10:B12)</f>
        <v>5526037.3499999996</v>
      </c>
      <c r="C13" s="169">
        <f>SUM(C10:C12)</f>
        <v>2974777.23</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2743603.49</v>
      </c>
      <c r="C18" s="167">
        <f>'DOE25'!G199+'DOE25'!G217+'DOE25'!G235+'DOE25'!G278+'DOE25'!G297+'DOE25'!G316</f>
        <v>1396604.3199999998</v>
      </c>
    </row>
    <row r="19" spans="1:3" x14ac:dyDescent="0.2">
      <c r="A19" t="s">
        <v>775</v>
      </c>
      <c r="B19" s="177">
        <v>1227427.1100000001</v>
      </c>
      <c r="C19" s="177">
        <v>641455.9</v>
      </c>
    </row>
    <row r="20" spans="1:3" x14ac:dyDescent="0.2">
      <c r="A20" t="s">
        <v>776</v>
      </c>
      <c r="B20" s="177">
        <v>1054437.75</v>
      </c>
      <c r="C20" s="177">
        <v>535287.46</v>
      </c>
    </row>
    <row r="21" spans="1:3" x14ac:dyDescent="0.2">
      <c r="A21" t="s">
        <v>777</v>
      </c>
      <c r="B21" s="177">
        <f>462941.14-1202.51</f>
        <v>461738.63</v>
      </c>
      <c r="C21" s="177">
        <v>219860.96</v>
      </c>
    </row>
    <row r="22" spans="1:3" x14ac:dyDescent="0.2">
      <c r="A22" t="str">
        <f>IF(B18=B22,IF(C18=C22,"Check Total OK","Check Total Error"),"Check Total Error")</f>
        <v>Check Total OK</v>
      </c>
      <c r="B22" s="169">
        <f>SUM(B19:B21)</f>
        <v>2743603.49</v>
      </c>
      <c r="C22" s="169">
        <f>SUM(C19:C21)</f>
        <v>1396604.3199999998</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290231.43</v>
      </c>
      <c r="C27" s="172">
        <f>'DOE25'!G200+'DOE25'!G218+'DOE25'!G236+'DOE25'!G279+'DOE25'!G298+'DOE25'!G317</f>
        <v>128074.64000000001</v>
      </c>
    </row>
    <row r="28" spans="1:3" x14ac:dyDescent="0.2">
      <c r="A28" t="s">
        <v>775</v>
      </c>
      <c r="B28" s="177">
        <v>274496.46999999997</v>
      </c>
      <c r="C28" s="177">
        <v>126870.86</v>
      </c>
    </row>
    <row r="29" spans="1:3" x14ac:dyDescent="0.2">
      <c r="A29" t="s">
        <v>776</v>
      </c>
      <c r="B29" s="177">
        <v>15734.96</v>
      </c>
      <c r="C29" s="177">
        <v>1203.78</v>
      </c>
    </row>
    <row r="30" spans="1:3" x14ac:dyDescent="0.2">
      <c r="A30" t="s">
        <v>777</v>
      </c>
      <c r="B30" s="177">
        <v>0</v>
      </c>
      <c r="C30" s="177">
        <v>0</v>
      </c>
    </row>
    <row r="31" spans="1:3" x14ac:dyDescent="0.2">
      <c r="A31" t="str">
        <f>IF(B27=B31,IF(C27=C31,"Check Total OK","Check Total Error"),"Check Total Error")</f>
        <v>Check Total OK</v>
      </c>
      <c r="B31" s="169">
        <f>SUM(B28:B30)</f>
        <v>290231.43</v>
      </c>
      <c r="C31" s="169">
        <f>SUM(C28:C30)</f>
        <v>128074.64</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340728.04000000004</v>
      </c>
      <c r="C36" s="173">
        <f>'DOE25'!G201+'DOE25'!G219+'DOE25'!G237+'DOE25'!G280+'DOE25'!G299+'DOE25'!G318</f>
        <v>79677.17</v>
      </c>
    </row>
    <row r="37" spans="1:3" x14ac:dyDescent="0.2">
      <c r="A37" t="s">
        <v>775</v>
      </c>
      <c r="B37" s="177">
        <v>130672.74</v>
      </c>
      <c r="C37" s="177">
        <v>37463.870000000003</v>
      </c>
    </row>
    <row r="38" spans="1:3" x14ac:dyDescent="0.2">
      <c r="A38" t="s">
        <v>776</v>
      </c>
      <c r="B38" s="177">
        <v>19620.54</v>
      </c>
      <c r="C38" s="177">
        <v>4259.62</v>
      </c>
    </row>
    <row r="39" spans="1:3" x14ac:dyDescent="0.2">
      <c r="A39" t="s">
        <v>777</v>
      </c>
      <c r="B39" s="177">
        <v>190434.76</v>
      </c>
      <c r="C39" s="177">
        <v>37953.68</v>
      </c>
    </row>
    <row r="40" spans="1:3" x14ac:dyDescent="0.2">
      <c r="A40" t="str">
        <f>IF(B36=B40,IF(C36=C40,"Check Total OK","Check Total Error"),"Check Total Error")</f>
        <v>Check Total OK</v>
      </c>
      <c r="B40" s="169">
        <f>SUM(B37:B39)</f>
        <v>340728.04000000004</v>
      </c>
      <c r="C40" s="169">
        <f>SUM(C37:C39)</f>
        <v>79677.170000000013</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horizontalCentered="1" gridLines="1"/>
  <pageMargins left="0.25" right="0.25" top="0.5" bottom="0.5" header="0.3" footer="0.3"/>
  <pageSetup orientation="portrait" r:id="rId1"/>
  <headerFooter alignWithMargins="0">
    <oddFooter>&amp;L&amp;F&amp;CPage &amp;P&amp;R&amp;D&amp;T</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75" zoomScaleNormal="75" workbookViewId="0">
      <pane ySplit="4" topLeftCell="A5" activePane="bottomLeft" state="frozen"/>
      <selection activeCell="A6" sqref="A6"/>
      <selection pane="bottomLeft" activeCell="M28" sqref="M28"/>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Jaffrey-Rindge Cooperative</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15066809.230000002</v>
      </c>
      <c r="D5" s="19">
        <f>SUM('DOE25'!L198:L201)+SUM('DOE25'!L216:L219)+SUM('DOE25'!L234:L237)-F5-G5-H5</f>
        <v>14978017.010000004</v>
      </c>
      <c r="E5" s="180"/>
      <c r="F5" s="181"/>
      <c r="G5" s="19">
        <f>SUM('DOE25'!J198:J201)+SUM('DOE25'!J216:J219)+SUM('DOE25'!J234:J237)</f>
        <v>43784.29</v>
      </c>
      <c r="H5" s="19">
        <f>SUM('DOE25'!K198:K201)+SUM('DOE25'!K216:K219)+SUM('DOE25'!K234:K237)</f>
        <v>45007.93</v>
      </c>
      <c r="I5" s="192"/>
    </row>
    <row r="6" spans="1:9" x14ac:dyDescent="0.2">
      <c r="A6" s="31">
        <v>2100</v>
      </c>
      <c r="B6" t="s">
        <v>796</v>
      </c>
      <c r="C6" s="206">
        <f t="shared" si="0"/>
        <v>2196103.59</v>
      </c>
      <c r="D6" s="19">
        <f>'DOE25'!L203+'DOE25'!L221+'DOE25'!L239-F6-G6-H6</f>
        <v>2195864.59</v>
      </c>
      <c r="E6" s="180"/>
      <c r="F6" s="181"/>
      <c r="G6" s="19">
        <f>'DOE25'!J203+'DOE25'!J221+'DOE25'!J239</f>
        <v>0</v>
      </c>
      <c r="H6" s="19">
        <f>'DOE25'!K203+'DOE25'!K221+'DOE25'!K239</f>
        <v>239</v>
      </c>
      <c r="I6" s="192"/>
    </row>
    <row r="7" spans="1:9" x14ac:dyDescent="0.2">
      <c r="A7" s="31">
        <v>2200</v>
      </c>
      <c r="B7" t="s">
        <v>820</v>
      </c>
      <c r="C7" s="206">
        <f t="shared" si="0"/>
        <v>531294.12</v>
      </c>
      <c r="D7" s="19">
        <f>'DOE25'!L204+'DOE25'!L222+'DOE25'!L240-F7-G7-H7</f>
        <v>529134.12</v>
      </c>
      <c r="E7" s="180"/>
      <c r="F7" s="181"/>
      <c r="G7" s="19">
        <f>'DOE25'!J204+'DOE25'!J222+'DOE25'!J240</f>
        <v>0</v>
      </c>
      <c r="H7" s="19">
        <f>'DOE25'!K204+'DOE25'!K222+'DOE25'!K240</f>
        <v>2160</v>
      </c>
      <c r="I7" s="192"/>
    </row>
    <row r="8" spans="1:9" x14ac:dyDescent="0.2">
      <c r="A8" s="31">
        <v>2300</v>
      </c>
      <c r="B8" t="s">
        <v>797</v>
      </c>
      <c r="C8" s="206">
        <f t="shared" si="0"/>
        <v>510052.59000000008</v>
      </c>
      <c r="D8" s="180"/>
      <c r="E8" s="19">
        <f>'DOE25'!L205+'DOE25'!L223+'DOE25'!L241-F8-G8-H8-D9-D11</f>
        <v>497874.39000000007</v>
      </c>
      <c r="F8" s="181"/>
      <c r="G8" s="19">
        <f>'DOE25'!J205+'DOE25'!J223+'DOE25'!J241</f>
        <v>0</v>
      </c>
      <c r="H8" s="19">
        <f>'DOE25'!K205+'DOE25'!K223+'DOE25'!K241</f>
        <v>12178.2</v>
      </c>
      <c r="I8" s="192"/>
    </row>
    <row r="9" spans="1:9" ht="14.25" x14ac:dyDescent="0.2">
      <c r="A9" s="31">
        <v>2310</v>
      </c>
      <c r="B9" s="71" t="s">
        <v>887</v>
      </c>
      <c r="C9" s="206">
        <f t="shared" si="0"/>
        <v>68709.179999999993</v>
      </c>
      <c r="D9" s="181">
        <v>68709.179999999993</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1481657.89</v>
      </c>
      <c r="D12" s="19">
        <f>'DOE25'!L206+'DOE25'!L224+'DOE25'!L242-F12-G12-H12</f>
        <v>1474904.14</v>
      </c>
      <c r="E12" s="180"/>
      <c r="F12" s="181"/>
      <c r="G12" s="19">
        <f>'DOE25'!J206+'DOE25'!J224+'DOE25'!J242</f>
        <v>0</v>
      </c>
      <c r="H12" s="19">
        <f>'DOE25'!K206+'DOE25'!K224+'DOE25'!K242</f>
        <v>6753.75</v>
      </c>
      <c r="I12" s="192"/>
    </row>
    <row r="13" spans="1:9" x14ac:dyDescent="0.2">
      <c r="A13" s="31">
        <v>2500</v>
      </c>
      <c r="B13" t="s">
        <v>798</v>
      </c>
      <c r="C13" s="206">
        <f t="shared" si="0"/>
        <v>716197.73</v>
      </c>
      <c r="D13" s="180"/>
      <c r="E13" s="19">
        <f>'DOE25'!L207+'DOE25'!L225+'DOE25'!L243-F13-G13-H13</f>
        <v>664429.04</v>
      </c>
      <c r="F13" s="181"/>
      <c r="G13" s="19">
        <f>'DOE25'!J207+'DOE25'!J225+'DOE25'!J243</f>
        <v>2509.3199999999997</v>
      </c>
      <c r="H13" s="19">
        <f>'DOE25'!K207+'DOE25'!K225+'DOE25'!K243</f>
        <v>49259.37</v>
      </c>
      <c r="I13" s="192"/>
    </row>
    <row r="14" spans="1:9" x14ac:dyDescent="0.2">
      <c r="A14" s="31">
        <v>2600</v>
      </c>
      <c r="B14" t="s">
        <v>818</v>
      </c>
      <c r="C14" s="206">
        <f t="shared" si="0"/>
        <v>2615760.5</v>
      </c>
      <c r="D14" s="19">
        <f>'DOE25'!L208+'DOE25'!L226+'DOE25'!L244-F14-G14-H14</f>
        <v>2344234.5499999998</v>
      </c>
      <c r="E14" s="180"/>
      <c r="F14" s="181"/>
      <c r="G14" s="19">
        <f>'DOE25'!J208+'DOE25'!J226+'DOE25'!J244</f>
        <v>271525.95</v>
      </c>
      <c r="H14" s="19">
        <f>'DOE25'!K208+'DOE25'!K226+'DOE25'!K244</f>
        <v>0</v>
      </c>
      <c r="I14" s="192"/>
    </row>
    <row r="15" spans="1:9" x14ac:dyDescent="0.2">
      <c r="A15" s="31">
        <v>2700</v>
      </c>
      <c r="B15" t="s">
        <v>799</v>
      </c>
      <c r="C15" s="206">
        <f t="shared" si="0"/>
        <v>1519215.11</v>
      </c>
      <c r="D15" s="19">
        <f>'DOE25'!L209+'DOE25'!L227+'DOE25'!L245-F15-G15-H15</f>
        <v>183019.20000000019</v>
      </c>
      <c r="E15" s="180"/>
      <c r="F15" s="181">
        <v>1336195.9099999999</v>
      </c>
      <c r="G15" s="19">
        <f>'DOE25'!J209+'DOE25'!J227+'DOE25'!J245</f>
        <v>0</v>
      </c>
      <c r="H15" s="19">
        <f>'DOE25'!K209+'DOE25'!K227+'DOE25'!K245</f>
        <v>0</v>
      </c>
      <c r="I15" s="192"/>
    </row>
    <row r="16" spans="1:9" x14ac:dyDescent="0.2">
      <c r="A16" s="31">
        <v>2800</v>
      </c>
      <c r="B16" t="s">
        <v>800</v>
      </c>
      <c r="C16" s="206">
        <f t="shared" si="0"/>
        <v>791386.13</v>
      </c>
      <c r="D16" s="180"/>
      <c r="E16" s="19">
        <f>'DOE25'!L210+'DOE25'!L228+'DOE25'!L246-F16-G16-H16</f>
        <v>560010.5199999999</v>
      </c>
      <c r="F16" s="181">
        <v>3257.3</v>
      </c>
      <c r="G16" s="19">
        <f>'DOE25'!J210+'DOE25'!J228+'DOE25'!J246</f>
        <v>228118.31000000003</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3144.93</v>
      </c>
      <c r="D19" s="19">
        <f>'DOE25'!L254-F19-G19-H19</f>
        <v>0</v>
      </c>
      <c r="E19" s="180"/>
      <c r="F19" s="181"/>
      <c r="G19" s="19">
        <f>'DOE25'!J254</f>
        <v>3144.93</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972329.95</v>
      </c>
      <c r="D22" s="180"/>
      <c r="E22" s="180"/>
      <c r="F22" s="180"/>
      <c r="G22" s="19">
        <f>'DOE25'!L256+'DOE25'!L337</f>
        <v>972329.95</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185672.5</v>
      </c>
      <c r="D25" s="180"/>
      <c r="E25" s="180"/>
      <c r="F25" s="191"/>
      <c r="G25" s="180"/>
      <c r="H25" s="180"/>
      <c r="I25" s="190">
        <f>'DOE25'!L261+'DOE25'!L262+'DOE25'!L342+'DOE25'!L343</f>
        <v>185672.5</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523820.33999999997</v>
      </c>
      <c r="D29" s="212">
        <f>'DOE25'!L359+'DOE25'!L360+'DOE25'!L361-'DOE25'!I368-F29-G29-H29-F39</f>
        <v>482820.33999999997</v>
      </c>
      <c r="E29" s="180"/>
      <c r="F29" s="180"/>
      <c r="G29" s="19">
        <f>'DOE25'!J359+'DOE25'!J360+'DOE25'!J361</f>
        <v>41000</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1201486.81</v>
      </c>
      <c r="D31" s="19">
        <f>'DOE25'!L291+'DOE25'!L310+'DOE25'!L329+'DOE25'!L334+'DOE25'!L335+'DOE25'!L336-F31-G31-H31</f>
        <v>461727.96000000008</v>
      </c>
      <c r="E31" s="180"/>
      <c r="F31" s="181">
        <f>36999.73+533101.12-25000</f>
        <v>545100.85</v>
      </c>
      <c r="G31" s="19">
        <f>'DOE25'!J291+'DOE25'!J310+'DOE25'!J329+'DOE25'!J334+'DOE25'!J335+'DOE25'!J336</f>
        <v>194458</v>
      </c>
      <c r="H31" s="19">
        <f>'DOE25'!K291+'DOE25'!K310+'DOE25'!K329+'DOE25'!K334+'DOE25'!K335+'DOE25'!K336</f>
        <v>200</v>
      </c>
      <c r="I31" s="192"/>
    </row>
    <row r="32" spans="1:9" ht="12" thickBot="1" x14ac:dyDescent="0.25">
      <c r="C32" s="207"/>
      <c r="G32" s="188"/>
      <c r="H32" s="188"/>
      <c r="I32" s="194"/>
    </row>
    <row r="33" spans="1:9" ht="12" thickTop="1" x14ac:dyDescent="0.2">
      <c r="B33" t="s">
        <v>809</v>
      </c>
      <c r="D33" s="182">
        <f t="shared" ref="D33:I33" si="1">SUM(D5:D31)</f>
        <v>22718431.090000004</v>
      </c>
      <c r="E33" s="182">
        <f t="shared" si="1"/>
        <v>1722313.9500000002</v>
      </c>
      <c r="F33" s="182">
        <f t="shared" si="1"/>
        <v>1884554.06</v>
      </c>
      <c r="G33" s="182">
        <f t="shared" si="1"/>
        <v>1756870.75</v>
      </c>
      <c r="H33" s="182">
        <f t="shared" si="1"/>
        <v>115798.25</v>
      </c>
      <c r="I33" s="182">
        <f t="shared" si="1"/>
        <v>185672.5</v>
      </c>
    </row>
    <row r="34" spans="1:9" ht="12" thickBot="1" x14ac:dyDescent="0.25"/>
    <row r="35" spans="1:9" ht="12" thickBot="1" x14ac:dyDescent="0.25">
      <c r="B35" s="188" t="s">
        <v>830</v>
      </c>
      <c r="D35" s="189">
        <f>E33</f>
        <v>1722313.9500000002</v>
      </c>
      <c r="E35" s="185"/>
      <c r="F35" s="295" t="s">
        <v>1608</v>
      </c>
      <c r="G35" s="296"/>
      <c r="H35" s="296"/>
      <c r="I35" s="297"/>
    </row>
    <row r="36" spans="1:9" ht="12" thickTop="1" x14ac:dyDescent="0.2">
      <c r="B36" t="s">
        <v>810</v>
      </c>
      <c r="D36" s="19">
        <f>D33</f>
        <v>22718431.090000004</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v>223962.17</v>
      </c>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5000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rintOptions horizontalCentered="1" gridLines="1"/>
  <pageMargins left="0.25" right="0.25" top="0.5" bottom="0.5" header="0.3" footer="0.3"/>
  <pageSetup scale="83" orientation="landscape" r:id="rId1"/>
  <headerFooter alignWithMargins="0">
    <oddFooter>&amp;L&amp;F&amp;CPage &amp;P&amp;R&amp;D&amp;T</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U725"/>
  <sheetViews>
    <sheetView topLeftCell="A10" zoomScale="80" zoomScaleNormal="80" workbookViewId="0">
      <selection activeCell="A6" sqref="A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Jaffrey-Rindge Cooperative</v>
      </c>
      <c r="B2">
        <f>'DOE25'!B2</f>
        <v>274</v>
      </c>
      <c r="J2" s="224" t="s">
        <v>1808</v>
      </c>
      <c r="K2" s="309">
        <f>SUM('DOE25'!L198:L201)+SUM('DOE25'!L216:L219)+SUM('DOE25'!L234:L237)+SUM('DOE25'!L277:L280)+SUM('DOE25'!L296:L299)+SUM('DOE25'!L315:L318)</f>
        <v>15863256.090000002</v>
      </c>
      <c r="L2" s="309">
        <f>'DOE25'!L203+'DOE25'!L221+'DOE25'!L239+'DOE25'!L282+'DOE25'!L301+'DOE25'!L320</f>
        <v>2237066.61</v>
      </c>
      <c r="M2" s="309">
        <f>'DOE25'!L204+'DOE25'!L222+'DOE25'!L240+'DOE25'!L283+'DOE25'!L302+'DOE25'!L321</f>
        <v>649241.05000000005</v>
      </c>
      <c r="N2" s="309">
        <f>'DOE25'!L206+'DOE25'!L224+'DOE25'!L242+'DOE25'!L285+'DOE25'!L304+'DOE25'!L323</f>
        <v>1481657.89</v>
      </c>
      <c r="O2" s="309">
        <f>'Salaries-Benefits'!B10+'Salaries-Benefits'!B12+'Salaries-Benefits'!B19+'Salaries-Benefits'!B21+'Salaries-Benefits'!B28+'Salaries-Benefits'!B30+'Salaries-Benefits'!B37+'Salaries-Benefits'!B39</f>
        <v>7738484.2299999995</v>
      </c>
      <c r="P2" s="309">
        <f>'Salaries-Benefits'!B11+'Salaries-Benefits'!B20+'Salaries-Benefits'!B29+'Salaries-Benefits'!B38</f>
        <v>1162116.08</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0</v>
      </c>
      <c r="L3" s="311">
        <f t="shared" ref="L3:P3" si="0">L21+L33+L43-L2</f>
        <v>0</v>
      </c>
      <c r="M3" s="311">
        <f t="shared" si="0"/>
        <v>0</v>
      </c>
      <c r="N3" s="311">
        <f t="shared" si="0"/>
        <v>0</v>
      </c>
      <c r="O3" s="311">
        <f t="shared" si="0"/>
        <v>-7738484.2299999995</v>
      </c>
      <c r="P3" s="311">
        <f t="shared" si="0"/>
        <v>-1162116.08</v>
      </c>
      <c r="Q3" s="310"/>
      <c r="R3" s="306"/>
      <c r="S3" s="215"/>
      <c r="T3" s="215"/>
      <c r="U3" s="216"/>
    </row>
    <row r="4" spans="1:21" ht="55.5" customHeight="1" thickBot="1" x14ac:dyDescent="0.25">
      <c r="A4" s="224" t="s">
        <v>1522</v>
      </c>
      <c r="B4" s="224" t="s">
        <v>1523</v>
      </c>
      <c r="C4" s="224" t="s">
        <v>896</v>
      </c>
      <c r="D4" s="224" t="s">
        <v>786</v>
      </c>
      <c r="E4" s="224" t="s">
        <v>786</v>
      </c>
      <c r="F4" s="228">
        <f>SUM(F5:F20)</f>
        <v>13401802.68</v>
      </c>
      <c r="G4" s="229">
        <f>'DOE25'!L212+'DOE25'!L291</f>
        <v>13401802.680000003</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v>344040.67</v>
      </c>
      <c r="E5" s="220"/>
      <c r="F5" s="232">
        <f>D5+E5</f>
        <v>344040.67</v>
      </c>
      <c r="G5" s="223"/>
      <c r="H5" s="223"/>
      <c r="J5" s="223"/>
      <c r="K5" s="223"/>
      <c r="L5" s="223"/>
      <c r="M5" s="223"/>
      <c r="N5" s="223"/>
      <c r="O5" s="223"/>
      <c r="P5" s="223"/>
      <c r="Q5" s="223"/>
    </row>
    <row r="6" spans="1:21" x14ac:dyDescent="0.2">
      <c r="A6" t="str" cm="1">
        <f t="array" ref="A6">IFERROR(INDEX('School Tables'!$A$4:$G$325,'School Tables'!$J4,3),"")</f>
        <v>Jaffrey Grade School</v>
      </c>
      <c r="B6" s="230">
        <f>IFERROR(VLOOKUP(A6,'School Tables'!$C$3:$D$365,2,FALSE),"")</f>
        <v>22275</v>
      </c>
      <c r="C6" s="223" t="str">
        <f>IFERROR(INDEX('School Tables'!$B$3:$B$365,MATCH('School Level Expenditures'!B6,'School Tables'!$D$3:$D$365,0)),"")</f>
        <v>Jaffrey-Rindge Cooperative</v>
      </c>
      <c r="D6" s="220">
        <f>1030088.48+4706616.23-178381.37+29029</f>
        <v>5587352.3400000008</v>
      </c>
      <c r="E6" s="220">
        <f>37528.82+132436.52+363611.83+1013.02+81.57</f>
        <v>534671.76</v>
      </c>
      <c r="F6" s="232">
        <f t="shared" ref="F6:F20" si="1">D6+E6</f>
        <v>6122024.1000000006</v>
      </c>
      <c r="G6" s="223"/>
      <c r="H6" s="223"/>
      <c r="J6" t="str">
        <f>A6</f>
        <v>Jaffrey Grade School</v>
      </c>
      <c r="K6" s="20">
        <f>3109107.67+177712.72+7624.49+326813.4+1013.02+132436.52</f>
        <v>3754707.8200000003</v>
      </c>
      <c r="L6" s="20">
        <f>468026.46+35065.85+1325.13+81.57+174.77-0.01</f>
        <v>504673.77</v>
      </c>
      <c r="M6" s="308">
        <f>39306.59+96426+1732.58+26900.99</f>
        <v>164366.15999999997</v>
      </c>
      <c r="N6" s="20">
        <f>2399.63+380131.16</f>
        <v>382530.79</v>
      </c>
      <c r="O6" s="20"/>
      <c r="P6" s="20"/>
      <c r="Q6" s="20"/>
    </row>
    <row r="7" spans="1:21" x14ac:dyDescent="0.2">
      <c r="A7" t="str" cm="1">
        <f t="array" ref="A7">IFERROR(INDEX('School Tables'!$A$4:$G$325,'School Tables'!$J5,3),"")</f>
        <v>Rindge Memorial School</v>
      </c>
      <c r="B7" s="230">
        <f>IFERROR(VLOOKUP(A7,'School Tables'!$C$3:$D$365,2,FALSE),"")</f>
        <v>22320</v>
      </c>
      <c r="C7" s="223" t="str">
        <f>IFERROR(INDEX('School Tables'!$B$3:$B$365,MATCH('School Level Expenditures'!B7,'School Tables'!$D$3:$D$365,0)),"")</f>
        <v>Jaffrey-Rindge Cooperative</v>
      </c>
      <c r="D7" s="220">
        <f>1148322.02+5578829.58-165659.3+60699</f>
        <v>6622191.2999999998</v>
      </c>
      <c r="E7" s="220">
        <f>41836.38+73918.23+1129.3+90.93+108992.71+77801.07+9778-0.01</f>
        <v>313546.61</v>
      </c>
      <c r="F7" s="232">
        <f t="shared" si="1"/>
        <v>6935737.9100000001</v>
      </c>
      <c r="G7" s="223"/>
      <c r="H7" s="223"/>
      <c r="J7" t="str">
        <f t="shared" ref="J7:J20" si="2">A7</f>
        <v>Rindge Memorial School</v>
      </c>
      <c r="K7" s="20">
        <f>3983086.39+198110.59+8499.63+1129.3+108992.71+77801.07+9778+73918.23-0.02</f>
        <v>4461315.9000000013</v>
      </c>
      <c r="L7" s="20">
        <f>469726.26+1477.23+90.93+194.82</f>
        <v>471489.24</v>
      </c>
      <c r="M7" s="308">
        <f>43818.19+126395.22+29988.68+0.02</f>
        <v>200202.11</v>
      </c>
      <c r="N7" s="20">
        <f>2675.07+351967.88</f>
        <v>354642.95</v>
      </c>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12553584.310000001</v>
      </c>
      <c r="E21" s="262">
        <f>SUM(E5:E20)</f>
        <v>848218.37</v>
      </c>
      <c r="F21" s="217"/>
      <c r="G21" s="217"/>
      <c r="H21" s="217"/>
      <c r="K21" s="263">
        <f t="shared" ref="K21:Q21" si="3">SUM(K5:K20)</f>
        <v>8216023.7200000016</v>
      </c>
      <c r="L21" s="263">
        <f t="shared" si="3"/>
        <v>976163.01</v>
      </c>
      <c r="M21" s="263">
        <f t="shared" si="3"/>
        <v>364568.26999999996</v>
      </c>
      <c r="N21" s="263">
        <f t="shared" si="3"/>
        <v>737173.74</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5690690.4500000002</v>
      </c>
      <c r="G24" s="229">
        <f>'DOE25'!L230+'DOE25'!L310</f>
        <v>5690690.4500000002</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v>395076.5</v>
      </c>
      <c r="E25" s="220"/>
      <c r="F25" s="232">
        <f>D25+E25</f>
        <v>395076.5</v>
      </c>
      <c r="G25" s="223"/>
      <c r="H25" s="223"/>
      <c r="J25" s="223"/>
      <c r="K25" s="223"/>
      <c r="L25" s="224"/>
      <c r="M25" s="223"/>
      <c r="N25" s="223"/>
      <c r="O25" s="223"/>
      <c r="P25" s="223"/>
      <c r="Q25" s="223"/>
    </row>
    <row r="26" spans="1:17" x14ac:dyDescent="0.2">
      <c r="A26" t="str" cm="1">
        <f t="array" ref="A26">IFERROR(INDEX('School Tables'!$L$4:$R$75,'School Tables'!$U4,3),"")</f>
        <v>Jaffrey-Rindge Middle School</v>
      </c>
      <c r="B26" s="230">
        <f>IFERROR(VLOOKUP(A26,'School Tables'!$N$4:$O$75,2,FALSE),"")</f>
        <v>22280</v>
      </c>
      <c r="C26" s="223" t="str">
        <f>IFERROR(INDEX('School Tables'!$M$4:$M$75,MATCH('School Level Expenditures'!A26,'School Tables'!$N$4:$N$75,0)),"")</f>
        <v>Jaffrey-Rindge Cooperative</v>
      </c>
      <c r="D26" s="220">
        <f>5557539.12-395076.5+67126.5+1860.33</f>
        <v>5231449.45</v>
      </c>
      <c r="E26" s="220">
        <f>36730.05+27434.45</f>
        <v>64164.5</v>
      </c>
      <c r="F26" s="232">
        <f t="shared" ref="F26:F32" si="4">D26+E26</f>
        <v>5295613.95</v>
      </c>
      <c r="G26" s="223"/>
      <c r="H26" s="223"/>
      <c r="J26" t="str">
        <f t="shared" ref="J26:J32" si="5">A26</f>
        <v>Jaffrey-Rindge Middle School</v>
      </c>
      <c r="K26" s="20">
        <f>3204679.62+36756.98</f>
        <v>3241436.6</v>
      </c>
      <c r="L26" s="20">
        <f>537926.22+1296.93</f>
        <v>539223.15</v>
      </c>
      <c r="M26" s="308">
        <f>105279.83+26328.44</f>
        <v>131608.26999999999</v>
      </c>
      <c r="N26" s="20">
        <v>363420.97</v>
      </c>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5626525.9500000002</v>
      </c>
      <c r="E33" s="262">
        <f>SUM(E25:E32)</f>
        <v>64164.5</v>
      </c>
      <c r="F33" s="217"/>
      <c r="G33" s="217"/>
      <c r="H33" s="217"/>
      <c r="K33" s="263">
        <f t="shared" ref="K33:Q33" si="6">SUM(K25:K32)</f>
        <v>3241436.6</v>
      </c>
      <c r="L33" s="263">
        <f t="shared" si="6"/>
        <v>539223.15</v>
      </c>
      <c r="M33" s="263">
        <f t="shared" si="6"/>
        <v>131608.26999999999</v>
      </c>
      <c r="N33" s="263">
        <f t="shared" si="6"/>
        <v>363420.97</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7606179.75</v>
      </c>
      <c r="G36" s="229">
        <f>'DOE25'!L248+'DOE25'!L329</f>
        <v>7606179.7499999991</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v>1097007.8999999999</v>
      </c>
      <c r="E37" s="220"/>
      <c r="F37" s="232">
        <f t="shared" ref="F37:F42" si="7">D37+E37</f>
        <v>1097007.8999999999</v>
      </c>
      <c r="G37" s="223"/>
      <c r="H37" s="223"/>
      <c r="J37" s="223"/>
      <c r="K37" s="223"/>
      <c r="L37" s="224"/>
      <c r="M37" s="223"/>
      <c r="N37" s="223"/>
      <c r="O37" s="223"/>
      <c r="P37" s="223"/>
      <c r="Q37" s="223"/>
    </row>
    <row r="38" spans="1:18" x14ac:dyDescent="0.2">
      <c r="A38" t="str" cm="1">
        <f t="array" ref="A38">IFERROR(INDEX('School Tables'!$W$4:$AC$100,'School Tables'!$AF4,3),"")</f>
        <v>Conant High School</v>
      </c>
      <c r="B38" s="230">
        <f>IFERROR(VLOOKUP(A38,'School Tables'!$Y$4:$Z$100,2,FALSE),"")</f>
        <v>22265</v>
      </c>
      <c r="C38" s="223" t="str">
        <f>IFERROR(INDEX('School Tables'!$X$4:$X$100,MATCH('School Level Expenditures'!A38,'School Tables'!$Y$4:$Y$100,0)),"")</f>
        <v>Jaffrey-Rindge Cooperative</v>
      </c>
      <c r="D38" s="220">
        <f>7475790.62-1097007.9+82025.5+2331.49+0.02</f>
        <v>6463139.7300000004</v>
      </c>
      <c r="E38" s="220">
        <f>46032.12</f>
        <v>46032.12</v>
      </c>
      <c r="F38" s="232">
        <f t="shared" si="7"/>
        <v>6509171.8500000006</v>
      </c>
      <c r="G38" s="223"/>
      <c r="H38" s="223"/>
      <c r="J38" t="str">
        <f t="shared" ref="J38:J42" si="8">A38</f>
        <v>Conant High School</v>
      </c>
      <c r="K38" s="20">
        <f>4394112.24+11683.53</f>
        <v>4405795.7700000005</v>
      </c>
      <c r="L38" s="20">
        <f>720055.07+1625.38</f>
        <v>721680.45</v>
      </c>
      <c r="M38" s="308">
        <f>120068.27+32996.24</f>
        <v>153064.51</v>
      </c>
      <c r="N38" s="20">
        <v>381063.18</v>
      </c>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7560147.6300000008</v>
      </c>
      <c r="E43" s="263">
        <f>SUM(E37:E42)</f>
        <v>46032.12</v>
      </c>
      <c r="K43" s="263">
        <f t="shared" ref="K43:Q43" si="9">SUM(K37:K42)</f>
        <v>4405795.7700000005</v>
      </c>
      <c r="L43" s="263">
        <f t="shared" si="9"/>
        <v>721680.45</v>
      </c>
      <c r="M43" s="263">
        <f t="shared" si="9"/>
        <v>153064.51</v>
      </c>
      <c r="N43" s="263">
        <f t="shared" si="9"/>
        <v>381063.18</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rintOptions horizontalCentered="1" gridLines="1"/>
  <pageMargins left="0.25" right="0.25" top="0.5" bottom="0.5" header="0.3" footer="0.3"/>
  <pageSetup scale="71" orientation="portrait" r:id="rId1"/>
  <headerFooter alignWithMargins="0">
    <oddFooter>&amp;L&amp;F&amp;CPage &amp;P&amp;R&amp;D&amp;T</oddFooter>
  </headerFooter>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zoomScale="80" zoomScaleNormal="80" workbookViewId="0">
      <selection activeCell="A5" sqref="A5"/>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Jaffrey-Rindge Cooperative</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2116609.21</v>
      </c>
      <c r="D8" s="73">
        <f>'DOE25'!G9</f>
        <v>7.39</v>
      </c>
      <c r="E8" s="73">
        <f>'DOE25'!H9</f>
        <v>0</v>
      </c>
      <c r="F8" s="73">
        <f>'DOE25'!I9</f>
        <v>0</v>
      </c>
      <c r="G8" s="73">
        <f>'DOE25'!J9</f>
        <v>0</v>
      </c>
      <c r="H8" s="13">
        <f>SUM(C8:G8)</f>
        <v>2116616.6</v>
      </c>
      <c r="I8" s="90"/>
    </row>
    <row r="9" spans="1:9" x14ac:dyDescent="0.2">
      <c r="A9" s="1" t="s">
        <v>140</v>
      </c>
      <c r="B9" s="6">
        <v>110</v>
      </c>
      <c r="C9" s="73">
        <f>'DOE25'!F10</f>
        <v>0</v>
      </c>
      <c r="D9" s="73">
        <f>'DOE25'!G10</f>
        <v>0</v>
      </c>
      <c r="E9" s="73">
        <f>'DOE25'!H10</f>
        <v>0</v>
      </c>
      <c r="F9" s="73">
        <f>'DOE25'!I10</f>
        <v>0</v>
      </c>
      <c r="G9" s="73">
        <f>'DOE25'!J10</f>
        <v>3195410.95</v>
      </c>
      <c r="H9" s="13">
        <f t="shared" ref="H9:H18" si="0">SUM(C9:G9)</f>
        <v>3195410.95</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135529.54999999999</v>
      </c>
      <c r="D11" s="73">
        <f>'DOE25'!G12</f>
        <v>213036.1</v>
      </c>
      <c r="E11" s="73">
        <f>'DOE25'!H12</f>
        <v>0</v>
      </c>
      <c r="F11" s="73">
        <f>'DOE25'!I12</f>
        <v>0</v>
      </c>
      <c r="G11" s="73">
        <f>'DOE25'!J12</f>
        <v>6561</v>
      </c>
      <c r="H11" s="13">
        <f t="shared" si="0"/>
        <v>355126.65</v>
      </c>
      <c r="I11" s="90"/>
    </row>
    <row r="12" spans="1:9" x14ac:dyDescent="0.2">
      <c r="A12" s="1" t="s">
        <v>143</v>
      </c>
      <c r="B12" s="6">
        <v>140</v>
      </c>
      <c r="C12" s="73">
        <f>'DOE25'!F13</f>
        <v>27638.560000000001</v>
      </c>
      <c r="D12" s="73">
        <f>'DOE25'!G13</f>
        <v>56451.73</v>
      </c>
      <c r="E12" s="73">
        <f>'DOE25'!H13</f>
        <v>322707.01</v>
      </c>
      <c r="F12" s="73">
        <f>'DOE25'!I13</f>
        <v>0</v>
      </c>
      <c r="G12" s="73">
        <f>'DOE25'!J13</f>
        <v>0</v>
      </c>
      <c r="H12" s="13">
        <f t="shared" si="0"/>
        <v>406797.30000000005</v>
      </c>
      <c r="I12" s="90"/>
    </row>
    <row r="13" spans="1:9" x14ac:dyDescent="0.2">
      <c r="A13" s="1" t="s">
        <v>144</v>
      </c>
      <c r="B13" s="6">
        <v>150</v>
      </c>
      <c r="C13" s="73">
        <f>'DOE25'!F14</f>
        <v>20551.330000000002</v>
      </c>
      <c r="D13" s="73">
        <f>'DOE25'!G14</f>
        <v>0</v>
      </c>
      <c r="E13" s="73">
        <f>'DOE25'!H14</f>
        <v>0</v>
      </c>
      <c r="F13" s="73">
        <f>'DOE25'!I14</f>
        <v>0</v>
      </c>
      <c r="G13" s="73">
        <f>'DOE25'!J14</f>
        <v>0</v>
      </c>
      <c r="H13" s="13">
        <f t="shared" si="0"/>
        <v>20551.330000000002</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16877.18</v>
      </c>
      <c r="E15" s="73">
        <f>'DOE25'!H16</f>
        <v>0</v>
      </c>
      <c r="F15" s="73">
        <f>'DOE25'!I16</f>
        <v>0</v>
      </c>
      <c r="G15" s="23" t="s">
        <v>288</v>
      </c>
      <c r="H15" s="13">
        <f t="shared" si="0"/>
        <v>16877.18</v>
      </c>
      <c r="I15" s="90"/>
    </row>
    <row r="16" spans="1:9" x14ac:dyDescent="0.2">
      <c r="A16" s="1" t="s">
        <v>147</v>
      </c>
      <c r="B16" s="6">
        <v>180</v>
      </c>
      <c r="C16" s="73">
        <f>'DOE25'!F17</f>
        <v>8192</v>
      </c>
      <c r="D16" s="73">
        <f>'DOE25'!G17</f>
        <v>0</v>
      </c>
      <c r="E16" s="73">
        <f>'DOE25'!H17</f>
        <v>0</v>
      </c>
      <c r="F16" s="73">
        <f>'DOE25'!I17</f>
        <v>0</v>
      </c>
      <c r="G16" s="73">
        <f>'DOE25'!J17</f>
        <v>0</v>
      </c>
      <c r="H16" s="13">
        <f t="shared" si="0"/>
        <v>8192</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2308520.65</v>
      </c>
      <c r="D18" s="38">
        <f>SUM(D8:D17)</f>
        <v>286372.40000000002</v>
      </c>
      <c r="E18" s="38">
        <f>SUM(E8:E17)</f>
        <v>322707.01</v>
      </c>
      <c r="F18" s="38">
        <f>SUM(F8:F17)</f>
        <v>0</v>
      </c>
      <c r="G18" s="38">
        <f>SUM(G8:G17)</f>
        <v>3201971.95</v>
      </c>
      <c r="H18" s="38">
        <f t="shared" si="0"/>
        <v>6119572.0099999998</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278838.15000000002</v>
      </c>
      <c r="F21" s="73">
        <f>'DOE25'!I22</f>
        <v>0</v>
      </c>
      <c r="G21" s="73">
        <f>'DOE25'!J22</f>
        <v>0</v>
      </c>
      <c r="H21" s="13">
        <f t="shared" ref="H21:H31" si="1">SUM(C21:G21)</f>
        <v>278838.15000000002</v>
      </c>
      <c r="I21" s="90"/>
    </row>
    <row r="22" spans="1:9" x14ac:dyDescent="0.2">
      <c r="A22" s="1" t="s">
        <v>151</v>
      </c>
      <c r="B22" s="6">
        <v>410</v>
      </c>
      <c r="C22" s="73">
        <f>'DOE25'!F23</f>
        <v>16914.02</v>
      </c>
      <c r="D22" s="73">
        <f>'DOE25'!G23</f>
        <v>0</v>
      </c>
      <c r="E22" s="73">
        <f>'DOE25'!H23</f>
        <v>437.5</v>
      </c>
      <c r="F22" s="73">
        <f>'DOE25'!I23</f>
        <v>0</v>
      </c>
      <c r="G22" s="73">
        <f>'DOE25'!J23</f>
        <v>76288.5</v>
      </c>
      <c r="H22" s="13">
        <f t="shared" si="1"/>
        <v>93640.02</v>
      </c>
      <c r="I22" s="90"/>
    </row>
    <row r="23" spans="1:9" x14ac:dyDescent="0.2">
      <c r="A23" s="1" t="s">
        <v>152</v>
      </c>
      <c r="B23" s="6">
        <v>420</v>
      </c>
      <c r="C23" s="73">
        <f>'DOE25'!F24</f>
        <v>429959.8</v>
      </c>
      <c r="D23" s="73">
        <f>'DOE25'!G24</f>
        <v>44392.95</v>
      </c>
      <c r="E23" s="73">
        <f>'DOE25'!H24</f>
        <v>43431.360000000001</v>
      </c>
      <c r="F23" s="73">
        <f>'DOE25'!I24</f>
        <v>0</v>
      </c>
      <c r="G23" s="73">
        <f>'DOE25'!J24</f>
        <v>6561</v>
      </c>
      <c r="H23" s="13">
        <f t="shared" si="1"/>
        <v>524345.11</v>
      </c>
      <c r="I23" s="90"/>
    </row>
    <row r="24" spans="1:9" x14ac:dyDescent="0.2">
      <c r="A24" s="1" t="s">
        <v>153</v>
      </c>
      <c r="B24" s="6">
        <v>430</v>
      </c>
      <c r="C24" s="73">
        <f>'DOE25'!F25</f>
        <v>0</v>
      </c>
      <c r="D24" s="73">
        <f>'DOE25'!G25</f>
        <v>115942.95</v>
      </c>
      <c r="E24" s="73">
        <f>'DOE25'!H25</f>
        <v>0</v>
      </c>
      <c r="F24" s="73">
        <f>'DOE25'!I25</f>
        <v>0</v>
      </c>
      <c r="G24" s="23" t="s">
        <v>288</v>
      </c>
      <c r="H24" s="13">
        <f t="shared" si="1"/>
        <v>115942.95</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20858.03</v>
      </c>
      <c r="D27" s="73">
        <f>'DOE25'!G28</f>
        <v>0</v>
      </c>
      <c r="E27" s="73">
        <f>'DOE25'!H28</f>
        <v>0</v>
      </c>
      <c r="F27" s="73">
        <f>'DOE25'!I28</f>
        <v>0</v>
      </c>
      <c r="G27" s="23" t="s">
        <v>288</v>
      </c>
      <c r="H27" s="13">
        <f t="shared" si="1"/>
        <v>20858.03</v>
      </c>
      <c r="I27" s="90"/>
    </row>
    <row r="28" spans="1:9" x14ac:dyDescent="0.2">
      <c r="A28" s="1" t="s">
        <v>157</v>
      </c>
      <c r="B28" s="6">
        <v>470</v>
      </c>
      <c r="C28" s="73">
        <f>'DOE25'!F29</f>
        <v>19412.11</v>
      </c>
      <c r="D28" s="73">
        <f>'DOE25'!G29</f>
        <v>0</v>
      </c>
      <c r="E28" s="73">
        <f>'DOE25'!H29</f>
        <v>0</v>
      </c>
      <c r="F28" s="73">
        <f>'DOE25'!I29</f>
        <v>0</v>
      </c>
      <c r="G28" s="23" t="s">
        <v>288</v>
      </c>
      <c r="H28" s="13">
        <f t="shared" si="1"/>
        <v>19412.11</v>
      </c>
      <c r="I28" s="90"/>
    </row>
    <row r="29" spans="1:9" x14ac:dyDescent="0.2">
      <c r="A29" s="1" t="s">
        <v>158</v>
      </c>
      <c r="B29" s="6">
        <v>480</v>
      </c>
      <c r="C29" s="73">
        <f>'DOE25'!F30</f>
        <v>0</v>
      </c>
      <c r="D29" s="73">
        <f>'DOE25'!G30</f>
        <v>19601.75</v>
      </c>
      <c r="E29" s="73">
        <f>'DOE25'!H30</f>
        <v>0</v>
      </c>
      <c r="F29" s="73">
        <f>'DOE25'!I30</f>
        <v>0</v>
      </c>
      <c r="G29" s="23" t="s">
        <v>288</v>
      </c>
      <c r="H29" s="13">
        <f t="shared" si="1"/>
        <v>19601.75</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487143.95999999996</v>
      </c>
      <c r="D31" s="38">
        <f>SUM(D21:D30)</f>
        <v>179937.65</v>
      </c>
      <c r="E31" s="38">
        <f>SUM(E21:E30)</f>
        <v>322707.01</v>
      </c>
      <c r="F31" s="38">
        <f>SUM(F21:F30)</f>
        <v>0</v>
      </c>
      <c r="G31" s="38">
        <f>SUM(G21:G30)</f>
        <v>82849.5</v>
      </c>
      <c r="H31" s="38">
        <f t="shared" si="1"/>
        <v>1072638.1200000001</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16877.18</v>
      </c>
      <c r="E34" s="73">
        <f>'DOE25'!H35</f>
        <v>0</v>
      </c>
      <c r="F34" s="73">
        <f>'DOE25'!I35</f>
        <v>0</v>
      </c>
      <c r="G34" s="23" t="s">
        <v>288</v>
      </c>
      <c r="H34" s="13">
        <f t="shared" ref="H34:H51" si="2">SUM(C34:G34)</f>
        <v>16877.18</v>
      </c>
      <c r="I34" s="90"/>
    </row>
    <row r="35" spans="1:9" x14ac:dyDescent="0.2">
      <c r="A35" s="1" t="s">
        <v>849</v>
      </c>
      <c r="B35" s="6">
        <v>752</v>
      </c>
      <c r="C35" s="73">
        <f>'DOE25'!F36</f>
        <v>8192</v>
      </c>
      <c r="D35" s="73">
        <f>'DOE25'!G36</f>
        <v>0</v>
      </c>
      <c r="E35" s="73">
        <f>'DOE25'!H36</f>
        <v>0</v>
      </c>
      <c r="F35" s="73">
        <f>'DOE25'!I36</f>
        <v>0</v>
      </c>
      <c r="G35" s="23" t="s">
        <v>288</v>
      </c>
      <c r="H35" s="13">
        <f t="shared" si="2"/>
        <v>8192</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89557.569999999992</v>
      </c>
      <c r="E39" s="23" t="s">
        <v>288</v>
      </c>
      <c r="F39" s="23" t="s">
        <v>288</v>
      </c>
      <c r="G39" s="23" t="s">
        <v>288</v>
      </c>
      <c r="H39" s="13">
        <f t="shared" si="2"/>
        <v>89557.569999999992</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3119122.45</v>
      </c>
      <c r="H42" s="13">
        <f t="shared" si="2"/>
        <v>3119122.45</v>
      </c>
      <c r="I42" s="90"/>
    </row>
    <row r="43" spans="1:9" x14ac:dyDescent="0.2">
      <c r="A43" s="1" t="s">
        <v>862</v>
      </c>
      <c r="B43" s="6">
        <v>755</v>
      </c>
      <c r="C43" s="73">
        <f>'DOE25'!F44</f>
        <v>150000</v>
      </c>
      <c r="D43" s="73">
        <f>'DOE25'!G44</f>
        <v>0</v>
      </c>
      <c r="E43" s="73">
        <f>'DOE25'!H44</f>
        <v>0</v>
      </c>
      <c r="F43" s="73">
        <f>'DOE25'!I44</f>
        <v>0</v>
      </c>
      <c r="G43" s="23" t="s">
        <v>288</v>
      </c>
      <c r="H43" s="13">
        <f t="shared" si="2"/>
        <v>150000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1002799</v>
      </c>
      <c r="D45" s="23" t="s">
        <v>288</v>
      </c>
      <c r="E45" s="23" t="s">
        <v>288</v>
      </c>
      <c r="F45" s="23" t="s">
        <v>288</v>
      </c>
      <c r="G45" s="23" t="s">
        <v>288</v>
      </c>
      <c r="H45" s="13">
        <f t="shared" si="2"/>
        <v>1002799</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0</v>
      </c>
      <c r="F47" s="73">
        <f>'DOE25'!I48</f>
        <v>0</v>
      </c>
      <c r="G47" s="73">
        <f>'DOE25'!J48</f>
        <v>0</v>
      </c>
      <c r="H47" s="13">
        <f t="shared" si="2"/>
        <v>0</v>
      </c>
      <c r="I47" s="90"/>
    </row>
    <row r="48" spans="1:9" x14ac:dyDescent="0.2">
      <c r="A48" s="1" t="s">
        <v>881</v>
      </c>
      <c r="B48" s="6">
        <v>753</v>
      </c>
      <c r="C48" s="73">
        <f>'DOE25'!F49</f>
        <v>11700</v>
      </c>
      <c r="D48" s="73">
        <f>'DOE25'!G49</f>
        <v>0</v>
      </c>
      <c r="E48" s="73">
        <f>'DOE25'!H49</f>
        <v>0</v>
      </c>
      <c r="F48" s="73">
        <f>'DOE25'!I49</f>
        <v>0</v>
      </c>
      <c r="G48" s="73">
        <f>'DOE25'!J49</f>
        <v>0</v>
      </c>
      <c r="H48" s="13">
        <f t="shared" si="2"/>
        <v>11700</v>
      </c>
      <c r="I48" s="90"/>
    </row>
    <row r="49" spans="1:9" ht="12" thickBot="1" x14ac:dyDescent="0.25">
      <c r="A49" s="28" t="s">
        <v>882</v>
      </c>
      <c r="B49" s="56">
        <v>770</v>
      </c>
      <c r="C49" s="73">
        <f>'DOE25'!F50</f>
        <v>648685.68999999994</v>
      </c>
      <c r="D49" s="23" t="s">
        <v>288</v>
      </c>
      <c r="E49" s="23" t="s">
        <v>288</v>
      </c>
      <c r="F49" s="23" t="s">
        <v>288</v>
      </c>
      <c r="G49" s="23" t="s">
        <v>288</v>
      </c>
      <c r="H49" s="13">
        <f t="shared" si="2"/>
        <v>648685.68999999994</v>
      </c>
      <c r="I49" s="90"/>
    </row>
    <row r="50" spans="1:9" ht="12.75" thickTop="1" thickBot="1" x14ac:dyDescent="0.25">
      <c r="A50" s="35" t="s">
        <v>883</v>
      </c>
      <c r="B50" s="44"/>
      <c r="C50" s="38">
        <f>SUM(C34:C49)</f>
        <v>1821376.69</v>
      </c>
      <c r="D50" s="38">
        <f>SUM(D34:D49)</f>
        <v>106434.75</v>
      </c>
      <c r="E50" s="38">
        <f>SUM(E34:E49)</f>
        <v>0</v>
      </c>
      <c r="F50" s="38">
        <f>SUM(F34:F49)</f>
        <v>0</v>
      </c>
      <c r="G50" s="38">
        <f>SUM(G34:G49)</f>
        <v>3119122.45</v>
      </c>
      <c r="H50" s="38">
        <f t="shared" si="2"/>
        <v>5046933.8900000006</v>
      </c>
      <c r="I50" s="90"/>
    </row>
    <row r="51" spans="1:9" ht="12" thickTop="1" x14ac:dyDescent="0.2">
      <c r="A51" s="35" t="s">
        <v>884</v>
      </c>
      <c r="B51" s="2"/>
      <c r="C51" s="38">
        <f>C50+C31</f>
        <v>2308520.65</v>
      </c>
      <c r="D51" s="38">
        <f>D50+D31</f>
        <v>286372.40000000002</v>
      </c>
      <c r="E51" s="38">
        <f>E50+E31</f>
        <v>322707.01</v>
      </c>
      <c r="F51" s="38">
        <f>F50+F31</f>
        <v>0</v>
      </c>
      <c r="G51" s="38">
        <f>G50+G31</f>
        <v>3201971.95</v>
      </c>
      <c r="H51" s="38">
        <f t="shared" si="2"/>
        <v>6119572.0099999998</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18425052</v>
      </c>
      <c r="D56" s="73">
        <f>'DOE25'!G60</f>
        <v>0</v>
      </c>
      <c r="E56" s="73">
        <f>'DOE25'!H60</f>
        <v>0</v>
      </c>
      <c r="F56" s="73">
        <f>'DOE25'!I60</f>
        <v>0</v>
      </c>
      <c r="G56" s="73">
        <f>'DOE25'!J60</f>
        <v>0</v>
      </c>
      <c r="H56" s="13">
        <f t="shared" ref="H56:H63" si="3">SUM(C56:G56)</f>
        <v>18425052</v>
      </c>
      <c r="I56"/>
    </row>
    <row r="57" spans="1:9" x14ac:dyDescent="0.2">
      <c r="A57" s="1" t="s">
        <v>164</v>
      </c>
      <c r="B57" s="6" t="s">
        <v>165</v>
      </c>
      <c r="C57" s="73">
        <f>'DOE25'!F79</f>
        <v>8757.57</v>
      </c>
      <c r="D57" s="23" t="s">
        <v>288</v>
      </c>
      <c r="E57" s="73">
        <f>'DOE25'!H79</f>
        <v>0</v>
      </c>
      <c r="F57" s="23" t="s">
        <v>288</v>
      </c>
      <c r="G57" s="23" t="s">
        <v>288</v>
      </c>
      <c r="H57" s="13">
        <f t="shared" si="3"/>
        <v>8757.57</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62956.22</v>
      </c>
      <c r="D59" s="73">
        <f>'DOE25'!G96</f>
        <v>0</v>
      </c>
      <c r="E59" s="73">
        <f>'DOE25'!H96</f>
        <v>0</v>
      </c>
      <c r="F59" s="73">
        <f>'DOE25'!I96</f>
        <v>0</v>
      </c>
      <c r="G59" s="73">
        <f>'DOE25'!J96</f>
        <v>139408.57</v>
      </c>
      <c r="H59" s="13">
        <f t="shared" si="3"/>
        <v>202364.79</v>
      </c>
      <c r="I59"/>
    </row>
    <row r="60" spans="1:9" x14ac:dyDescent="0.2">
      <c r="A60" s="1" t="s">
        <v>170</v>
      </c>
      <c r="B60" s="22" t="s">
        <v>171</v>
      </c>
      <c r="C60" s="23" t="s">
        <v>288</v>
      </c>
      <c r="D60" s="73">
        <f>'DOE25'!G97</f>
        <v>281525.34999999998</v>
      </c>
      <c r="E60" s="23" t="s">
        <v>288</v>
      </c>
      <c r="F60" s="23" t="s">
        <v>288</v>
      </c>
      <c r="G60" s="23" t="s">
        <v>288</v>
      </c>
      <c r="H60" s="13">
        <f t="shared" si="3"/>
        <v>281525.34999999998</v>
      </c>
      <c r="I60"/>
    </row>
    <row r="61" spans="1:9" ht="12" thickBot="1" x14ac:dyDescent="0.25">
      <c r="A61" s="1" t="s">
        <v>172</v>
      </c>
      <c r="B61" s="22" t="s">
        <v>173</v>
      </c>
      <c r="C61" s="73">
        <f>SUM('DOE25'!F98:F110)</f>
        <v>273836.99</v>
      </c>
      <c r="D61" s="73">
        <f>SUM('DOE25'!G98:G110)</f>
        <v>0</v>
      </c>
      <c r="E61" s="73">
        <f>SUM('DOE25'!H98:H110)</f>
        <v>0</v>
      </c>
      <c r="F61" s="73">
        <f>SUM('DOE25'!I98:I110)</f>
        <v>0</v>
      </c>
      <c r="G61" s="73">
        <f>SUM('DOE25'!J98:J110)</f>
        <v>0</v>
      </c>
      <c r="H61" s="13">
        <f t="shared" si="3"/>
        <v>273836.99</v>
      </c>
      <c r="I61"/>
    </row>
    <row r="62" spans="1:9" ht="12.75" thickTop="1" thickBot="1" x14ac:dyDescent="0.25">
      <c r="A62" s="28" t="s">
        <v>174</v>
      </c>
      <c r="B62" s="6"/>
      <c r="C62" s="93">
        <f>SUM(C57:C61)</f>
        <v>345550.78</v>
      </c>
      <c r="D62" s="93">
        <f>SUM(D57:D61)</f>
        <v>281525.34999999998</v>
      </c>
      <c r="E62" s="93">
        <f>SUM(E57:E61)</f>
        <v>0</v>
      </c>
      <c r="F62" s="93">
        <f>SUM(F57:F61)</f>
        <v>0</v>
      </c>
      <c r="G62" s="93">
        <f>SUM(G57:G61)</f>
        <v>139408.57</v>
      </c>
      <c r="H62" s="13">
        <f t="shared" si="3"/>
        <v>766484.7</v>
      </c>
      <c r="I62"/>
    </row>
    <row r="63" spans="1:9" ht="12" thickTop="1" x14ac:dyDescent="0.2">
      <c r="A63" s="28" t="s">
        <v>175</v>
      </c>
      <c r="B63" s="6"/>
      <c r="C63" s="21">
        <f>C56+C62</f>
        <v>18770602.780000001</v>
      </c>
      <c r="D63" s="21">
        <f>D56+D62</f>
        <v>281525.34999999998</v>
      </c>
      <c r="E63" s="21">
        <f>E56+E62</f>
        <v>0</v>
      </c>
      <c r="F63" s="21">
        <f>F56+F62</f>
        <v>0</v>
      </c>
      <c r="G63" s="21">
        <f>G56+G62</f>
        <v>139408.57</v>
      </c>
      <c r="H63" s="13">
        <f t="shared" si="3"/>
        <v>19191536.700000003</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5676769.21</v>
      </c>
      <c r="D66" s="23" t="s">
        <v>288</v>
      </c>
      <c r="E66" s="23" t="s">
        <v>288</v>
      </c>
      <c r="F66" s="23" t="s">
        <v>288</v>
      </c>
      <c r="G66" s="23" t="s">
        <v>288</v>
      </c>
      <c r="H66" s="13">
        <f t="shared" ref="H66:H81" si="4">SUM(C66:G66)</f>
        <v>5676769.21</v>
      </c>
      <c r="I66"/>
    </row>
    <row r="67" spans="1:9" x14ac:dyDescent="0.2">
      <c r="A67" s="1" t="s">
        <v>770</v>
      </c>
      <c r="B67" s="6">
        <v>3112</v>
      </c>
      <c r="C67" s="73">
        <f>'DOE25'!F118</f>
        <v>1630933</v>
      </c>
      <c r="D67" s="23"/>
      <c r="E67" s="23"/>
      <c r="F67" s="23"/>
      <c r="G67" s="23"/>
      <c r="H67" s="13">
        <f t="shared" si="4"/>
        <v>1630933</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164387.99</v>
      </c>
      <c r="D69" s="73">
        <f>'DOE25'!G120</f>
        <v>0</v>
      </c>
      <c r="E69" s="73">
        <f>'DOE25'!H120</f>
        <v>0</v>
      </c>
      <c r="F69" s="73">
        <f>'DOE25'!I120</f>
        <v>0</v>
      </c>
      <c r="G69" s="73">
        <f>'DOE25'!J120</f>
        <v>0</v>
      </c>
      <c r="H69" s="13">
        <f t="shared" si="4"/>
        <v>164387.99</v>
      </c>
      <c r="I69"/>
    </row>
    <row r="70" spans="1:9" ht="12" thickTop="1" x14ac:dyDescent="0.2">
      <c r="A70" s="28" t="s">
        <v>252</v>
      </c>
      <c r="B70" s="2"/>
      <c r="C70" s="97">
        <f>SUM(C66:C69)</f>
        <v>7472090.2000000002</v>
      </c>
      <c r="D70" s="97">
        <f>D69</f>
        <v>0</v>
      </c>
      <c r="E70" s="97">
        <f>E69</f>
        <v>0</v>
      </c>
      <c r="F70" s="97">
        <f>F69</f>
        <v>0</v>
      </c>
      <c r="G70" s="97">
        <f>G69</f>
        <v>0</v>
      </c>
      <c r="H70" s="13">
        <f t="shared" si="4"/>
        <v>7472090.2000000002</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763856.71</v>
      </c>
      <c r="D75" s="23" t="s">
        <v>288</v>
      </c>
      <c r="E75" s="23" t="s">
        <v>288</v>
      </c>
      <c r="F75" s="23" t="s">
        <v>288</v>
      </c>
      <c r="G75" s="23" t="s">
        <v>288</v>
      </c>
      <c r="H75" s="13">
        <f t="shared" si="4"/>
        <v>763856.71</v>
      </c>
      <c r="I75"/>
    </row>
    <row r="76" spans="1:9" x14ac:dyDescent="0.2">
      <c r="A76" s="1" t="s">
        <v>257</v>
      </c>
      <c r="B76" s="6" t="s">
        <v>179</v>
      </c>
      <c r="C76" s="73">
        <f>SUM('DOE25'!F127:F130)</f>
        <v>38592.29</v>
      </c>
      <c r="D76" s="23" t="s">
        <v>288</v>
      </c>
      <c r="E76" s="73">
        <f>SUM('DOE25'!H127:H130)</f>
        <v>4191.82</v>
      </c>
      <c r="F76" s="73">
        <f>SUM('DOE25'!I127:I130)</f>
        <v>0</v>
      </c>
      <c r="G76" s="23" t="s">
        <v>288</v>
      </c>
      <c r="H76" s="13">
        <f t="shared" si="4"/>
        <v>42784.11</v>
      </c>
      <c r="I76"/>
    </row>
    <row r="77" spans="1:9" ht="12" thickBot="1" x14ac:dyDescent="0.25">
      <c r="A77" s="1" t="s">
        <v>258</v>
      </c>
      <c r="B77" s="6" t="s">
        <v>180</v>
      </c>
      <c r="C77" s="73">
        <f>SUM('DOE25'!F131:F135)</f>
        <v>0</v>
      </c>
      <c r="D77" s="73">
        <f>SUM('DOE25'!G131:G135)</f>
        <v>9008.19</v>
      </c>
      <c r="E77" s="73">
        <f>SUM('DOE25'!H131:H135)</f>
        <v>238880</v>
      </c>
      <c r="F77" s="73">
        <f>SUM('DOE25'!I131:I135)</f>
        <v>0</v>
      </c>
      <c r="G77" s="73">
        <f>SUM('DOE25'!J131:J135)</f>
        <v>0</v>
      </c>
      <c r="H77" s="13">
        <f t="shared" si="4"/>
        <v>247888.19</v>
      </c>
      <c r="I77"/>
    </row>
    <row r="78" spans="1:9" ht="12.75" thickTop="1" thickBot="1" x14ac:dyDescent="0.25">
      <c r="A78" s="28" t="s">
        <v>259</v>
      </c>
      <c r="B78" s="6"/>
      <c r="C78" s="93">
        <f>SUM(C72:C77)</f>
        <v>802449</v>
      </c>
      <c r="D78" s="93">
        <f>SUM(D72:D77)</f>
        <v>9008.19</v>
      </c>
      <c r="E78" s="93">
        <f>SUM(E72:E77)</f>
        <v>243071.82</v>
      </c>
      <c r="F78" s="93">
        <f>SUM(F72:F77)</f>
        <v>0</v>
      </c>
      <c r="G78" s="93">
        <f>SUM(G72:G77)</f>
        <v>0</v>
      </c>
      <c r="H78" s="13">
        <f t="shared" si="4"/>
        <v>1054529.01</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8274539.2000000002</v>
      </c>
      <c r="D81" s="93">
        <f>SUM(D79:D80)+D78+D70</f>
        <v>9008.19</v>
      </c>
      <c r="E81" s="93">
        <f>SUM(E79:E80)+E78+E70</f>
        <v>243071.82</v>
      </c>
      <c r="F81" s="93">
        <f>SUM(F79:F80)+F78+F70</f>
        <v>0</v>
      </c>
      <c r="G81" s="93">
        <f>SUM(G79:G80)+G78+G70</f>
        <v>0</v>
      </c>
      <c r="H81" s="93">
        <f t="shared" si="4"/>
        <v>8526619.2100000009</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161681.12</v>
      </c>
      <c r="D88" s="253">
        <f>SUM('DOE25'!G153:G162)</f>
        <v>360153.48</v>
      </c>
      <c r="E88" s="253">
        <f>SUM('DOE25'!H153:H162)</f>
        <v>1558984.23</v>
      </c>
      <c r="F88" s="253">
        <f>SUM('DOE25'!I153:I162)</f>
        <v>0</v>
      </c>
      <c r="G88" s="23" t="s">
        <v>288</v>
      </c>
      <c r="H88" s="13">
        <f t="shared" si="5"/>
        <v>2080818.83</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161681.12</v>
      </c>
      <c r="D91" s="94">
        <f>SUM(D85:D90)</f>
        <v>360153.48</v>
      </c>
      <c r="E91" s="94">
        <f>SUM(E85:E90)</f>
        <v>1558984.23</v>
      </c>
      <c r="F91" s="94">
        <f>SUM(F85:F90)</f>
        <v>0</v>
      </c>
      <c r="G91" s="23" t="s">
        <v>288</v>
      </c>
      <c r="H91" s="13">
        <f t="shared" si="5"/>
        <v>2080818.83</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375000</v>
      </c>
      <c r="H96" s="13">
        <f t="shared" si="5"/>
        <v>375000</v>
      </c>
    </row>
    <row r="97" spans="1:8" x14ac:dyDescent="0.2">
      <c r="A97" t="s">
        <v>754</v>
      </c>
      <c r="B97" s="31" t="s">
        <v>188</v>
      </c>
      <c r="C97" s="73">
        <f>SUM('DOE25'!F181:F182)</f>
        <v>30468.39</v>
      </c>
      <c r="D97" s="73">
        <f>SUM('DOE25'!G181:G182)</f>
        <v>0</v>
      </c>
      <c r="E97" s="73">
        <f>SUM('DOE25'!H181:H182)</f>
        <v>0</v>
      </c>
      <c r="F97" s="73">
        <f>SUM('DOE25'!I181:I182)</f>
        <v>0</v>
      </c>
      <c r="G97" s="73">
        <f>SUM('DOE25'!J181:J182)</f>
        <v>0</v>
      </c>
      <c r="H97" s="13">
        <f t="shared" si="5"/>
        <v>30468.39</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30468.39</v>
      </c>
      <c r="D103" s="68">
        <f>SUM(D93:D102)</f>
        <v>0</v>
      </c>
      <c r="E103" s="68">
        <f>SUM(E93:E102)</f>
        <v>0</v>
      </c>
      <c r="F103" s="68">
        <f>SUM(F93:F102)</f>
        <v>0</v>
      </c>
      <c r="G103" s="68">
        <f>SUM(G93:G102)</f>
        <v>375000</v>
      </c>
      <c r="H103" s="68">
        <f t="shared" si="5"/>
        <v>405468.39</v>
      </c>
    </row>
    <row r="104" spans="1:8" ht="12.75" thickTop="1" thickBot="1" x14ac:dyDescent="0.25">
      <c r="A104" s="32" t="s">
        <v>761</v>
      </c>
      <c r="C104" s="68">
        <f>C63+C81+C91+C103</f>
        <v>27237291.490000002</v>
      </c>
      <c r="D104" s="68">
        <f>D63+D81+D91+D103</f>
        <v>650687.02</v>
      </c>
      <c r="E104" s="68">
        <f>E63+E81+E91+E103</f>
        <v>1802056.05</v>
      </c>
      <c r="F104" s="68">
        <f>F63+F81+F91+F103</f>
        <v>0</v>
      </c>
      <c r="G104" s="68">
        <f>G63+G81+G103</f>
        <v>514408.57</v>
      </c>
      <c r="H104" s="68">
        <f t="shared" si="5"/>
        <v>30204443.130000003</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8191237.4900000002</v>
      </c>
      <c r="D109" s="23" t="s">
        <v>288</v>
      </c>
      <c r="E109" s="73">
        <f>('DOE25'!L277)+('DOE25'!L296)+('DOE25'!L315)</f>
        <v>548152.29999999993</v>
      </c>
      <c r="F109" s="23" t="s">
        <v>288</v>
      </c>
      <c r="G109" s="23" t="s">
        <v>288</v>
      </c>
      <c r="H109" s="13">
        <f t="shared" ref="H109:H115" si="6">SUM(C109:G109)</f>
        <v>8739389.790000001</v>
      </c>
    </row>
    <row r="110" spans="1:8" x14ac:dyDescent="0.2">
      <c r="A110" t="s">
        <v>198</v>
      </c>
      <c r="B110" s="31" t="s">
        <v>199</v>
      </c>
      <c r="C110" s="73">
        <f>('DOE25'!L199)+('DOE25'!L217)+('DOE25'!L235)</f>
        <v>5891637.0199999996</v>
      </c>
      <c r="D110" s="23" t="s">
        <v>288</v>
      </c>
      <c r="E110" s="73">
        <f>('DOE25'!L278)+('DOE25'!L297)+('DOE25'!L316)</f>
        <v>242309.25</v>
      </c>
      <c r="F110" s="23" t="s">
        <v>288</v>
      </c>
      <c r="G110" s="23" t="s">
        <v>288</v>
      </c>
      <c r="H110" s="13">
        <f t="shared" si="6"/>
        <v>6133946.2699999996</v>
      </c>
    </row>
    <row r="111" spans="1:8" x14ac:dyDescent="0.2">
      <c r="A111" t="s">
        <v>200</v>
      </c>
      <c r="B111" s="31" t="s">
        <v>165</v>
      </c>
      <c r="C111" s="73">
        <f>('DOE25'!L200)+('DOE25'!L218)+('DOE25'!L236)</f>
        <v>488317.41000000003</v>
      </c>
      <c r="D111" s="23" t="s">
        <v>288</v>
      </c>
      <c r="E111" s="73">
        <f>('DOE25'!L279)+('DOE25'!L298)+('DOE25'!L317)</f>
        <v>0</v>
      </c>
      <c r="F111" s="23" t="s">
        <v>288</v>
      </c>
      <c r="G111" s="23" t="s">
        <v>288</v>
      </c>
      <c r="H111" s="13">
        <f t="shared" si="6"/>
        <v>488317.41000000003</v>
      </c>
    </row>
    <row r="112" spans="1:8" x14ac:dyDescent="0.2">
      <c r="A112" t="s">
        <v>201</v>
      </c>
      <c r="B112" s="31" t="s">
        <v>167</v>
      </c>
      <c r="C112" s="73">
        <f>('DOE25'!L201)+('DOE25'!L219)+('DOE25'!L237)</f>
        <v>495617.30999999994</v>
      </c>
      <c r="D112" s="23" t="s">
        <v>288</v>
      </c>
      <c r="E112" s="73">
        <f>+('DOE25'!L280)+('DOE25'!L299)+('DOE25'!L318)</f>
        <v>5985.3099999999995</v>
      </c>
      <c r="F112" s="23" t="s">
        <v>288</v>
      </c>
      <c r="G112" s="23" t="s">
        <v>288</v>
      </c>
      <c r="H112" s="13">
        <f t="shared" si="6"/>
        <v>501602.61999999994</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3144.93</v>
      </c>
      <c r="D114" s="23" t="s">
        <v>288</v>
      </c>
      <c r="E114" s="73">
        <f>+ SUM('DOE25'!L334:L336)</f>
        <v>0</v>
      </c>
      <c r="F114" s="23" t="s">
        <v>288</v>
      </c>
      <c r="G114" s="23" t="s">
        <v>288</v>
      </c>
      <c r="H114" s="13">
        <f t="shared" si="6"/>
        <v>3144.93</v>
      </c>
    </row>
    <row r="115" spans="1:8" ht="12.75" thickTop="1" thickBot="1" x14ac:dyDescent="0.25">
      <c r="A115" s="32" t="s">
        <v>205</v>
      </c>
      <c r="C115" s="68">
        <f>SUM(C109:C114)</f>
        <v>15069954.16</v>
      </c>
      <c r="D115" s="68">
        <f>SUM(D109:D114)</f>
        <v>0</v>
      </c>
      <c r="E115" s="68">
        <f>SUM(E109:E114)</f>
        <v>796446.86</v>
      </c>
      <c r="F115" s="68">
        <f>SUM(F109:F114)</f>
        <v>0</v>
      </c>
      <c r="G115" s="68">
        <f>SUM(G109:G114)</f>
        <v>0</v>
      </c>
      <c r="H115" s="68">
        <f t="shared" si="6"/>
        <v>15866401.02</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2196103.59</v>
      </c>
      <c r="D118" s="23" t="s">
        <v>288</v>
      </c>
      <c r="E118" s="73">
        <f>+('DOE25'!L282)+('DOE25'!L301)+('DOE25'!L320)</f>
        <v>40963.019999999997</v>
      </c>
      <c r="F118" s="23" t="s">
        <v>288</v>
      </c>
      <c r="G118" s="23" t="s">
        <v>288</v>
      </c>
      <c r="H118" s="13">
        <f t="shared" ref="H118:H145" si="7">SUM(C118:G118)</f>
        <v>2237066.61</v>
      </c>
    </row>
    <row r="119" spans="1:8" x14ac:dyDescent="0.2">
      <c r="A119" t="s">
        <v>208</v>
      </c>
      <c r="B119" s="31" t="s">
        <v>209</v>
      </c>
      <c r="C119" s="73">
        <f>('DOE25'!L204)+('DOE25'!L222)+('DOE25'!L240)</f>
        <v>531294.12</v>
      </c>
      <c r="D119" s="23" t="s">
        <v>288</v>
      </c>
      <c r="E119" s="73">
        <f>+('DOE25'!L283)+('DOE25'!L302)+('DOE25'!L321)</f>
        <v>117946.93000000001</v>
      </c>
      <c r="F119" s="23" t="s">
        <v>288</v>
      </c>
      <c r="G119" s="23" t="s">
        <v>288</v>
      </c>
      <c r="H119" s="13">
        <f t="shared" si="7"/>
        <v>649241.05000000005</v>
      </c>
    </row>
    <row r="120" spans="1:8" x14ac:dyDescent="0.2">
      <c r="A120" t="s">
        <v>210</v>
      </c>
      <c r="B120" s="31" t="s">
        <v>211</v>
      </c>
      <c r="C120" s="73">
        <f>('DOE25'!L205)+('DOE25'!L223)+('DOE25'!L241)</f>
        <v>578761.77</v>
      </c>
      <c r="D120" s="23" t="s">
        <v>288</v>
      </c>
      <c r="E120" s="73">
        <f>+('DOE25'!L284)+('DOE25'!L303)+('DOE25'!L322)</f>
        <v>0</v>
      </c>
      <c r="F120" s="23" t="s">
        <v>288</v>
      </c>
      <c r="G120" s="23" t="s">
        <v>288</v>
      </c>
      <c r="H120" s="13">
        <f t="shared" si="7"/>
        <v>578761.77</v>
      </c>
    </row>
    <row r="121" spans="1:8" x14ac:dyDescent="0.2">
      <c r="A121" t="s">
        <v>212</v>
      </c>
      <c r="B121" s="31" t="s">
        <v>213</v>
      </c>
      <c r="C121" s="73">
        <f>('DOE25'!L206)+('DOE25'!L224)+('DOE25'!L242)</f>
        <v>1481657.89</v>
      </c>
      <c r="D121" s="23" t="s">
        <v>288</v>
      </c>
      <c r="E121" s="73">
        <f>+('DOE25'!L285)+('DOE25'!L304)+('DOE25'!L323)</f>
        <v>0</v>
      </c>
      <c r="F121" s="23" t="s">
        <v>288</v>
      </c>
      <c r="G121" s="23" t="s">
        <v>288</v>
      </c>
      <c r="H121" s="13">
        <f t="shared" si="7"/>
        <v>1481657.89</v>
      </c>
    </row>
    <row r="122" spans="1:8" x14ac:dyDescent="0.2">
      <c r="A122" t="s">
        <v>214</v>
      </c>
      <c r="B122" s="31" t="s">
        <v>215</v>
      </c>
      <c r="C122" s="73">
        <f>('DOE25'!L207)+('DOE25'!L225)+('DOE25'!L243)</f>
        <v>716197.73</v>
      </c>
      <c r="D122" s="23" t="s">
        <v>288</v>
      </c>
      <c r="E122" s="73">
        <f>+('DOE25'!L286)+('DOE25'!L305)+('DOE25'!L324)</f>
        <v>0</v>
      </c>
      <c r="F122" s="23" t="s">
        <v>288</v>
      </c>
      <c r="G122" s="23" t="s">
        <v>288</v>
      </c>
      <c r="H122" s="13">
        <f t="shared" si="7"/>
        <v>716197.73</v>
      </c>
    </row>
    <row r="123" spans="1:8" x14ac:dyDescent="0.2">
      <c r="A123" t="s">
        <v>216</v>
      </c>
      <c r="B123" s="31" t="s">
        <v>217</v>
      </c>
      <c r="C123" s="73">
        <f>('DOE25'!L208)+('DOE25'!L226)+('DOE25'!L244)</f>
        <v>2615760.5</v>
      </c>
      <c r="D123" s="23" t="s">
        <v>288</v>
      </c>
      <c r="E123" s="73">
        <f>+('DOE25'!L287)+('DOE25'!L306)+('DOE25'!L325)</f>
        <v>246130</v>
      </c>
      <c r="F123" s="23" t="s">
        <v>288</v>
      </c>
      <c r="G123" s="23" t="s">
        <v>288</v>
      </c>
      <c r="H123" s="13">
        <f t="shared" si="7"/>
        <v>2861890.5</v>
      </c>
    </row>
    <row r="124" spans="1:8" x14ac:dyDescent="0.2">
      <c r="A124" t="s">
        <v>218</v>
      </c>
      <c r="B124" s="31" t="s">
        <v>219</v>
      </c>
      <c r="C124" s="73">
        <f>('DOE25'!L209)+('DOE25'!L227)+('DOE25'!L245+'DOE25'!L255)</f>
        <v>1519215.11</v>
      </c>
      <c r="D124" s="23" t="s">
        <v>288</v>
      </c>
      <c r="E124" s="73">
        <f>+('DOE25'!L288)+('DOE25'!L307)+('DOE25'!L326)</f>
        <v>0</v>
      </c>
      <c r="F124" s="23" t="s">
        <v>288</v>
      </c>
      <c r="G124" s="23" t="s">
        <v>288</v>
      </c>
      <c r="H124" s="13">
        <f t="shared" si="7"/>
        <v>1519215.11</v>
      </c>
    </row>
    <row r="125" spans="1:8" x14ac:dyDescent="0.2">
      <c r="A125" t="s">
        <v>220</v>
      </c>
      <c r="B125" s="31" t="s">
        <v>221</v>
      </c>
      <c r="C125" s="73">
        <f>('DOE25'!L210)+('DOE25'!L228)+('DOE25'!L246)</f>
        <v>791386.13</v>
      </c>
      <c r="D125" s="23" t="s">
        <v>288</v>
      </c>
      <c r="E125" s="73">
        <f>+('DOE25'!L289)+('DOE25'!L308)+('DOE25'!L327)</f>
        <v>0</v>
      </c>
      <c r="F125" s="23" t="s">
        <v>288</v>
      </c>
      <c r="G125" s="23" t="s">
        <v>288</v>
      </c>
      <c r="H125" s="13">
        <f t="shared" si="7"/>
        <v>791386.13</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761037.73</v>
      </c>
      <c r="E127" s="23" t="s">
        <v>288</v>
      </c>
      <c r="F127" s="23" t="s">
        <v>288</v>
      </c>
      <c r="G127" s="23" t="s">
        <v>288</v>
      </c>
      <c r="H127" s="13">
        <f t="shared" si="7"/>
        <v>761037.73</v>
      </c>
    </row>
    <row r="128" spans="1:8" ht="12.75" thickTop="1" thickBot="1" x14ac:dyDescent="0.25">
      <c r="A128" s="32" t="s">
        <v>226</v>
      </c>
      <c r="C128" s="68">
        <f>SUM(C118:C127)</f>
        <v>10430376.84</v>
      </c>
      <c r="D128" s="68">
        <f>SUM(D118:D127)</f>
        <v>761037.73</v>
      </c>
      <c r="E128" s="68">
        <f>SUM(E118:E127)</f>
        <v>405039.95</v>
      </c>
      <c r="F128" s="68">
        <f>SUM(F118:F127)</f>
        <v>0</v>
      </c>
      <c r="G128" s="68">
        <f>SUM(G118:G127)</f>
        <v>0</v>
      </c>
      <c r="H128" s="68">
        <f t="shared" si="7"/>
        <v>11596454.52</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402229.1</v>
      </c>
      <c r="D130" s="23" t="s">
        <v>288</v>
      </c>
      <c r="E130" s="92">
        <f>'DOE25'!L337</f>
        <v>570100.85</v>
      </c>
      <c r="F130" s="92">
        <f>SUM('DOE25'!L375:'DOE25'!L381)</f>
        <v>0</v>
      </c>
      <c r="G130" s="23" t="s">
        <v>288</v>
      </c>
      <c r="H130" s="13">
        <f t="shared" si="7"/>
        <v>972329.95</v>
      </c>
    </row>
    <row r="131" spans="1:8" x14ac:dyDescent="0.2">
      <c r="A131" t="s">
        <v>229</v>
      </c>
      <c r="B131" s="31">
        <v>5110</v>
      </c>
      <c r="C131" s="73">
        <f>'DOE25'!L261</f>
        <v>145000</v>
      </c>
      <c r="D131" s="23" t="s">
        <v>288</v>
      </c>
      <c r="E131" s="92">
        <f>'DOE25'!L342</f>
        <v>0</v>
      </c>
      <c r="F131" s="23" t="s">
        <v>288</v>
      </c>
      <c r="G131" s="23" t="s">
        <v>288</v>
      </c>
      <c r="H131" s="13">
        <f t="shared" si="7"/>
        <v>145000</v>
      </c>
    </row>
    <row r="132" spans="1:8" x14ac:dyDescent="0.2">
      <c r="A132" t="s">
        <v>230</v>
      </c>
      <c r="B132" s="31">
        <v>5120</v>
      </c>
      <c r="C132" s="73">
        <f>'DOE25'!L262</f>
        <v>40672.5</v>
      </c>
      <c r="D132" s="23" t="s">
        <v>288</v>
      </c>
      <c r="E132" s="92">
        <f>'DOE25'!L343</f>
        <v>0</v>
      </c>
      <c r="F132" s="23" t="s">
        <v>288</v>
      </c>
      <c r="G132" s="23" t="s">
        <v>288</v>
      </c>
      <c r="H132" s="13">
        <f t="shared" si="7"/>
        <v>40672.5</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30468.39</v>
      </c>
      <c r="F134" s="73">
        <f>'DOE25'!K382</f>
        <v>0</v>
      </c>
      <c r="G134" s="73">
        <f>'DOE25'!K435</f>
        <v>0</v>
      </c>
      <c r="H134" s="13">
        <f t="shared" si="7"/>
        <v>30468.39</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304248.98</v>
      </c>
      <c r="D138" s="23" t="s">
        <v>288</v>
      </c>
      <c r="E138" s="23" t="s">
        <v>288</v>
      </c>
      <c r="F138" s="23" t="s">
        <v>288</v>
      </c>
      <c r="G138" s="23" t="s">
        <v>288</v>
      </c>
      <c r="H138" s="13">
        <f t="shared" si="7"/>
        <v>304248.98</v>
      </c>
    </row>
    <row r="139" spans="1:8" x14ac:dyDescent="0.2">
      <c r="A139" t="s">
        <v>239</v>
      </c>
      <c r="B139" s="31">
        <v>5252</v>
      </c>
      <c r="C139" s="73">
        <f>'DOE25'!L402</f>
        <v>144360.81</v>
      </c>
      <c r="D139" s="23" t="s">
        <v>288</v>
      </c>
      <c r="E139" s="23" t="s">
        <v>288</v>
      </c>
      <c r="F139" s="23" t="s">
        <v>288</v>
      </c>
      <c r="G139" s="23" t="s">
        <v>288</v>
      </c>
      <c r="H139" s="13">
        <f t="shared" si="7"/>
        <v>144360.81</v>
      </c>
    </row>
    <row r="140" spans="1:8" x14ac:dyDescent="0.2">
      <c r="A140" t="s">
        <v>240</v>
      </c>
      <c r="B140" s="31">
        <v>5253</v>
      </c>
      <c r="C140" s="73">
        <f>'DOE25'!L408</f>
        <v>65798.78</v>
      </c>
      <c r="D140" s="23" t="s">
        <v>288</v>
      </c>
      <c r="E140" s="23" t="s">
        <v>288</v>
      </c>
      <c r="F140" s="23" t="s">
        <v>288</v>
      </c>
      <c r="G140" s="23" t="s">
        <v>288</v>
      </c>
      <c r="H140" s="13">
        <f t="shared" si="7"/>
        <v>65798.78</v>
      </c>
    </row>
    <row r="141" spans="1:8" x14ac:dyDescent="0.2">
      <c r="A141" t="s">
        <v>762</v>
      </c>
      <c r="B141" s="31">
        <v>5254</v>
      </c>
      <c r="C141" s="73">
        <f>('DOE25'!L267+'DOE25'!K348) - (C138+C139+C140)</f>
        <v>-139408.56999999995</v>
      </c>
      <c r="D141" s="23" t="s">
        <v>288</v>
      </c>
      <c r="E141" s="23" t="s">
        <v>288</v>
      </c>
      <c r="F141" s="23" t="s">
        <v>288</v>
      </c>
      <c r="G141" s="23" t="s">
        <v>288</v>
      </c>
      <c r="H141" s="13">
        <f t="shared" si="7"/>
        <v>-139408.56999999995</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962901.6</v>
      </c>
      <c r="D144" s="98">
        <f>SUM(D130:D143)</f>
        <v>0</v>
      </c>
      <c r="E144" s="98">
        <f>SUM(E130:E143)</f>
        <v>600569.24</v>
      </c>
      <c r="F144" s="98">
        <f>SUM(F130:F143)</f>
        <v>0</v>
      </c>
      <c r="G144" s="98">
        <f>SUM(G130:G143)</f>
        <v>0</v>
      </c>
      <c r="H144" s="98">
        <f t="shared" si="7"/>
        <v>1563470.8399999999</v>
      </c>
    </row>
    <row r="145" spans="1:9" ht="12.75" thickTop="1" thickBot="1" x14ac:dyDescent="0.25">
      <c r="A145" s="32" t="s">
        <v>244</v>
      </c>
      <c r="C145" s="68">
        <f>(C115+C128+C144)</f>
        <v>26463232.600000001</v>
      </c>
      <c r="D145" s="68">
        <f>(D115+D128+D144)</f>
        <v>761037.73</v>
      </c>
      <c r="E145" s="68">
        <f>(E115+E128+E144)</f>
        <v>1802056.05</v>
      </c>
      <c r="F145" s="68">
        <f>(F115+F128+F144)</f>
        <v>0</v>
      </c>
      <c r="G145" s="68">
        <f>(G115+G128+G144)</f>
        <v>0</v>
      </c>
      <c r="H145" s="68">
        <f t="shared" si="7"/>
        <v>29026326.380000003</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10</v>
      </c>
      <c r="C151" s="110">
        <f>'DOE25'!G491</f>
        <v>0</v>
      </c>
      <c r="D151" s="110">
        <f>'DOE25'!H491</f>
        <v>0</v>
      </c>
      <c r="E151" s="110">
        <f>'DOE25'!I491</f>
        <v>0</v>
      </c>
      <c r="F151" s="110">
        <f>'DOE25'!J491</f>
        <v>0</v>
      </c>
      <c r="G151" s="23" t="s">
        <v>288</v>
      </c>
    </row>
    <row r="152" spans="1:9" x14ac:dyDescent="0.2">
      <c r="A152" s="21" t="s">
        <v>28</v>
      </c>
      <c r="B152" s="109" t="str">
        <f>'DOE25'!F492</f>
        <v>07/17</v>
      </c>
      <c r="C152" s="109">
        <f>'DOE25'!G492</f>
        <v>0</v>
      </c>
      <c r="D152" s="109">
        <f>'DOE25'!H492</f>
        <v>0</v>
      </c>
      <c r="E152" s="109">
        <f>'DOE25'!I492</f>
        <v>0</v>
      </c>
      <c r="F152" s="109">
        <f>'DOE25'!J492</f>
        <v>0</v>
      </c>
      <c r="G152" s="23" t="s">
        <v>288</v>
      </c>
    </row>
    <row r="153" spans="1:9" x14ac:dyDescent="0.2">
      <c r="A153" s="21" t="s">
        <v>29</v>
      </c>
      <c r="B153" s="109" t="str">
        <f>'DOE25'!F493</f>
        <v>08/27</v>
      </c>
      <c r="C153" s="109">
        <f>'DOE25'!G493</f>
        <v>0</v>
      </c>
      <c r="D153" s="109">
        <f>'DOE25'!H493</f>
        <v>0</v>
      </c>
      <c r="E153" s="109">
        <f>'DOE25'!I493</f>
        <v>0</v>
      </c>
      <c r="F153" s="109">
        <f>'DOE25'!J493</f>
        <v>0</v>
      </c>
      <c r="G153" s="23" t="s">
        <v>288</v>
      </c>
    </row>
    <row r="154" spans="1:9" x14ac:dyDescent="0.2">
      <c r="A154" s="21" t="s">
        <v>30</v>
      </c>
      <c r="B154" s="19">
        <f>'DOE25'!F494</f>
        <v>1446400</v>
      </c>
      <c r="C154" s="19">
        <f>'DOE25'!G494</f>
        <v>0</v>
      </c>
      <c r="D154" s="19">
        <f>'DOE25'!H494</f>
        <v>0</v>
      </c>
      <c r="E154" s="19">
        <f>'DOE25'!I494</f>
        <v>0</v>
      </c>
      <c r="F154" s="19">
        <f>'DOE25'!J494</f>
        <v>0</v>
      </c>
      <c r="G154" s="23" t="s">
        <v>288</v>
      </c>
    </row>
    <row r="155" spans="1:9" x14ac:dyDescent="0.2">
      <c r="A155" s="21" t="s">
        <v>31</v>
      </c>
      <c r="B155" s="19">
        <f>'DOE25'!F495</f>
        <v>5.0999999999999996</v>
      </c>
      <c r="C155" s="19">
        <f>'DOE25'!G495</f>
        <v>0</v>
      </c>
      <c r="D155" s="19">
        <f>'DOE25'!H495</f>
        <v>0</v>
      </c>
      <c r="E155" s="19">
        <f>'DOE25'!I495</f>
        <v>0</v>
      </c>
      <c r="F155" s="19">
        <f>'DOE25'!J495</f>
        <v>0</v>
      </c>
      <c r="G155" s="23" t="s">
        <v>288</v>
      </c>
    </row>
    <row r="156" spans="1:9" x14ac:dyDescent="0.2">
      <c r="A156" s="21" t="s">
        <v>32</v>
      </c>
      <c r="B156" s="19">
        <f>'DOE25'!F496</f>
        <v>870000</v>
      </c>
      <c r="C156" s="19">
        <f>'DOE25'!G496</f>
        <v>0</v>
      </c>
      <c r="D156" s="19">
        <f>'DOE25'!H496</f>
        <v>0</v>
      </c>
      <c r="E156" s="19">
        <f>'DOE25'!I496</f>
        <v>0</v>
      </c>
      <c r="F156" s="19">
        <f>'DOE25'!J496</f>
        <v>0</v>
      </c>
      <c r="G156" s="96">
        <f>SUM(B156:F156)</f>
        <v>870000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145000</v>
      </c>
      <c r="C158" s="19">
        <f>'DOE25'!G498</f>
        <v>0</v>
      </c>
      <c r="D158" s="19">
        <f>'DOE25'!H498</f>
        <v>0</v>
      </c>
      <c r="E158" s="19">
        <f>'DOE25'!I498</f>
        <v>0</v>
      </c>
      <c r="F158" s="19">
        <f>'DOE25'!J498</f>
        <v>0</v>
      </c>
      <c r="G158" s="96">
        <f t="shared" si="8"/>
        <v>145000</v>
      </c>
    </row>
    <row r="159" spans="1:9" x14ac:dyDescent="0.2">
      <c r="A159" s="21" t="s">
        <v>35</v>
      </c>
      <c r="B159" s="19">
        <f>'DOE25'!F499</f>
        <v>725000</v>
      </c>
      <c r="C159" s="19">
        <f>'DOE25'!G499</f>
        <v>0</v>
      </c>
      <c r="D159" s="19">
        <f>'DOE25'!H499</f>
        <v>0</v>
      </c>
      <c r="E159" s="19">
        <f>'DOE25'!I499</f>
        <v>0</v>
      </c>
      <c r="F159" s="19">
        <f>'DOE25'!J499</f>
        <v>0</v>
      </c>
      <c r="G159" s="96">
        <f t="shared" si="8"/>
        <v>725000</v>
      </c>
    </row>
    <row r="160" spans="1:9" x14ac:dyDescent="0.2">
      <c r="A160" s="21" t="s">
        <v>36</v>
      </c>
      <c r="B160" s="19">
        <f>'DOE25'!F500</f>
        <v>92437.5</v>
      </c>
      <c r="C160" s="19">
        <f>'DOE25'!G500</f>
        <v>0</v>
      </c>
      <c r="D160" s="19">
        <f>'DOE25'!H500</f>
        <v>0</v>
      </c>
      <c r="E160" s="19">
        <f>'DOE25'!I500</f>
        <v>0</v>
      </c>
      <c r="F160" s="19">
        <f>'DOE25'!J500</f>
        <v>0</v>
      </c>
      <c r="G160" s="96">
        <f t="shared" si="8"/>
        <v>92437.5</v>
      </c>
    </row>
    <row r="161" spans="1:7" x14ac:dyDescent="0.2">
      <c r="A161" s="21" t="s">
        <v>37</v>
      </c>
      <c r="B161" s="19">
        <f>'DOE25'!F501</f>
        <v>817437.5</v>
      </c>
      <c r="C161" s="19">
        <f>'DOE25'!G501</f>
        <v>0</v>
      </c>
      <c r="D161" s="19">
        <f>'DOE25'!H501</f>
        <v>0</v>
      </c>
      <c r="E161" s="19">
        <f>'DOE25'!I501</f>
        <v>0</v>
      </c>
      <c r="F161" s="19">
        <f>'DOE25'!J501</f>
        <v>0</v>
      </c>
      <c r="G161" s="96">
        <f t="shared" si="8"/>
        <v>817437.5</v>
      </c>
    </row>
    <row r="162" spans="1:7" x14ac:dyDescent="0.2">
      <c r="A162" s="21" t="s">
        <v>38</v>
      </c>
      <c r="B162" s="19">
        <f>'DOE25'!F502</f>
        <v>145000</v>
      </c>
      <c r="C162" s="19">
        <f>'DOE25'!G502</f>
        <v>0</v>
      </c>
      <c r="D162" s="19">
        <f>'DOE25'!H502</f>
        <v>0</v>
      </c>
      <c r="E162" s="19">
        <f>'DOE25'!I502</f>
        <v>0</v>
      </c>
      <c r="F162" s="19">
        <f>'DOE25'!J502</f>
        <v>0</v>
      </c>
      <c r="G162" s="96">
        <f t="shared" si="8"/>
        <v>145000</v>
      </c>
    </row>
    <row r="163" spans="1:7" x14ac:dyDescent="0.2">
      <c r="A163" s="21" t="s">
        <v>39</v>
      </c>
      <c r="B163" s="19">
        <f>'DOE25'!F503</f>
        <v>33277.5</v>
      </c>
      <c r="C163" s="19">
        <f>'DOE25'!G503</f>
        <v>0</v>
      </c>
      <c r="D163" s="19">
        <f>'DOE25'!H503</f>
        <v>0</v>
      </c>
      <c r="E163" s="19">
        <f>'DOE25'!I503</f>
        <v>0</v>
      </c>
      <c r="F163" s="19">
        <f>'DOE25'!J503</f>
        <v>0</v>
      </c>
      <c r="G163" s="96">
        <f t="shared" si="8"/>
        <v>33277.5</v>
      </c>
    </row>
    <row r="164" spans="1:7" x14ac:dyDescent="0.2">
      <c r="A164" s="21" t="s">
        <v>246</v>
      </c>
      <c r="B164" s="19">
        <f>'DOE25'!F504</f>
        <v>178277.5</v>
      </c>
      <c r="C164" s="19">
        <f>'DOE25'!G504</f>
        <v>0</v>
      </c>
      <c r="D164" s="19">
        <f>'DOE25'!H504</f>
        <v>0</v>
      </c>
      <c r="E164" s="19">
        <f>'DOE25'!I504</f>
        <v>0</v>
      </c>
      <c r="F164" s="19">
        <f>'DOE25'!J504</f>
        <v>0</v>
      </c>
      <c r="G164" s="96">
        <f t="shared" si="8"/>
        <v>178277.5</v>
      </c>
    </row>
  </sheetData>
  <sheetProtection algorithmName="SHA-512" hashValue="BNx2RprN7UT3PioVLgVU5/PDHA3q4EdHPEuUXDD9EUzH3Q952hyKQNVizefqrMjX26uvjfa5DPCpK/om+FRhHw==" saltValue="JK8WsK4SE3oeGML8e1NmVA==" spinCount="100000" sheet="1" objects="1" scenarios="1"/>
  <phoneticPr fontId="0" type="noConversion"/>
  <printOptions horizontalCentered="1" gridLines="1" gridLinesSet="0"/>
  <pageMargins left="0.5" right="0.5" top="0.5" bottom="0.5" header="0.25" footer="0.25"/>
  <pageSetup scale="88" fitToHeight="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sqref="A1:H164"/>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Jaffrey-Rindge Cooperative</v>
      </c>
    </row>
    <row r="3" spans="1:4" x14ac:dyDescent="0.2">
      <c r="B3" s="137" t="s">
        <v>1799</v>
      </c>
    </row>
    <row r="4" spans="1:4" x14ac:dyDescent="0.2">
      <c r="B4" t="s">
        <v>61</v>
      </c>
      <c r="C4" s="129">
        <f>IF('DOE25'!F666+'DOE25'!F671=0,0,ROUND('DOE25'!F673,0))</f>
        <v>20761</v>
      </c>
    </row>
    <row r="5" spans="1:4" x14ac:dyDescent="0.2">
      <c r="B5" t="s">
        <v>700</v>
      </c>
      <c r="C5" s="129">
        <f>IF('DOE25'!G666+'DOE25'!G671=0,0,ROUND('DOE25'!G673,0))</f>
        <v>18318</v>
      </c>
    </row>
    <row r="6" spans="1:4" x14ac:dyDescent="0.2">
      <c r="B6" t="s">
        <v>62</v>
      </c>
      <c r="C6" s="129">
        <f>IF('DOE25'!H666+'DOE25'!H671=0,0,ROUND('DOE25'!H673,0))</f>
        <v>17111</v>
      </c>
    </row>
    <row r="7" spans="1:4" x14ac:dyDescent="0.2">
      <c r="B7" t="s">
        <v>701</v>
      </c>
      <c r="C7" s="129">
        <f>IF('DOE25'!I666+'DOE25'!I671=0,0,ROUND('DOE25'!I673,0))</f>
        <v>19175</v>
      </c>
    </row>
    <row r="9" spans="1:4" x14ac:dyDescent="0.2">
      <c r="A9" s="136" t="s">
        <v>94</v>
      </c>
      <c r="B9" s="137" t="s">
        <v>1800</v>
      </c>
      <c r="C9" s="131" t="s">
        <v>720</v>
      </c>
      <c r="D9" s="131" t="s">
        <v>721</v>
      </c>
    </row>
    <row r="10" spans="1:4" x14ac:dyDescent="0.2">
      <c r="A10">
        <v>1100</v>
      </c>
      <c r="B10" t="s">
        <v>702</v>
      </c>
      <c r="C10" s="129">
        <f>ROUND('DOE25'!L198+'DOE25'!L216+'DOE25'!L234+'DOE25'!L277+'DOE25'!L296+'DOE25'!L315,0)</f>
        <v>8739390</v>
      </c>
      <c r="D10" s="132">
        <f>ROUND((C10/$C$28)*100,1)</f>
        <v>32.1</v>
      </c>
    </row>
    <row r="11" spans="1:4" x14ac:dyDescent="0.2">
      <c r="A11">
        <v>1200</v>
      </c>
      <c r="B11" t="s">
        <v>703</v>
      </c>
      <c r="C11" s="129">
        <f>ROUND('DOE25'!L199+'DOE25'!L217+'DOE25'!L235+'DOE25'!L278+'DOE25'!L297+'DOE25'!L316,0)</f>
        <v>6133946</v>
      </c>
      <c r="D11" s="132">
        <f>ROUND((C11/$C$28)*100,1)</f>
        <v>22.5</v>
      </c>
    </row>
    <row r="12" spans="1:4" x14ac:dyDescent="0.2">
      <c r="A12">
        <v>1300</v>
      </c>
      <c r="B12" t="s">
        <v>704</v>
      </c>
      <c r="C12" s="129">
        <f>ROUND('DOE25'!L200+'DOE25'!L218+'DOE25'!L236+'DOE25'!L279+'DOE25'!L298+'DOE25'!L317,0)</f>
        <v>488317</v>
      </c>
      <c r="D12" s="132">
        <f>ROUND((C12/$C$28)*100,1)</f>
        <v>1.8</v>
      </c>
    </row>
    <row r="13" spans="1:4" x14ac:dyDescent="0.2">
      <c r="A13">
        <v>1400</v>
      </c>
      <c r="B13" t="s">
        <v>705</v>
      </c>
      <c r="C13" s="129">
        <f>ROUND('DOE25'!L201+'DOE25'!L219+'DOE25'!L237+'DOE25'!L280+'DOE25'!L299+'DOE25'!L318,0)</f>
        <v>501603</v>
      </c>
      <c r="D13" s="132">
        <f>ROUND((C13/$C$28)*100,1)</f>
        <v>1.8</v>
      </c>
    </row>
    <row r="14" spans="1:4" x14ac:dyDescent="0.2">
      <c r="D14" s="132"/>
    </row>
    <row r="15" spans="1:4" x14ac:dyDescent="0.2">
      <c r="A15">
        <v>2100</v>
      </c>
      <c r="B15" t="s">
        <v>706</v>
      </c>
      <c r="C15" s="129">
        <f>ROUND('DOE25'!L203+'DOE25'!L221+'DOE25'!L239+'DOE25'!L282+'DOE25'!L301+'DOE25'!L320,0)</f>
        <v>2237067</v>
      </c>
      <c r="D15" s="132">
        <f t="shared" ref="D15:D27" si="0">ROUND((C15/$C$28)*100,1)</f>
        <v>8.1999999999999993</v>
      </c>
    </row>
    <row r="16" spans="1:4" x14ac:dyDescent="0.2">
      <c r="A16">
        <v>2200</v>
      </c>
      <c r="B16" t="s">
        <v>707</v>
      </c>
      <c r="C16" s="129">
        <f>ROUND('DOE25'!L204+'DOE25'!L222+'DOE25'!L240+'DOE25'!L283+'DOE25'!L302+'DOE25'!L321,0)</f>
        <v>649241</v>
      </c>
      <c r="D16" s="132">
        <f t="shared" si="0"/>
        <v>2.4</v>
      </c>
    </row>
    <row r="17" spans="1:4" x14ac:dyDescent="0.2">
      <c r="A17" s="133" t="s">
        <v>723</v>
      </c>
      <c r="B17" t="s">
        <v>738</v>
      </c>
      <c r="C17" s="129">
        <f>ROUND('DOE25'!L205+'DOE25'!L210+'DOE25'!L223+'DOE25'!L228+'DOE25'!L241+'DOE25'!L246+'DOE25'!L284+'DOE25'!L289+'DOE25'!L303+'DOE25'!L308+'DOE25'!L322+'DOE25'!L327,0)</f>
        <v>1370148</v>
      </c>
      <c r="D17" s="132">
        <f t="shared" si="0"/>
        <v>5</v>
      </c>
    </row>
    <row r="18" spans="1:4" x14ac:dyDescent="0.2">
      <c r="A18">
        <v>2400</v>
      </c>
      <c r="B18" t="s">
        <v>711</v>
      </c>
      <c r="C18" s="129">
        <f>ROUND('DOE25'!L206+'DOE25'!L224+'DOE25'!L242+'DOE25'!L285+'DOE25'!L304+'DOE25'!L323,0)</f>
        <v>1481658</v>
      </c>
      <c r="D18" s="132">
        <f t="shared" si="0"/>
        <v>5.4</v>
      </c>
    </row>
    <row r="19" spans="1:4" x14ac:dyDescent="0.2">
      <c r="A19">
        <v>2500</v>
      </c>
      <c r="B19" t="s">
        <v>708</v>
      </c>
      <c r="C19" s="129">
        <f>ROUND('DOE25'!L207+'DOE25'!L225+'DOE25'!L243+'DOE25'!L286+'DOE25'!L305+'DOE25'!L324,0)</f>
        <v>716198</v>
      </c>
      <c r="D19" s="132">
        <f t="shared" si="0"/>
        <v>2.6</v>
      </c>
    </row>
    <row r="20" spans="1:4" x14ac:dyDescent="0.2">
      <c r="A20">
        <v>2600</v>
      </c>
      <c r="B20" t="s">
        <v>709</v>
      </c>
      <c r="C20" s="129">
        <f>ROUND('DOE25'!L208+'DOE25'!L226+'DOE25'!L244+'DOE25'!L287+'DOE25'!L306+'DOE25'!L325,0)</f>
        <v>2861891</v>
      </c>
      <c r="D20" s="132">
        <f t="shared" si="0"/>
        <v>10.5</v>
      </c>
    </row>
    <row r="21" spans="1:4" x14ac:dyDescent="0.2">
      <c r="A21">
        <v>2700</v>
      </c>
      <c r="B21" t="s">
        <v>710</v>
      </c>
      <c r="C21" s="129">
        <f>ROUND('DOE25'!L209+'DOE25'!L227+'DOE25'!L245+'DOE25'!L288+'DOE25'!L307+'DOE25'!L326,0)</f>
        <v>1519215</v>
      </c>
      <c r="D21" s="132">
        <f t="shared" si="0"/>
        <v>5.6</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3145</v>
      </c>
      <c r="D24" s="132">
        <f t="shared" si="0"/>
        <v>0</v>
      </c>
    </row>
    <row r="25" spans="1:4" x14ac:dyDescent="0.2">
      <c r="A25">
        <v>5120</v>
      </c>
      <c r="B25" t="s">
        <v>716</v>
      </c>
      <c r="C25" s="129">
        <f>ROUND('DOE25'!L262+'DOE25'!L343,0)</f>
        <v>40673</v>
      </c>
      <c r="D25" s="132">
        <f t="shared" si="0"/>
        <v>0.1</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479512.65</v>
      </c>
      <c r="D27" s="132">
        <f t="shared" si="0"/>
        <v>1.8</v>
      </c>
    </row>
    <row r="28" spans="1:4" x14ac:dyDescent="0.2">
      <c r="B28" s="136" t="s">
        <v>719</v>
      </c>
      <c r="C28" s="130">
        <f>SUM(C10:C27)</f>
        <v>27222004.649999999</v>
      </c>
      <c r="D28" s="134">
        <f>ROUND(SUM(D10:D27),0)</f>
        <v>100</v>
      </c>
    </row>
    <row r="29" spans="1:4" x14ac:dyDescent="0.2">
      <c r="A29">
        <v>4000</v>
      </c>
      <c r="B29" t="s">
        <v>724</v>
      </c>
      <c r="C29" s="129">
        <f>ROUND('DOE25'!L256+'DOE25'!L337+'DOE25'!L375+'DOE25'!L376+'DOE25'!L377+'DOE25'!L378+'DOE25'!L379+'DOE25'!L380+'DOE25'!L381,0)</f>
        <v>972330</v>
      </c>
    </row>
    <row r="30" spans="1:4" x14ac:dyDescent="0.2">
      <c r="B30" s="136" t="s">
        <v>725</v>
      </c>
      <c r="C30" s="130">
        <f>SUM(C28:C29)</f>
        <v>28194334.649999999</v>
      </c>
    </row>
    <row r="31" spans="1:4" x14ac:dyDescent="0.2">
      <c r="B31" s="32"/>
      <c r="C31" s="130"/>
    </row>
    <row r="32" spans="1:4" x14ac:dyDescent="0.2">
      <c r="A32">
        <v>5100</v>
      </c>
      <c r="B32" s="32" t="s">
        <v>726</v>
      </c>
      <c r="C32" s="130">
        <f>ROUND('DOE25'!L261+'DOE25'!L342,0)</f>
        <v>145000</v>
      </c>
    </row>
    <row r="34" spans="1:4" x14ac:dyDescent="0.2">
      <c r="A34" s="136" t="s">
        <v>94</v>
      </c>
      <c r="B34" s="137" t="s">
        <v>1801</v>
      </c>
      <c r="C34" s="131" t="s">
        <v>720</v>
      </c>
      <c r="D34" s="131" t="s">
        <v>721</v>
      </c>
    </row>
    <row r="35" spans="1:4" x14ac:dyDescent="0.2">
      <c r="A35">
        <v>1100</v>
      </c>
      <c r="B35" s="71" t="s">
        <v>727</v>
      </c>
      <c r="C35" s="129">
        <f>ROUND('DOE25'!F60+'DOE25'!G60+'DOE25'!H60+'DOE25'!I60+'DOE25'!J60,0)</f>
        <v>18425052</v>
      </c>
      <c r="D35" s="132">
        <f t="shared" ref="D35:D40" si="1">ROUND((C35/$C$41)*100,1)</f>
        <v>62.4</v>
      </c>
    </row>
    <row r="36" spans="1:4" x14ac:dyDescent="0.2">
      <c r="B36" s="71" t="s">
        <v>739</v>
      </c>
      <c r="C36" s="129">
        <f>SUM('DOE25'!F112:J112)-SUM('DOE25'!G97:G110)+('DOE25'!F175+'DOE25'!F176+'DOE25'!I175+'DOE25'!I176)-C35</f>
        <v>484959.35000000149</v>
      </c>
      <c r="D36" s="132">
        <f t="shared" si="1"/>
        <v>1.6</v>
      </c>
    </row>
    <row r="37" spans="1:4" x14ac:dyDescent="0.2">
      <c r="A37" s="133" t="s">
        <v>834</v>
      </c>
      <c r="B37" s="71" t="s">
        <v>728</v>
      </c>
      <c r="C37" s="129">
        <f>ROUND('DOE25'!F117+'DOE25'!F118,0)</f>
        <v>7307702</v>
      </c>
      <c r="D37" s="132">
        <f t="shared" si="1"/>
        <v>24.8</v>
      </c>
    </row>
    <row r="38" spans="1:4" x14ac:dyDescent="0.2">
      <c r="A38" s="133" t="s">
        <v>734</v>
      </c>
      <c r="B38" s="71" t="s">
        <v>729</v>
      </c>
      <c r="C38" s="129">
        <f>ROUND(SUM('DOE25'!F140:J140)-SUM('DOE25'!F117:F119),0)</f>
        <v>1218917</v>
      </c>
      <c r="D38" s="132">
        <f t="shared" si="1"/>
        <v>4.0999999999999996</v>
      </c>
    </row>
    <row r="39" spans="1:4" x14ac:dyDescent="0.2">
      <c r="A39">
        <v>4000</v>
      </c>
      <c r="B39" s="71" t="s">
        <v>730</v>
      </c>
      <c r="C39" s="129">
        <f>ROUND('DOE25'!F170+'DOE25'!G170+'DOE25'!H170+'DOE25'!I170,0)</f>
        <v>2080819</v>
      </c>
      <c r="D39" s="132">
        <f t="shared" si="1"/>
        <v>7</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29517449.350000001</v>
      </c>
      <c r="D41" s="134">
        <f>SUM(D35:D40)</f>
        <v>99.899999999999991</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4" t="s">
        <v>766</v>
      </c>
      <c r="B1" s="335"/>
      <c r="C1" s="335"/>
      <c r="D1" s="335"/>
      <c r="E1" s="335"/>
      <c r="F1" s="335"/>
      <c r="G1" s="335"/>
      <c r="H1" s="335"/>
      <c r="I1" s="335"/>
      <c r="J1" s="155"/>
      <c r="K1" s="155"/>
      <c r="L1" s="155"/>
      <c r="M1" s="156"/>
    </row>
    <row r="2" spans="1:13" ht="12.75" x14ac:dyDescent="0.2">
      <c r="A2" s="339" t="s">
        <v>763</v>
      </c>
      <c r="B2" s="340"/>
      <c r="C2" s="340"/>
      <c r="D2" s="340"/>
      <c r="E2" s="340"/>
      <c r="F2" s="337" t="str">
        <f>'DOE25'!A2</f>
        <v>Jaffrey-Rindge Cooperative</v>
      </c>
      <c r="G2" s="338"/>
      <c r="H2" s="338"/>
      <c r="I2" s="338"/>
      <c r="M2" s="157"/>
    </row>
    <row r="3" spans="1:13" x14ac:dyDescent="0.2">
      <c r="A3" s="158" t="s">
        <v>764</v>
      </c>
      <c r="B3" s="131" t="s">
        <v>765</v>
      </c>
      <c r="C3" s="320" t="s">
        <v>767</v>
      </c>
      <c r="D3" s="320"/>
      <c r="E3" s="320"/>
      <c r="F3" s="320"/>
      <c r="G3" s="320"/>
      <c r="H3" s="320"/>
      <c r="I3" s="320"/>
      <c r="J3" s="320"/>
      <c r="K3" s="320"/>
      <c r="L3" s="320"/>
      <c r="M3" s="336"/>
    </row>
    <row r="4" spans="1:13" x14ac:dyDescent="0.2">
      <c r="A4" s="159"/>
      <c r="B4" s="150"/>
      <c r="C4" s="327"/>
      <c r="D4" s="327"/>
      <c r="E4" s="327"/>
      <c r="F4" s="327"/>
      <c r="G4" s="327"/>
      <c r="H4" s="327"/>
      <c r="I4" s="327"/>
      <c r="J4" s="327"/>
      <c r="K4" s="327"/>
      <c r="L4" s="327"/>
      <c r="M4" s="328"/>
    </row>
    <row r="5" spans="1:13" x14ac:dyDescent="0.2">
      <c r="A5" s="159"/>
      <c r="B5" s="150"/>
      <c r="C5" s="327"/>
      <c r="D5" s="327"/>
      <c r="E5" s="327"/>
      <c r="F5" s="327"/>
      <c r="G5" s="327"/>
      <c r="H5" s="327"/>
      <c r="I5" s="327"/>
      <c r="J5" s="327"/>
      <c r="K5" s="327"/>
      <c r="L5" s="327"/>
      <c r="M5" s="328"/>
    </row>
    <row r="6" spans="1:13" x14ac:dyDescent="0.2">
      <c r="A6" s="159"/>
      <c r="B6" s="150"/>
      <c r="C6" s="327"/>
      <c r="D6" s="327"/>
      <c r="E6" s="327"/>
      <c r="F6" s="327"/>
      <c r="G6" s="327"/>
      <c r="H6" s="327"/>
      <c r="I6" s="327"/>
      <c r="J6" s="327"/>
      <c r="K6" s="327"/>
      <c r="L6" s="327"/>
      <c r="M6" s="328"/>
    </row>
    <row r="7" spans="1:13" x14ac:dyDescent="0.2">
      <c r="A7" s="159"/>
      <c r="B7" s="150"/>
      <c r="C7" s="327"/>
      <c r="D7" s="327"/>
      <c r="E7" s="327"/>
      <c r="F7" s="327"/>
      <c r="G7" s="327"/>
      <c r="H7" s="327"/>
      <c r="I7" s="327"/>
      <c r="J7" s="327"/>
      <c r="K7" s="327"/>
      <c r="L7" s="327"/>
      <c r="M7" s="328"/>
    </row>
    <row r="8" spans="1:13" x14ac:dyDescent="0.2">
      <c r="A8" s="159"/>
      <c r="B8" s="150"/>
      <c r="C8" s="327"/>
      <c r="D8" s="327"/>
      <c r="E8" s="327"/>
      <c r="F8" s="327"/>
      <c r="G8" s="327"/>
      <c r="H8" s="327"/>
      <c r="I8" s="327"/>
      <c r="J8" s="327"/>
      <c r="K8" s="327"/>
      <c r="L8" s="327"/>
      <c r="M8" s="328"/>
    </row>
    <row r="9" spans="1:13" x14ac:dyDescent="0.2">
      <c r="A9" s="159"/>
      <c r="B9" s="150"/>
      <c r="C9" s="327"/>
      <c r="D9" s="327"/>
      <c r="E9" s="327"/>
      <c r="F9" s="327"/>
      <c r="G9" s="327"/>
      <c r="H9" s="327"/>
      <c r="I9" s="327"/>
      <c r="J9" s="327"/>
      <c r="K9" s="327"/>
      <c r="L9" s="327"/>
      <c r="M9" s="328"/>
    </row>
    <row r="10" spans="1:13" x14ac:dyDescent="0.2">
      <c r="A10" s="159"/>
      <c r="B10" s="150"/>
      <c r="C10" s="327"/>
      <c r="D10" s="327"/>
      <c r="E10" s="327"/>
      <c r="F10" s="327"/>
      <c r="G10" s="327"/>
      <c r="H10" s="327"/>
      <c r="I10" s="327"/>
      <c r="J10" s="327"/>
      <c r="K10" s="327"/>
      <c r="L10" s="327"/>
      <c r="M10" s="328"/>
    </row>
    <row r="11" spans="1:13" x14ac:dyDescent="0.2">
      <c r="A11" s="159"/>
      <c r="B11" s="150"/>
      <c r="C11" s="327"/>
      <c r="D11" s="327"/>
      <c r="E11" s="327"/>
      <c r="F11" s="327"/>
      <c r="G11" s="327"/>
      <c r="H11" s="327"/>
      <c r="I11" s="327"/>
      <c r="J11" s="327"/>
      <c r="K11" s="327"/>
      <c r="L11" s="327"/>
      <c r="M11" s="328"/>
    </row>
    <row r="12" spans="1:13" x14ac:dyDescent="0.2">
      <c r="A12" s="159"/>
      <c r="B12" s="150"/>
      <c r="C12" s="327"/>
      <c r="D12" s="327"/>
      <c r="E12" s="327"/>
      <c r="F12" s="327"/>
      <c r="G12" s="327"/>
      <c r="H12" s="327"/>
      <c r="I12" s="327"/>
      <c r="J12" s="327"/>
      <c r="K12" s="327"/>
      <c r="L12" s="327"/>
      <c r="M12" s="328"/>
    </row>
    <row r="13" spans="1:13" x14ac:dyDescent="0.2">
      <c r="A13" s="159"/>
      <c r="B13" s="150"/>
      <c r="C13" s="327"/>
      <c r="D13" s="327"/>
      <c r="E13" s="327"/>
      <c r="F13" s="327"/>
      <c r="G13" s="327"/>
      <c r="H13" s="327"/>
      <c r="I13" s="327"/>
      <c r="J13" s="327"/>
      <c r="K13" s="327"/>
      <c r="L13" s="327"/>
      <c r="M13" s="328"/>
    </row>
    <row r="14" spans="1:13" x14ac:dyDescent="0.2">
      <c r="A14" s="159"/>
      <c r="B14" s="150"/>
      <c r="C14" s="327"/>
      <c r="D14" s="327"/>
      <c r="E14" s="327"/>
      <c r="F14" s="327"/>
      <c r="G14" s="327"/>
      <c r="H14" s="327"/>
      <c r="I14" s="327"/>
      <c r="J14" s="327"/>
      <c r="K14" s="327"/>
      <c r="L14" s="327"/>
      <c r="M14" s="328"/>
    </row>
    <row r="15" spans="1:13" x14ac:dyDescent="0.2">
      <c r="A15" s="159"/>
      <c r="B15" s="150"/>
      <c r="C15" s="327"/>
      <c r="D15" s="327"/>
      <c r="E15" s="327"/>
      <c r="F15" s="327"/>
      <c r="G15" s="327"/>
      <c r="H15" s="327"/>
      <c r="I15" s="327"/>
      <c r="J15" s="327"/>
      <c r="K15" s="327"/>
      <c r="L15" s="327"/>
      <c r="M15" s="328"/>
    </row>
    <row r="16" spans="1:13" x14ac:dyDescent="0.2">
      <c r="A16" s="159"/>
      <c r="B16" s="150"/>
      <c r="C16" s="327"/>
      <c r="D16" s="327"/>
      <c r="E16" s="327"/>
      <c r="F16" s="327"/>
      <c r="G16" s="327"/>
      <c r="H16" s="327"/>
      <c r="I16" s="327"/>
      <c r="J16" s="327"/>
      <c r="K16" s="327"/>
      <c r="L16" s="327"/>
      <c r="M16" s="328"/>
    </row>
    <row r="17" spans="1:256" x14ac:dyDescent="0.2">
      <c r="A17" s="159"/>
      <c r="B17" s="150"/>
      <c r="C17" s="327"/>
      <c r="D17" s="327"/>
      <c r="E17" s="327"/>
      <c r="F17" s="327"/>
      <c r="G17" s="327"/>
      <c r="H17" s="327"/>
      <c r="I17" s="327"/>
      <c r="J17" s="327"/>
      <c r="K17" s="327"/>
      <c r="L17" s="327"/>
      <c r="M17" s="328"/>
    </row>
    <row r="18" spans="1:256" x14ac:dyDescent="0.2">
      <c r="A18" s="159"/>
      <c r="B18" s="150"/>
      <c r="C18" s="327"/>
      <c r="D18" s="327"/>
      <c r="E18" s="327"/>
      <c r="F18" s="327"/>
      <c r="G18" s="327"/>
      <c r="H18" s="327"/>
      <c r="I18" s="327"/>
      <c r="J18" s="327"/>
      <c r="K18" s="327"/>
      <c r="L18" s="327"/>
      <c r="M18" s="328"/>
    </row>
    <row r="19" spans="1:256" x14ac:dyDescent="0.2">
      <c r="A19" s="159"/>
      <c r="B19" s="150"/>
      <c r="C19" s="327"/>
      <c r="D19" s="327"/>
      <c r="E19" s="327"/>
      <c r="F19" s="327"/>
      <c r="G19" s="327"/>
      <c r="H19" s="327"/>
      <c r="I19" s="327"/>
      <c r="J19" s="327"/>
      <c r="K19" s="327"/>
      <c r="L19" s="327"/>
      <c r="M19" s="328"/>
    </row>
    <row r="20" spans="1:256" x14ac:dyDescent="0.2">
      <c r="A20" s="159"/>
      <c r="B20" s="150"/>
      <c r="C20" s="327"/>
      <c r="D20" s="327"/>
      <c r="E20" s="327"/>
      <c r="F20" s="327"/>
      <c r="G20" s="327"/>
      <c r="H20" s="327"/>
      <c r="I20" s="327"/>
      <c r="J20" s="327"/>
      <c r="K20" s="327"/>
      <c r="L20" s="327"/>
      <c r="M20" s="328"/>
    </row>
    <row r="21" spans="1:256" x14ac:dyDescent="0.2">
      <c r="A21" s="159"/>
      <c r="B21" s="150"/>
      <c r="C21" s="327"/>
      <c r="D21" s="327"/>
      <c r="E21" s="327"/>
      <c r="F21" s="327"/>
      <c r="G21" s="327"/>
      <c r="H21" s="327"/>
      <c r="I21" s="327"/>
      <c r="J21" s="327"/>
      <c r="K21" s="327"/>
      <c r="L21" s="327"/>
      <c r="M21" s="328"/>
    </row>
    <row r="22" spans="1:256" x14ac:dyDescent="0.2">
      <c r="A22" s="159"/>
      <c r="B22" s="150"/>
      <c r="C22" s="327"/>
      <c r="D22" s="327"/>
      <c r="E22" s="327"/>
      <c r="F22" s="327"/>
      <c r="G22" s="327"/>
      <c r="H22" s="327"/>
      <c r="I22" s="327"/>
      <c r="J22" s="327"/>
      <c r="K22" s="327"/>
      <c r="L22" s="327"/>
      <c r="M22" s="328"/>
    </row>
    <row r="23" spans="1:256" x14ac:dyDescent="0.2">
      <c r="A23" s="159"/>
      <c r="B23" s="150"/>
      <c r="C23" s="327"/>
      <c r="D23" s="327"/>
      <c r="E23" s="327"/>
      <c r="F23" s="327"/>
      <c r="G23" s="327"/>
      <c r="H23" s="327"/>
      <c r="I23" s="327"/>
      <c r="J23" s="327"/>
      <c r="K23" s="327"/>
      <c r="L23" s="327"/>
      <c r="M23" s="328"/>
    </row>
    <row r="24" spans="1:256" x14ac:dyDescent="0.2">
      <c r="A24" s="159"/>
      <c r="B24" s="150"/>
      <c r="C24" s="327"/>
      <c r="D24" s="327"/>
      <c r="E24" s="327"/>
      <c r="F24" s="327"/>
      <c r="G24" s="327"/>
      <c r="H24" s="327"/>
      <c r="I24" s="327"/>
      <c r="J24" s="327"/>
      <c r="K24" s="327"/>
      <c r="L24" s="327"/>
      <c r="M24" s="328"/>
    </row>
    <row r="25" spans="1:256" x14ac:dyDescent="0.2">
      <c r="A25" s="159"/>
      <c r="B25" s="150"/>
      <c r="C25" s="327"/>
      <c r="D25" s="327"/>
      <c r="E25" s="327"/>
      <c r="F25" s="327"/>
      <c r="G25" s="327"/>
      <c r="H25" s="327"/>
      <c r="I25" s="327"/>
      <c r="J25" s="327"/>
      <c r="K25" s="327"/>
      <c r="L25" s="327"/>
      <c r="M25" s="328"/>
    </row>
    <row r="26" spans="1:256" x14ac:dyDescent="0.2">
      <c r="A26" s="159"/>
      <c r="B26" s="150"/>
      <c r="C26" s="327"/>
      <c r="D26" s="327"/>
      <c r="E26" s="327"/>
      <c r="F26" s="327"/>
      <c r="G26" s="327"/>
      <c r="H26" s="327"/>
      <c r="I26" s="327"/>
      <c r="J26" s="327"/>
      <c r="K26" s="327"/>
      <c r="L26" s="327"/>
      <c r="M26" s="328"/>
    </row>
    <row r="27" spans="1:256" x14ac:dyDescent="0.2">
      <c r="A27" s="159"/>
      <c r="B27" s="150"/>
      <c r="C27" s="327"/>
      <c r="D27" s="327"/>
      <c r="E27" s="327"/>
      <c r="F27" s="327"/>
      <c r="G27" s="327"/>
      <c r="H27" s="327"/>
      <c r="I27" s="327"/>
      <c r="J27" s="327"/>
      <c r="K27" s="327"/>
      <c r="L27" s="327"/>
      <c r="M27" s="328"/>
    </row>
    <row r="28" spans="1:256" x14ac:dyDescent="0.2">
      <c r="A28" s="159"/>
      <c r="B28" s="150"/>
      <c r="C28" s="327"/>
      <c r="D28" s="327"/>
      <c r="E28" s="327"/>
      <c r="F28" s="327"/>
      <c r="G28" s="327"/>
      <c r="H28" s="327"/>
      <c r="I28" s="327"/>
      <c r="J28" s="327"/>
      <c r="K28" s="327"/>
      <c r="L28" s="327"/>
      <c r="M28" s="328"/>
    </row>
    <row r="29" spans="1:256" x14ac:dyDescent="0.2">
      <c r="A29" s="159"/>
      <c r="B29" s="150"/>
      <c r="C29" s="327"/>
      <c r="D29" s="327"/>
      <c r="E29" s="327"/>
      <c r="F29" s="327"/>
      <c r="G29" s="327"/>
      <c r="H29" s="327"/>
      <c r="I29" s="327"/>
      <c r="J29" s="327"/>
      <c r="K29" s="327"/>
      <c r="L29" s="327"/>
      <c r="M29" s="328"/>
      <c r="N29" s="153"/>
      <c r="O29" s="153"/>
      <c r="P29" s="332"/>
      <c r="Q29" s="332"/>
      <c r="R29" s="332"/>
      <c r="S29" s="332"/>
      <c r="T29" s="332"/>
      <c r="U29" s="332"/>
      <c r="V29" s="332"/>
      <c r="W29" s="332"/>
      <c r="X29" s="332"/>
      <c r="Y29" s="332"/>
      <c r="Z29" s="332"/>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8"/>
      <c r="N30" s="153"/>
      <c r="O30" s="153"/>
      <c r="P30" s="332"/>
      <c r="Q30" s="332"/>
      <c r="R30" s="332"/>
      <c r="S30" s="332"/>
      <c r="T30" s="332"/>
      <c r="U30" s="332"/>
      <c r="V30" s="332"/>
      <c r="W30" s="332"/>
      <c r="X30" s="332"/>
      <c r="Y30" s="332"/>
      <c r="Z30" s="332"/>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8"/>
      <c r="N31" s="153"/>
      <c r="O31" s="153"/>
      <c r="P31" s="332"/>
      <c r="Q31" s="332"/>
      <c r="R31" s="332"/>
      <c r="S31" s="332"/>
      <c r="T31" s="332"/>
      <c r="U31" s="332"/>
      <c r="V31" s="332"/>
      <c r="W31" s="332"/>
      <c r="X31" s="332"/>
      <c r="Y31" s="332"/>
      <c r="Z31" s="332"/>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8"/>
      <c r="N32" s="153"/>
      <c r="O32" s="153"/>
      <c r="P32" s="332"/>
      <c r="Q32" s="332"/>
      <c r="R32" s="332"/>
      <c r="S32" s="332"/>
      <c r="T32" s="332"/>
      <c r="U32" s="332"/>
      <c r="V32" s="332"/>
      <c r="W32" s="332"/>
      <c r="X32" s="332"/>
      <c r="Y32" s="332"/>
      <c r="Z32" s="333"/>
      <c r="AA32" s="159"/>
      <c r="AB32" s="150"/>
      <c r="AC32" s="327"/>
      <c r="AD32" s="327"/>
      <c r="AE32" s="327"/>
      <c r="AF32" s="327"/>
      <c r="AG32" s="327"/>
      <c r="AH32" s="327"/>
      <c r="AI32" s="327"/>
      <c r="AJ32" s="327"/>
      <c r="AK32" s="327"/>
      <c r="AL32" s="327"/>
      <c r="AM32" s="328"/>
      <c r="AN32" s="159"/>
      <c r="AO32" s="150"/>
      <c r="AP32" s="327"/>
      <c r="AQ32" s="327"/>
      <c r="AR32" s="327"/>
      <c r="AS32" s="327"/>
      <c r="AT32" s="327"/>
      <c r="AU32" s="327"/>
      <c r="AV32" s="327"/>
      <c r="AW32" s="327"/>
      <c r="AX32" s="327"/>
      <c r="AY32" s="327"/>
      <c r="AZ32" s="328"/>
      <c r="BA32" s="159"/>
      <c r="BB32" s="150"/>
      <c r="BC32" s="327"/>
      <c r="BD32" s="327"/>
      <c r="BE32" s="327"/>
      <c r="BF32" s="327"/>
      <c r="BG32" s="327"/>
      <c r="BH32" s="327"/>
      <c r="BI32" s="327"/>
      <c r="BJ32" s="327"/>
      <c r="BK32" s="327"/>
      <c r="BL32" s="327"/>
      <c r="BM32" s="328"/>
      <c r="BN32" s="159"/>
      <c r="BO32" s="150"/>
      <c r="BP32" s="327"/>
      <c r="BQ32" s="327"/>
      <c r="BR32" s="327"/>
      <c r="BS32" s="327"/>
      <c r="BT32" s="327"/>
      <c r="BU32" s="327"/>
      <c r="BV32" s="327"/>
      <c r="BW32" s="327"/>
      <c r="BX32" s="327"/>
      <c r="BY32" s="327"/>
      <c r="BZ32" s="328"/>
      <c r="CA32" s="159"/>
      <c r="CB32" s="150"/>
      <c r="CC32" s="327"/>
      <c r="CD32" s="327"/>
      <c r="CE32" s="327"/>
      <c r="CF32" s="327"/>
      <c r="CG32" s="327"/>
      <c r="CH32" s="327"/>
      <c r="CI32" s="327"/>
      <c r="CJ32" s="327"/>
      <c r="CK32" s="327"/>
      <c r="CL32" s="327"/>
      <c r="CM32" s="328"/>
      <c r="CN32" s="159"/>
      <c r="CO32" s="150"/>
      <c r="CP32" s="327"/>
      <c r="CQ32" s="327"/>
      <c r="CR32" s="327"/>
      <c r="CS32" s="327"/>
      <c r="CT32" s="327"/>
      <c r="CU32" s="327"/>
      <c r="CV32" s="327"/>
      <c r="CW32" s="327"/>
      <c r="CX32" s="327"/>
      <c r="CY32" s="327"/>
      <c r="CZ32" s="328"/>
      <c r="DA32" s="159"/>
      <c r="DB32" s="150"/>
      <c r="DC32" s="327"/>
      <c r="DD32" s="327"/>
      <c r="DE32" s="327"/>
      <c r="DF32" s="327"/>
      <c r="DG32" s="327"/>
      <c r="DH32" s="327"/>
      <c r="DI32" s="327"/>
      <c r="DJ32" s="327"/>
      <c r="DK32" s="327"/>
      <c r="DL32" s="327"/>
      <c r="DM32" s="328"/>
      <c r="DN32" s="159"/>
      <c r="DO32" s="150"/>
      <c r="DP32" s="327"/>
      <c r="DQ32" s="327"/>
      <c r="DR32" s="327"/>
      <c r="DS32" s="327"/>
      <c r="DT32" s="327"/>
      <c r="DU32" s="327"/>
      <c r="DV32" s="327"/>
      <c r="DW32" s="327"/>
      <c r="DX32" s="327"/>
      <c r="DY32" s="327"/>
      <c r="DZ32" s="328"/>
      <c r="EA32" s="159"/>
      <c r="EB32" s="150"/>
      <c r="EC32" s="327"/>
      <c r="ED32" s="327"/>
      <c r="EE32" s="327"/>
      <c r="EF32" s="327"/>
      <c r="EG32" s="327"/>
      <c r="EH32" s="327"/>
      <c r="EI32" s="327"/>
      <c r="EJ32" s="327"/>
      <c r="EK32" s="327"/>
      <c r="EL32" s="327"/>
      <c r="EM32" s="328"/>
      <c r="EN32" s="159"/>
      <c r="EO32" s="150"/>
      <c r="EP32" s="327"/>
      <c r="EQ32" s="327"/>
      <c r="ER32" s="327"/>
      <c r="ES32" s="327"/>
      <c r="ET32" s="327"/>
      <c r="EU32" s="327"/>
      <c r="EV32" s="327"/>
      <c r="EW32" s="327"/>
      <c r="EX32" s="327"/>
      <c r="EY32" s="327"/>
      <c r="EZ32" s="328"/>
      <c r="FA32" s="159"/>
      <c r="FB32" s="150"/>
      <c r="FC32" s="327"/>
      <c r="FD32" s="327"/>
      <c r="FE32" s="327"/>
      <c r="FF32" s="327"/>
      <c r="FG32" s="327"/>
      <c r="FH32" s="327"/>
      <c r="FI32" s="327"/>
      <c r="FJ32" s="327"/>
      <c r="FK32" s="327"/>
      <c r="FL32" s="327"/>
      <c r="FM32" s="328"/>
      <c r="FN32" s="159"/>
      <c r="FO32" s="150"/>
      <c r="FP32" s="327"/>
      <c r="FQ32" s="327"/>
      <c r="FR32" s="327"/>
      <c r="FS32" s="327"/>
      <c r="FT32" s="327"/>
      <c r="FU32" s="327"/>
      <c r="FV32" s="327"/>
      <c r="FW32" s="327"/>
      <c r="FX32" s="327"/>
      <c r="FY32" s="327"/>
      <c r="FZ32" s="328"/>
      <c r="GA32" s="159"/>
      <c r="GB32" s="150"/>
      <c r="GC32" s="327"/>
      <c r="GD32" s="327"/>
      <c r="GE32" s="327"/>
      <c r="GF32" s="327"/>
      <c r="GG32" s="327"/>
      <c r="GH32" s="327"/>
      <c r="GI32" s="327"/>
      <c r="GJ32" s="327"/>
      <c r="GK32" s="327"/>
      <c r="GL32" s="327"/>
      <c r="GM32" s="328"/>
      <c r="GN32" s="159"/>
      <c r="GO32" s="150"/>
      <c r="GP32" s="327"/>
      <c r="GQ32" s="327"/>
      <c r="GR32" s="327"/>
      <c r="GS32" s="327"/>
      <c r="GT32" s="327"/>
      <c r="GU32" s="327"/>
      <c r="GV32" s="327"/>
      <c r="GW32" s="327"/>
      <c r="GX32" s="327"/>
      <c r="GY32" s="327"/>
      <c r="GZ32" s="328"/>
      <c r="HA32" s="159"/>
      <c r="HB32" s="150"/>
      <c r="HC32" s="327"/>
      <c r="HD32" s="327"/>
      <c r="HE32" s="327"/>
      <c r="HF32" s="327"/>
      <c r="HG32" s="327"/>
      <c r="HH32" s="327"/>
      <c r="HI32" s="327"/>
      <c r="HJ32" s="327"/>
      <c r="HK32" s="327"/>
      <c r="HL32" s="327"/>
      <c r="HM32" s="328"/>
      <c r="HN32" s="159"/>
      <c r="HO32" s="150"/>
      <c r="HP32" s="327"/>
      <c r="HQ32" s="327"/>
      <c r="HR32" s="327"/>
      <c r="HS32" s="327"/>
      <c r="HT32" s="327"/>
      <c r="HU32" s="327"/>
      <c r="HV32" s="327"/>
      <c r="HW32" s="327"/>
      <c r="HX32" s="327"/>
      <c r="HY32" s="327"/>
      <c r="HZ32" s="328"/>
      <c r="IA32" s="159"/>
      <c r="IB32" s="150"/>
      <c r="IC32" s="327"/>
      <c r="ID32" s="327"/>
      <c r="IE32" s="327"/>
      <c r="IF32" s="327"/>
      <c r="IG32" s="327"/>
      <c r="IH32" s="327"/>
      <c r="II32" s="327"/>
      <c r="IJ32" s="327"/>
      <c r="IK32" s="327"/>
      <c r="IL32" s="327"/>
      <c r="IM32" s="328"/>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8"/>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8"/>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8"/>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8"/>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8"/>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8"/>
      <c r="N38" s="153"/>
      <c r="O38" s="153"/>
      <c r="P38" s="332"/>
      <c r="Q38" s="332"/>
      <c r="R38" s="332"/>
      <c r="S38" s="332"/>
      <c r="T38" s="332"/>
      <c r="U38" s="332"/>
      <c r="V38" s="332"/>
      <c r="W38" s="332"/>
      <c r="X38" s="332"/>
      <c r="Y38" s="332"/>
      <c r="Z38" s="332"/>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8"/>
      <c r="N39" s="153"/>
      <c r="O39" s="153"/>
      <c r="P39" s="332"/>
      <c r="Q39" s="332"/>
      <c r="R39" s="332"/>
      <c r="S39" s="332"/>
      <c r="T39" s="332"/>
      <c r="U39" s="332"/>
      <c r="V39" s="332"/>
      <c r="W39" s="332"/>
      <c r="X39" s="332"/>
      <c r="Y39" s="332"/>
      <c r="Z39" s="332"/>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8"/>
      <c r="N40" s="153"/>
      <c r="O40" s="153"/>
      <c r="P40" s="332"/>
      <c r="Q40" s="332"/>
      <c r="R40" s="332"/>
      <c r="S40" s="332"/>
      <c r="T40" s="332"/>
      <c r="U40" s="332"/>
      <c r="V40" s="332"/>
      <c r="W40" s="332"/>
      <c r="X40" s="332"/>
      <c r="Y40" s="332"/>
      <c r="Z40" s="332"/>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8"/>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8"/>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8"/>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8"/>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8"/>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8"/>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8"/>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8"/>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8"/>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8"/>
    </row>
    <row r="51" spans="1:256" x14ac:dyDescent="0.2">
      <c r="A51" s="159"/>
      <c r="B51" s="150"/>
      <c r="C51" s="327"/>
      <c r="D51" s="327"/>
      <c r="E51" s="327"/>
      <c r="F51" s="327"/>
      <c r="G51" s="327"/>
      <c r="H51" s="327"/>
      <c r="I51" s="327"/>
      <c r="J51" s="327"/>
      <c r="K51" s="327"/>
      <c r="L51" s="327"/>
      <c r="M51" s="328"/>
    </row>
    <row r="52" spans="1:256" x14ac:dyDescent="0.2">
      <c r="A52" s="159"/>
      <c r="B52" s="150"/>
      <c r="C52" s="327"/>
      <c r="D52" s="327"/>
      <c r="E52" s="327"/>
      <c r="F52" s="327"/>
      <c r="G52" s="327"/>
      <c r="H52" s="327"/>
      <c r="I52" s="327"/>
      <c r="J52" s="327"/>
      <c r="K52" s="327"/>
      <c r="L52" s="327"/>
      <c r="M52" s="328"/>
    </row>
    <row r="53" spans="1:256" x14ac:dyDescent="0.2">
      <c r="A53" s="159"/>
      <c r="B53" s="150"/>
      <c r="C53" s="327"/>
      <c r="D53" s="327"/>
      <c r="E53" s="327"/>
      <c r="F53" s="327"/>
      <c r="G53" s="327"/>
      <c r="H53" s="327"/>
      <c r="I53" s="327"/>
      <c r="J53" s="327"/>
      <c r="K53" s="327"/>
      <c r="L53" s="327"/>
      <c r="M53" s="328"/>
    </row>
    <row r="54" spans="1:256" x14ac:dyDescent="0.2">
      <c r="A54" s="159"/>
      <c r="B54" s="150"/>
      <c r="C54" s="327"/>
      <c r="D54" s="327"/>
      <c r="E54" s="327"/>
      <c r="F54" s="327"/>
      <c r="G54" s="327"/>
      <c r="H54" s="327"/>
      <c r="I54" s="327"/>
      <c r="J54" s="327"/>
      <c r="K54" s="327"/>
      <c r="L54" s="327"/>
      <c r="M54" s="328"/>
    </row>
    <row r="55" spans="1:256" x14ac:dyDescent="0.2">
      <c r="A55" s="159"/>
      <c r="B55" s="150"/>
      <c r="C55" s="327"/>
      <c r="D55" s="327"/>
      <c r="E55" s="327"/>
      <c r="F55" s="327"/>
      <c r="G55" s="327"/>
      <c r="H55" s="327"/>
      <c r="I55" s="327"/>
      <c r="J55" s="327"/>
      <c r="K55" s="327"/>
      <c r="L55" s="327"/>
      <c r="M55" s="328"/>
    </row>
    <row r="56" spans="1:256" x14ac:dyDescent="0.2">
      <c r="A56" s="159"/>
      <c r="B56" s="150"/>
      <c r="C56" s="327"/>
      <c r="D56" s="327"/>
      <c r="E56" s="327"/>
      <c r="F56" s="327"/>
      <c r="G56" s="327"/>
      <c r="H56" s="327"/>
      <c r="I56" s="327"/>
      <c r="J56" s="327"/>
      <c r="K56" s="327"/>
      <c r="L56" s="327"/>
      <c r="M56" s="328"/>
    </row>
    <row r="57" spans="1:256" x14ac:dyDescent="0.2">
      <c r="A57" s="159"/>
      <c r="B57" s="150"/>
      <c r="C57" s="327"/>
      <c r="D57" s="327"/>
      <c r="E57" s="327"/>
      <c r="F57" s="327"/>
      <c r="G57" s="327"/>
      <c r="H57" s="327"/>
      <c r="I57" s="327"/>
      <c r="J57" s="327"/>
      <c r="K57" s="327"/>
      <c r="L57" s="327"/>
      <c r="M57" s="328"/>
    </row>
    <row r="58" spans="1:256" x14ac:dyDescent="0.2">
      <c r="A58" s="159"/>
      <c r="B58" s="150"/>
      <c r="C58" s="327"/>
      <c r="D58" s="327"/>
      <c r="E58" s="327"/>
      <c r="F58" s="327"/>
      <c r="G58" s="327"/>
      <c r="H58" s="327"/>
      <c r="I58" s="327"/>
      <c r="J58" s="327"/>
      <c r="K58" s="327"/>
      <c r="L58" s="327"/>
      <c r="M58" s="328"/>
    </row>
    <row r="59" spans="1:256" x14ac:dyDescent="0.2">
      <c r="A59" s="159"/>
      <c r="B59" s="150"/>
      <c r="C59" s="327"/>
      <c r="D59" s="327"/>
      <c r="E59" s="327"/>
      <c r="F59" s="327"/>
      <c r="G59" s="327"/>
      <c r="H59" s="327"/>
      <c r="I59" s="327"/>
      <c r="J59" s="327"/>
      <c r="K59" s="327"/>
      <c r="L59" s="327"/>
      <c r="M59" s="328"/>
    </row>
    <row r="60" spans="1:256" x14ac:dyDescent="0.2">
      <c r="A60" s="159"/>
      <c r="B60" s="150"/>
      <c r="C60" s="327"/>
      <c r="D60" s="327"/>
      <c r="E60" s="327"/>
      <c r="F60" s="327"/>
      <c r="G60" s="327"/>
      <c r="H60" s="327"/>
      <c r="I60" s="327"/>
      <c r="J60" s="327"/>
      <c r="K60" s="327"/>
      <c r="L60" s="327"/>
      <c r="M60" s="328"/>
    </row>
    <row r="61" spans="1:256" x14ac:dyDescent="0.2">
      <c r="A61" s="159"/>
      <c r="B61" s="150"/>
      <c r="C61" s="327"/>
      <c r="D61" s="327"/>
      <c r="E61" s="327"/>
      <c r="F61" s="327"/>
      <c r="G61" s="327"/>
      <c r="H61" s="327"/>
      <c r="I61" s="327"/>
      <c r="J61" s="327"/>
      <c r="K61" s="327"/>
      <c r="L61" s="327"/>
      <c r="M61" s="328"/>
    </row>
    <row r="62" spans="1:256" x14ac:dyDescent="0.2">
      <c r="A62" s="159"/>
      <c r="B62" s="150"/>
      <c r="C62" s="327"/>
      <c r="D62" s="327"/>
      <c r="E62" s="327"/>
      <c r="F62" s="327"/>
      <c r="G62" s="327"/>
      <c r="H62" s="327"/>
      <c r="I62" s="327"/>
      <c r="J62" s="327"/>
      <c r="K62" s="327"/>
      <c r="L62" s="327"/>
      <c r="M62" s="328"/>
    </row>
    <row r="63" spans="1:256" x14ac:dyDescent="0.2">
      <c r="A63" s="159"/>
      <c r="B63" s="150"/>
      <c r="C63" s="327"/>
      <c r="D63" s="327"/>
      <c r="E63" s="327"/>
      <c r="F63" s="327"/>
      <c r="G63" s="327"/>
      <c r="H63" s="327"/>
      <c r="I63" s="327"/>
      <c r="J63" s="327"/>
      <c r="K63" s="327"/>
      <c r="L63" s="327"/>
      <c r="M63" s="328"/>
    </row>
    <row r="64" spans="1:256" x14ac:dyDescent="0.2">
      <c r="A64" s="159"/>
      <c r="B64" s="150"/>
      <c r="C64" s="327"/>
      <c r="D64" s="327"/>
      <c r="E64" s="327"/>
      <c r="F64" s="327"/>
      <c r="G64" s="327"/>
      <c r="H64" s="327"/>
      <c r="I64" s="327"/>
      <c r="J64" s="327"/>
      <c r="K64" s="327"/>
      <c r="L64" s="327"/>
      <c r="M64" s="328"/>
    </row>
    <row r="65" spans="1:13" x14ac:dyDescent="0.2">
      <c r="A65" s="159"/>
      <c r="B65" s="150"/>
      <c r="C65" s="327"/>
      <c r="D65" s="327"/>
      <c r="E65" s="327"/>
      <c r="F65" s="327"/>
      <c r="G65" s="327"/>
      <c r="H65" s="327"/>
      <c r="I65" s="327"/>
      <c r="J65" s="327"/>
      <c r="K65" s="327"/>
      <c r="L65" s="327"/>
      <c r="M65" s="328"/>
    </row>
    <row r="66" spans="1:13" x14ac:dyDescent="0.2">
      <c r="A66" s="159"/>
      <c r="B66" s="150"/>
      <c r="C66" s="327"/>
      <c r="D66" s="327"/>
      <c r="E66" s="327"/>
      <c r="F66" s="327"/>
      <c r="G66" s="327"/>
      <c r="H66" s="327"/>
      <c r="I66" s="327"/>
      <c r="J66" s="327"/>
      <c r="K66" s="327"/>
      <c r="L66" s="327"/>
      <c r="M66" s="328"/>
    </row>
    <row r="67" spans="1:13" x14ac:dyDescent="0.2">
      <c r="A67" s="159"/>
      <c r="B67" s="150"/>
      <c r="C67" s="327"/>
      <c r="D67" s="327"/>
      <c r="E67" s="327"/>
      <c r="F67" s="327"/>
      <c r="G67" s="327"/>
      <c r="H67" s="327"/>
      <c r="I67" s="327"/>
      <c r="J67" s="327"/>
      <c r="K67" s="327"/>
      <c r="L67" s="327"/>
      <c r="M67" s="328"/>
    </row>
    <row r="68" spans="1:13" x14ac:dyDescent="0.2">
      <c r="A68" s="159"/>
      <c r="B68" s="150"/>
      <c r="C68" s="327"/>
      <c r="D68" s="327"/>
      <c r="E68" s="327"/>
      <c r="F68" s="327"/>
      <c r="G68" s="327"/>
      <c r="H68" s="327"/>
      <c r="I68" s="327"/>
      <c r="J68" s="327"/>
      <c r="K68" s="327"/>
      <c r="L68" s="327"/>
      <c r="M68" s="328"/>
    </row>
    <row r="69" spans="1:13" x14ac:dyDescent="0.2">
      <c r="A69" s="159"/>
      <c r="B69" s="150"/>
      <c r="C69" s="327"/>
      <c r="D69" s="327"/>
      <c r="E69" s="327"/>
      <c r="F69" s="327"/>
      <c r="G69" s="327"/>
      <c r="H69" s="327"/>
      <c r="I69" s="327"/>
      <c r="J69" s="327"/>
      <c r="K69" s="327"/>
      <c r="L69" s="327"/>
      <c r="M69" s="328"/>
    </row>
    <row r="70" spans="1:13" ht="12" thickBot="1" x14ac:dyDescent="0.25">
      <c r="A70" s="160"/>
      <c r="B70" s="161"/>
      <c r="C70" s="329"/>
      <c r="D70" s="329"/>
      <c r="E70" s="329"/>
      <c r="F70" s="329"/>
      <c r="G70" s="329"/>
      <c r="H70" s="329"/>
      <c r="I70" s="329"/>
      <c r="J70" s="329"/>
      <c r="K70" s="329"/>
      <c r="L70" s="329"/>
      <c r="M70" s="330"/>
    </row>
    <row r="71" spans="1:13" ht="12" thickTop="1" x14ac:dyDescent="0.2">
      <c r="A71" s="151"/>
      <c r="B71" s="151"/>
      <c r="C71" s="152"/>
      <c r="D71" s="152"/>
      <c r="E71" s="152"/>
      <c r="F71" s="152"/>
      <c r="G71" s="152"/>
      <c r="H71" s="152"/>
      <c r="I71" s="152"/>
      <c r="J71" s="152"/>
      <c r="K71" s="152"/>
      <c r="L71" s="152"/>
    </row>
    <row r="72" spans="1:13" ht="12.75" x14ac:dyDescent="0.2">
      <c r="A72" s="331" t="s">
        <v>831</v>
      </c>
      <c r="B72" s="331"/>
      <c r="C72" s="331"/>
      <c r="D72" s="331"/>
      <c r="E72" s="331"/>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138</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f>IFERROR(SMALL($T$4:$T$75,ROWS($T$4:T4)),"")</f>
        <v>31</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f>IFERROR(SMALL(AE4:$AE$100,ROWS($AE$4:AE4)),"")</f>
        <v>13</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f>IFERROR(SMALL($I$4:$I$325,ROWS($I$4:I5)),"")</f>
        <v>252</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f>IF('School Level Expenditures'!$B$2='School Tables'!W16,'School Tables'!AD16,"")</f>
        <v>13</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f>IF('School Level Expenditures'!$B$2='School Tables'!L34,'School Tables'!S34,"")</f>
        <v>31</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f>IF('School Level Expenditures'!$B$2=A141,'School Tables'!H141,"")</f>
        <v>138</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f>IF('School Level Expenditures'!$B$2=A255,'School Tables'!H255,"")</f>
        <v>252</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42</vt:i4>
      </vt:variant>
    </vt:vector>
  </HeadingPairs>
  <TitlesOfParts>
    <vt:vector size="52"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'ESEA OTHER TITLE PROGRAMS'!Print_Area</vt:lpstr>
      <vt:lpstr>'Food Service Attachment W'!Print_Area</vt:lpstr>
      <vt:lpstr>'Indirect Cost Rate'!Print_Area</vt:lpstr>
      <vt:lpstr>'MS-25'!Print_Area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2023-08-28T16:33:26Z</cp:lastPrinted>
  <dcterms:created xsi:type="dcterms:W3CDTF">1997-12-04T19:04:30Z</dcterms:created>
  <dcterms:modified xsi:type="dcterms:W3CDTF">2023-12-28T18:45:53Z</dcterms:modified>
</cp:coreProperties>
</file>