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FDF9F9FE-21A8-4263-9F67-C625B9CD2FDD}"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9" i="1" l="1"/>
  <c r="F13" i="1"/>
  <c r="F5" i="13"/>
  <c r="F14" i="13"/>
  <c r="F15" i="13"/>
  <c r="E38" i="14"/>
  <c r="D38" i="14"/>
  <c r="G460" i="1"/>
  <c r="F460" i="1"/>
  <c r="H154" i="1"/>
  <c r="H24" i="1"/>
  <c r="H22" i="1"/>
  <c r="H13" i="1"/>
  <c r="H159" i="1" l="1"/>
  <c r="G24" i="1" l="1"/>
  <c r="G48" i="1"/>
  <c r="F24" i="1"/>
  <c r="J473" i="1" l="1"/>
  <c r="I473" i="1"/>
  <c r="H473" i="1"/>
  <c r="G473" i="1"/>
  <c r="F473" i="1"/>
  <c r="J469" i="1"/>
  <c r="I469" i="1"/>
  <c r="G469" i="1"/>
  <c r="P2" i="14" l="1"/>
  <c r="O2" i="14"/>
  <c r="Q43" i="14"/>
  <c r="P43" i="14"/>
  <c r="O43" i="14"/>
  <c r="N43" i="14"/>
  <c r="M43" i="14"/>
  <c r="L43" i="14"/>
  <c r="K43" i="14"/>
  <c r="Q33" i="14"/>
  <c r="P33" i="14"/>
  <c r="O33" i="14"/>
  <c r="N33" i="14"/>
  <c r="M33" i="14"/>
  <c r="L33" i="14"/>
  <c r="K33" i="14"/>
  <c r="Q21" i="14"/>
  <c r="P21" i="14"/>
  <c r="P3" i="14" s="1"/>
  <c r="O21" i="14"/>
  <c r="N21" i="14"/>
  <c r="M21" i="14"/>
  <c r="L21" i="14"/>
  <c r="K21" i="14"/>
  <c r="C2" i="1"/>
  <c r="B2" i="1"/>
  <c r="O3" i="14" l="1"/>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C112" i="2" s="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E120" i="2" s="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I170" i="1" s="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C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D115" i="2"/>
  <c r="F115" i="2"/>
  <c r="G115" i="2"/>
  <c r="C119" i="2"/>
  <c r="E124" i="2"/>
  <c r="E125" i="2"/>
  <c r="F128" i="2"/>
  <c r="G128" i="2"/>
  <c r="C130" i="2"/>
  <c r="D134" i="2"/>
  <c r="D144" i="2" s="1"/>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G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9" i="1"/>
  <c r="H631" i="1"/>
  <c r="H632" i="1"/>
  <c r="H633" i="1"/>
  <c r="H634" i="1"/>
  <c r="H636" i="1"/>
  <c r="H637" i="1"/>
  <c r="H638" i="1"/>
  <c r="H639" i="1"/>
  <c r="G644" i="1"/>
  <c r="G645" i="1"/>
  <c r="G646" i="1"/>
  <c r="G651" i="1"/>
  <c r="G652" i="1"/>
  <c r="H653" i="1"/>
  <c r="G654" i="1"/>
  <c r="H654" i="1"/>
  <c r="H655" i="1"/>
  <c r="H656" i="1"/>
  <c r="J652" i="1" l="1"/>
  <c r="G477" i="1"/>
  <c r="C125" i="2"/>
  <c r="H43" i="2"/>
  <c r="C13" i="10"/>
  <c r="C32" i="10"/>
  <c r="K2" i="14"/>
  <c r="K3" i="14" s="1"/>
  <c r="D18" i="13"/>
  <c r="C18" i="13" s="1"/>
  <c r="C120" i="2"/>
  <c r="G409" i="1"/>
  <c r="H646" i="1" s="1"/>
  <c r="H132" i="2"/>
  <c r="G662" i="1"/>
  <c r="H44" i="2"/>
  <c r="I409" i="1"/>
  <c r="H135" i="2"/>
  <c r="H113" i="2"/>
  <c r="H48" i="2"/>
  <c r="H38" i="2"/>
  <c r="H36" i="2"/>
  <c r="H25" i="2"/>
  <c r="H30" i="2"/>
  <c r="H47" i="2"/>
  <c r="H35" i="2"/>
  <c r="H34" i="2"/>
  <c r="H29" i="2"/>
  <c r="H28" i="2"/>
  <c r="H27" i="2"/>
  <c r="H24" i="2"/>
  <c r="H23" i="2"/>
  <c r="H17" i="2"/>
  <c r="H15" i="2"/>
  <c r="H13" i="2"/>
  <c r="H12" i="2"/>
  <c r="H11" i="2"/>
  <c r="H9" i="2"/>
  <c r="H8" i="2"/>
  <c r="D29" i="13"/>
  <c r="E112" i="2"/>
  <c r="M2" i="14"/>
  <c r="M3" i="14" s="1"/>
  <c r="H125" i="2"/>
  <c r="E121" i="2"/>
  <c r="H120" i="2"/>
  <c r="L2" i="14"/>
  <c r="L3" i="14" s="1"/>
  <c r="H112" i="2"/>
  <c r="D15" i="13"/>
  <c r="C15" i="13" s="1"/>
  <c r="E13" i="13"/>
  <c r="C13" i="13" s="1"/>
  <c r="D6" i="13"/>
  <c r="C6" i="13" s="1"/>
  <c r="C121" i="2"/>
  <c r="N2" i="14"/>
  <c r="N3" i="14" s="1"/>
  <c r="C12" i="10"/>
  <c r="H96" i="2"/>
  <c r="H93" i="2"/>
  <c r="F85" i="2"/>
  <c r="F91" i="2" s="1"/>
  <c r="H73" i="2"/>
  <c r="H72" i="2"/>
  <c r="H59" i="2"/>
  <c r="H98" i="2"/>
  <c r="H87" i="2"/>
  <c r="H80" i="2"/>
  <c r="H76" i="2"/>
  <c r="H58" i="2"/>
  <c r="H102" i="2"/>
  <c r="H101" i="2"/>
  <c r="H100" i="2"/>
  <c r="H99" i="2"/>
  <c r="H97" i="2"/>
  <c r="H89" i="2"/>
  <c r="H79" i="2"/>
  <c r="H77" i="2"/>
  <c r="H69" i="2"/>
  <c r="H61" i="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14" i="2" l="1"/>
  <c r="H21" i="2"/>
  <c r="H42" i="2"/>
  <c r="L572" i="1"/>
  <c r="H134" i="2"/>
  <c r="H16" i="2"/>
  <c r="E51" i="2"/>
  <c r="H50" i="2"/>
  <c r="D51" i="2"/>
  <c r="H31" i="2"/>
  <c r="H18" i="2"/>
  <c r="D128" i="2"/>
  <c r="D145" i="2" s="1"/>
  <c r="H127" i="2"/>
  <c r="H118" i="2"/>
  <c r="H121" i="2"/>
  <c r="H123" i="2"/>
  <c r="H122" i="2"/>
  <c r="E128" i="2"/>
  <c r="H85" i="2"/>
  <c r="H57" i="2"/>
  <c r="H103" i="2"/>
  <c r="H91" i="2"/>
  <c r="I662" i="1"/>
  <c r="H62" i="2"/>
  <c r="C81" i="2"/>
  <c r="H81" i="2" s="1"/>
  <c r="H78" i="2"/>
  <c r="F194" i="1"/>
  <c r="M24" i="14"/>
  <c r="F661" i="1"/>
  <c r="E115" i="2"/>
  <c r="H109" i="2"/>
  <c r="F144" i="2"/>
  <c r="H130" i="2"/>
  <c r="H661" i="1"/>
  <c r="H665" i="1" s="1"/>
  <c r="H194" i="1"/>
  <c r="H649" i="1"/>
  <c r="J649" i="1" s="1"/>
  <c r="C141" i="2"/>
  <c r="F51" i="2"/>
  <c r="G36" i="14"/>
  <c r="H36" i="14" s="1"/>
  <c r="E104" i="2"/>
  <c r="C36" i="10"/>
  <c r="L435" i="1"/>
  <c r="G639" i="1" s="1"/>
  <c r="J639" i="1" s="1"/>
  <c r="F665" i="1"/>
  <c r="F670"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G630" i="1" l="1"/>
  <c r="H469" i="1"/>
  <c r="G628" i="1"/>
  <c r="F469" i="1"/>
  <c r="H51" i="2"/>
  <c r="H128" i="2"/>
  <c r="C144" i="2"/>
  <c r="H144" i="2" s="1"/>
  <c r="H141"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471" i="1"/>
  <c r="H477" i="1" s="1"/>
  <c r="H625" i="1" s="1"/>
  <c r="J625" i="1" s="1"/>
  <c r="H630" i="1"/>
  <c r="J630" i="1" s="1"/>
  <c r="F471" i="1"/>
  <c r="F477" i="1" s="1"/>
  <c r="H623" i="1" s="1"/>
  <c r="H628" i="1"/>
  <c r="J628" i="1" s="1"/>
  <c r="I670" i="1"/>
  <c r="I673" i="1" s="1"/>
  <c r="C7" i="10" s="1"/>
  <c r="F673" i="1"/>
  <c r="C4" i="10" s="1"/>
  <c r="I668" i="1"/>
  <c r="D28" i="10"/>
  <c r="D37" i="10"/>
  <c r="D36" i="10"/>
  <c r="D35" i="10"/>
  <c r="D40" i="10"/>
  <c r="D39" i="10"/>
  <c r="J623" i="1" l="1"/>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<sst xmlns="http://schemas.openxmlformats.org/spreadsheetml/2006/main" count="6557" uniqueCount="1812">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</sst>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1140</v>
      </c>
      <c r="B2">
        <f>INDEX('School Tables'!$AH$3:$AH$209,MATCH('DOE25'!A2,'School Tables'!$AJ$3:$AJ$209,0))</f>
        <v>275</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1691632.32</v>
      </c>
      <c r="G9" s="18">
        <v>0</v>
      </c>
      <c r="H9" s="18">
        <v>0</v>
      </c>
      <c r="I9" s="18">
        <v>0</v>
      </c>
      <c r="J9" s="13">
        <f>SUM(I440)</f>
        <v>670327.42999999993</v>
      </c>
      <c r="K9" s="23" t="s">
        <v>288</v>
      </c>
      <c r="L9" s="23" t="s">
        <v>288</v>
      </c>
      <c r="M9" s="8"/>
      <c r="N9" s="165"/>
    </row>
    <row r="10" spans="1:14" s="3" customFormat="1" ht="12.2" customHeight="1" x14ac:dyDescent="0.15">
      <c r="A10" s="1" t="s">
        <v>562</v>
      </c>
      <c r="B10" s="2" t="s">
        <v>289</v>
      </c>
      <c r="C10" s="6">
        <v>2</v>
      </c>
      <c r="D10" s="2" t="s">
        <v>428</v>
      </c>
      <c r="E10" s="6">
        <v>110</v>
      </c>
      <c r="F10" s="18">
        <v>0</v>
      </c>
      <c r="G10" s="18">
        <v>0</v>
      </c>
      <c r="H10" s="18">
        <v>0</v>
      </c>
      <c r="I10" s="18">
        <v>0</v>
      </c>
      <c r="J10" s="13">
        <f>SUM(I441)</f>
        <v>0</v>
      </c>
      <c r="K10" s="23" t="s">
        <v>288</v>
      </c>
      <c r="L10" s="23" t="s">
        <v>288</v>
      </c>
      <c r="M10" s="8"/>
      <c r="N10" s="165"/>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0</v>
      </c>
      <c r="G12" s="18">
        <v>0</v>
      </c>
      <c r="H12" s="18">
        <v>0</v>
      </c>
      <c r="I12" s="18">
        <v>0</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f>166773.1+14538.58</f>
        <v>181311.68</v>
      </c>
      <c r="G13" s="18">
        <v>439044.71</v>
      </c>
      <c r="H13" s="18">
        <f>200174.33+30512.25+40933.38</f>
        <v>271619.95999999996</v>
      </c>
      <c r="I13" s="18">
        <v>0</v>
      </c>
      <c r="J13" s="13">
        <f>SUM(I443)</f>
        <v>0</v>
      </c>
      <c r="K13" s="23" t="s">
        <v>288</v>
      </c>
      <c r="L13" s="23" t="s">
        <v>288</v>
      </c>
      <c r="M13" s="8"/>
      <c r="N13" s="165"/>
    </row>
    <row r="14" spans="1:14" s="3" customFormat="1" ht="12.2" customHeight="1" x14ac:dyDescent="0.15">
      <c r="A14" s="1" t="s">
        <v>565</v>
      </c>
      <c r="B14" s="2" t="s">
        <v>289</v>
      </c>
      <c r="C14" s="6">
        <v>6</v>
      </c>
      <c r="D14" s="2" t="s">
        <v>428</v>
      </c>
      <c r="E14" s="6">
        <v>150</v>
      </c>
      <c r="F14" s="18">
        <v>0</v>
      </c>
      <c r="G14" s="18">
        <v>0</v>
      </c>
      <c r="H14" s="18">
        <v>0</v>
      </c>
      <c r="I14" s="18">
        <v>0</v>
      </c>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5"/>
    </row>
    <row r="17" spans="1:14" s="3" customFormat="1" ht="12.2" customHeight="1" x14ac:dyDescent="0.15">
      <c r="A17" s="1" t="s">
        <v>567</v>
      </c>
      <c r="B17" s="2" t="s">
        <v>289</v>
      </c>
      <c r="C17" s="6">
        <v>9</v>
      </c>
      <c r="D17" s="2" t="s">
        <v>428</v>
      </c>
      <c r="E17" s="6">
        <v>180</v>
      </c>
      <c r="F17" s="18">
        <v>30283.9</v>
      </c>
      <c r="G17" s="18">
        <v>0</v>
      </c>
      <c r="H17" s="18">
        <v>0</v>
      </c>
      <c r="I17" s="18">
        <v>0</v>
      </c>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1903227.9</v>
      </c>
      <c r="G19" s="38">
        <f>SUM(G9:G18)</f>
        <v>439044.71</v>
      </c>
      <c r="H19" s="38">
        <f>SUM(H9:H18)</f>
        <v>271619.95999999996</v>
      </c>
      <c r="I19" s="38">
        <f>SUM(I9:I18)</f>
        <v>0</v>
      </c>
      <c r="J19" s="38">
        <f>SUM(J9:J18)</f>
        <v>670327.42999999993</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-489873.4</v>
      </c>
      <c r="G22" s="18">
        <v>338349.23</v>
      </c>
      <c r="H22" s="18">
        <f>128615.78-13027.49-322.71+36258.59</f>
        <v>151524.16999999998</v>
      </c>
      <c r="I22" s="18">
        <v>0</v>
      </c>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148707.68</v>
      </c>
      <c r="G23" s="18">
        <v>0</v>
      </c>
      <c r="H23" s="18">
        <v>69854.679999999993</v>
      </c>
      <c r="I23" s="18">
        <v>0</v>
      </c>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16846.84+587284.91</f>
        <v>604131.75</v>
      </c>
      <c r="G24" s="18">
        <f>947.27+4301.39</f>
        <v>5248.66</v>
      </c>
      <c r="H24" s="18">
        <f>13027.49+30834.96+4674.79</f>
        <v>48537.24</v>
      </c>
      <c r="I24" s="18">
        <v>0</v>
      </c>
      <c r="J24" s="13">
        <f>SUM(I451)</f>
        <v>0</v>
      </c>
      <c r="K24" s="23" t="s">
        <v>288</v>
      </c>
      <c r="L24" s="23" t="s">
        <v>288</v>
      </c>
      <c r="M24" s="8"/>
      <c r="N24" s="165"/>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5"/>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5"/>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5"/>
    </row>
    <row r="28" spans="1:14" s="3" customFormat="1" ht="12.2" customHeight="1" x14ac:dyDescent="0.15">
      <c r="A28" s="1" t="s">
        <v>573</v>
      </c>
      <c r="B28" s="2" t="s">
        <v>289</v>
      </c>
      <c r="C28" s="6">
        <v>18</v>
      </c>
      <c r="D28" s="2" t="s">
        <v>429</v>
      </c>
      <c r="E28" s="6">
        <v>460</v>
      </c>
      <c r="F28" s="18">
        <v>47855.77</v>
      </c>
      <c r="G28" s="18">
        <v>0</v>
      </c>
      <c r="H28" s="18">
        <v>0</v>
      </c>
      <c r="I28" s="18">
        <v>0</v>
      </c>
      <c r="J28" s="23" t="s">
        <v>288</v>
      </c>
      <c r="K28" s="23" t="s">
        <v>288</v>
      </c>
      <c r="L28" s="23" t="s">
        <v>288</v>
      </c>
      <c r="M28" s="8"/>
      <c r="N28" s="165"/>
    </row>
    <row r="29" spans="1:14" s="3" customFormat="1" ht="12.2" customHeight="1" x14ac:dyDescent="0.15">
      <c r="A29" s="1" t="s">
        <v>575</v>
      </c>
      <c r="B29" s="2" t="s">
        <v>289</v>
      </c>
      <c r="C29" s="6">
        <v>19</v>
      </c>
      <c r="D29" s="2" t="s">
        <v>429</v>
      </c>
      <c r="E29" s="6">
        <v>470</v>
      </c>
      <c r="F29" s="18">
        <v>26407.759999999998</v>
      </c>
      <c r="G29" s="18">
        <v>0</v>
      </c>
      <c r="H29" s="18">
        <v>0</v>
      </c>
      <c r="I29" s="18">
        <v>0</v>
      </c>
      <c r="J29" s="23" t="s">
        <v>288</v>
      </c>
      <c r="K29" s="23" t="s">
        <v>288</v>
      </c>
      <c r="L29" s="23" t="s">
        <v>288</v>
      </c>
      <c r="M29" s="8"/>
      <c r="N29" s="165"/>
    </row>
    <row r="30" spans="1:14" s="3" customFormat="1" ht="12.2" customHeight="1" x14ac:dyDescent="0.15">
      <c r="A30" s="1" t="s">
        <v>576</v>
      </c>
      <c r="B30" s="2" t="s">
        <v>289</v>
      </c>
      <c r="C30" s="6">
        <v>20</v>
      </c>
      <c r="D30" s="2" t="s">
        <v>429</v>
      </c>
      <c r="E30" s="6">
        <v>480</v>
      </c>
      <c r="F30" s="18">
        <v>0</v>
      </c>
      <c r="G30" s="18">
        <v>19682.5</v>
      </c>
      <c r="H30" s="18">
        <v>1442.82</v>
      </c>
      <c r="I30" s="18">
        <v>0</v>
      </c>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v>0</v>
      </c>
      <c r="H31" s="18">
        <v>0</v>
      </c>
      <c r="I31" s="18">
        <v>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337229.56</v>
      </c>
      <c r="G32" s="38">
        <f>SUM(G22:G31)</f>
        <v>363280.38999999996</v>
      </c>
      <c r="H32" s="38">
        <f>SUM(H22:H31)</f>
        <v>271358.90999999997</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5"/>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5"/>
    </row>
    <row r="37" spans="1:14" s="3" customFormat="1" ht="12.2" customHeight="1" x14ac:dyDescent="0.15">
      <c r="A37" s="1" t="s">
        <v>851</v>
      </c>
      <c r="B37" s="6">
        <v>1</v>
      </c>
      <c r="C37" s="6">
        <v>25</v>
      </c>
      <c r="D37" s="2" t="s">
        <v>653</v>
      </c>
      <c r="E37" s="6">
        <v>756</v>
      </c>
      <c r="F37" s="18">
        <v>0</v>
      </c>
      <c r="G37" s="18">
        <v>0</v>
      </c>
      <c r="H37" s="18">
        <v>0</v>
      </c>
      <c r="I37" s="18">
        <v>0</v>
      </c>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v>0</v>
      </c>
      <c r="G39" s="18">
        <v>0</v>
      </c>
      <c r="H39" s="18"/>
      <c r="I39" s="18">
        <v>0</v>
      </c>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v>0</v>
      </c>
      <c r="G43" s="18">
        <v>0</v>
      </c>
      <c r="H43" s="18">
        <v>0</v>
      </c>
      <c r="I43" s="18">
        <v>0</v>
      </c>
      <c r="J43" s="13">
        <f>SUM(I457)</f>
        <v>0</v>
      </c>
      <c r="K43" s="23" t="s">
        <v>288</v>
      </c>
      <c r="L43" s="23" t="s">
        <v>288</v>
      </c>
      <c r="M43" s="8"/>
      <c r="N43" s="165"/>
    </row>
    <row r="44" spans="1:14" s="3" customFormat="1" ht="12.2" customHeight="1" x14ac:dyDescent="0.15">
      <c r="A44" s="1" t="s">
        <v>836</v>
      </c>
      <c r="B44" s="6">
        <v>1</v>
      </c>
      <c r="C44" s="6">
        <v>30</v>
      </c>
      <c r="D44" s="2" t="s">
        <v>653</v>
      </c>
      <c r="E44" s="6">
        <v>755</v>
      </c>
      <c r="F44" s="18">
        <v>0</v>
      </c>
      <c r="G44" s="18">
        <v>0</v>
      </c>
      <c r="H44" s="18">
        <v>0</v>
      </c>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v>0</v>
      </c>
      <c r="H45" s="18"/>
      <c r="I45" s="18"/>
      <c r="J45" s="13">
        <f>I456</f>
        <v>0</v>
      </c>
      <c r="K45" s="23" t="s">
        <v>288</v>
      </c>
      <c r="L45" s="23" t="s">
        <v>288</v>
      </c>
      <c r="M45" s="8"/>
      <c r="N45" s="165"/>
    </row>
    <row r="46" spans="1:14" s="3" customFormat="1" ht="12.2" customHeight="1" x14ac:dyDescent="0.15">
      <c r="A46" s="1" t="s">
        <v>873</v>
      </c>
      <c r="B46" s="6">
        <v>1</v>
      </c>
      <c r="C46" s="6">
        <v>32</v>
      </c>
      <c r="D46" s="2"/>
      <c r="E46" s="6"/>
      <c r="F46" s="18">
        <v>350000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0</v>
      </c>
      <c r="G48" s="18">
        <f>86728.39-10964.07</f>
        <v>75764.320000000007</v>
      </c>
      <c r="H48" s="18">
        <v>261.05</v>
      </c>
      <c r="I48" s="18"/>
      <c r="J48" s="13">
        <f>SUM(I460)</f>
        <v>670327.42999999993</v>
      </c>
      <c r="K48" s="23" t="s">
        <v>288</v>
      </c>
      <c r="L48" s="23" t="s">
        <v>288</v>
      </c>
      <c r="M48" s="8"/>
      <c r="N48" s="165"/>
    </row>
    <row r="49" spans="1:14" s="3" customFormat="1" ht="12.2" customHeight="1" x14ac:dyDescent="0.15">
      <c r="A49" s="1" t="s">
        <v>858</v>
      </c>
      <c r="B49" s="2" t="s">
        <v>289</v>
      </c>
      <c r="C49" s="6">
        <v>34</v>
      </c>
      <c r="D49" s="2"/>
      <c r="E49" s="6">
        <v>753</v>
      </c>
      <c r="F49" s="18">
        <f>782400+14538.58</f>
        <v>796938.58</v>
      </c>
      <c r="G49" s="18"/>
      <c r="H49" s="18"/>
      <c r="I49" s="18">
        <v>0</v>
      </c>
      <c r="J49" s="13">
        <f>I455</f>
        <v>0</v>
      </c>
      <c r="K49" s="23"/>
      <c r="L49" s="23"/>
      <c r="M49" s="8"/>
      <c r="N49" s="165"/>
    </row>
    <row r="50" spans="1:14" s="3" customFormat="1" ht="12.2" customHeight="1" thickBot="1" x14ac:dyDescent="0.2">
      <c r="A50" s="28" t="s">
        <v>839</v>
      </c>
      <c r="B50" s="2" t="s">
        <v>289</v>
      </c>
      <c r="C50" s="56">
        <v>35</v>
      </c>
      <c r="D50" s="2" t="s">
        <v>653</v>
      </c>
      <c r="E50" s="6">
        <v>770</v>
      </c>
      <c r="F50" s="18">
        <v>419059.76</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1565998.34</v>
      </c>
      <c r="G51" s="38">
        <f>SUM(G35:G50)</f>
        <v>75764.320000000007</v>
      </c>
      <c r="H51" s="38">
        <f>SUM(H35:H50)</f>
        <v>261.05</v>
      </c>
      <c r="I51" s="38">
        <f>SUM(I35:I50)</f>
        <v>0</v>
      </c>
      <c r="J51" s="38">
        <f>SUM(J35:J50)</f>
        <v>670327.42999999993</v>
      </c>
      <c r="K51" s="42" t="s">
        <v>288</v>
      </c>
      <c r="L51" s="42" t="s">
        <v>288</v>
      </c>
      <c r="N51" s="131"/>
    </row>
    <row r="52" spans="1:14" s="3" customFormat="1" ht="12.2" customHeight="1" thickTop="1" x14ac:dyDescent="0.15">
      <c r="A52" s="35" t="s">
        <v>455</v>
      </c>
      <c r="B52" s="36" t="s">
        <v>289</v>
      </c>
      <c r="C52" s="6">
        <v>37</v>
      </c>
      <c r="D52" s="36" t="s">
        <v>653</v>
      </c>
      <c r="E52" s="36"/>
      <c r="F52" s="38">
        <f>F51+F32</f>
        <v>1903227.9000000001</v>
      </c>
      <c r="G52" s="38">
        <f>G51+G32</f>
        <v>439044.70999999996</v>
      </c>
      <c r="H52" s="38">
        <f>H51+H32</f>
        <v>271619.95999999996</v>
      </c>
      <c r="I52" s="38">
        <f>I51+I32</f>
        <v>0</v>
      </c>
      <c r="J52" s="38">
        <f>J51+J32</f>
        <v>670327.42999999993</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9261282</v>
      </c>
      <c r="G57" s="18">
        <v>0</v>
      </c>
      <c r="H57" s="18">
        <v>0</v>
      </c>
      <c r="I57" s="18">
        <v>0</v>
      </c>
      <c r="J57" s="18">
        <v>0</v>
      </c>
      <c r="K57" s="23" t="s">
        <v>288</v>
      </c>
      <c r="L57" s="23" t="s">
        <v>288</v>
      </c>
      <c r="M57" s="8"/>
      <c r="N57" s="165"/>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v>0</v>
      </c>
      <c r="G59" s="18">
        <v>0</v>
      </c>
      <c r="H59" s="18">
        <v>0</v>
      </c>
      <c r="I59" s="18">
        <v>0</v>
      </c>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9261282</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0</v>
      </c>
      <c r="G63" s="23" t="s">
        <v>288</v>
      </c>
      <c r="H63" s="18">
        <v>0</v>
      </c>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21720.77</v>
      </c>
      <c r="G68" s="23" t="s">
        <v>288</v>
      </c>
      <c r="H68" s="18">
        <v>0</v>
      </c>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0</v>
      </c>
      <c r="G69" s="23" t="s">
        <v>288</v>
      </c>
      <c r="H69" s="18">
        <v>0</v>
      </c>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21720.77</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v>0</v>
      </c>
      <c r="G93" s="23" t="s">
        <v>288</v>
      </c>
      <c r="H93" s="18">
        <v>0</v>
      </c>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34405.599999999999</v>
      </c>
      <c r="G96" s="18">
        <v>0</v>
      </c>
      <c r="H96" s="18">
        <v>0</v>
      </c>
      <c r="I96" s="18">
        <v>0</v>
      </c>
      <c r="J96" s="18">
        <v>669.97</v>
      </c>
      <c r="K96" s="23" t="s">
        <v>288</v>
      </c>
      <c r="L96" s="23" t="s">
        <v>288</v>
      </c>
      <c r="M96" s="8"/>
      <c r="N96" s="165"/>
    </row>
    <row r="97" spans="1:14" s="3" customFormat="1" ht="12.2" customHeight="1" x14ac:dyDescent="0.15">
      <c r="A97" s="1" t="s">
        <v>503</v>
      </c>
      <c r="B97" s="2" t="s">
        <v>315</v>
      </c>
      <c r="C97" s="6">
        <v>12</v>
      </c>
      <c r="D97" s="2" t="s">
        <v>430</v>
      </c>
      <c r="E97" s="6">
        <v>1600</v>
      </c>
      <c r="F97" s="23" t="s">
        <v>288</v>
      </c>
      <c r="G97" s="18">
        <v>242491.3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v>0</v>
      </c>
      <c r="G101" s="18">
        <v>0</v>
      </c>
      <c r="H101" s="18">
        <v>0</v>
      </c>
      <c r="I101" s="18">
        <v>0</v>
      </c>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0</v>
      </c>
      <c r="G102" s="18">
        <v>0</v>
      </c>
      <c r="H102" s="18">
        <v>0</v>
      </c>
      <c r="I102" s="18">
        <v>0</v>
      </c>
      <c r="J102" s="18"/>
      <c r="K102" s="23" t="s">
        <v>288</v>
      </c>
      <c r="L102" s="23" t="s">
        <v>288</v>
      </c>
      <c r="M102" s="8"/>
      <c r="N102" s="165"/>
    </row>
    <row r="103" spans="1:14" s="3" customFormat="1" ht="12.2" customHeight="1" x14ac:dyDescent="0.15">
      <c r="A103" s="1" t="s">
        <v>507</v>
      </c>
      <c r="B103" s="2" t="s">
        <v>315</v>
      </c>
      <c r="C103" s="6">
        <v>17</v>
      </c>
      <c r="D103" s="2" t="s">
        <v>430</v>
      </c>
      <c r="E103" s="6">
        <v>1930</v>
      </c>
      <c r="F103" s="18">
        <v>3890</v>
      </c>
      <c r="G103" s="18">
        <v>0</v>
      </c>
      <c r="H103" s="18">
        <v>0</v>
      </c>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v>0</v>
      </c>
      <c r="G105" s="18">
        <v>0</v>
      </c>
      <c r="H105" s="18">
        <v>0</v>
      </c>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v>0</v>
      </c>
      <c r="G108" s="18">
        <v>0</v>
      </c>
      <c r="H108" s="18">
        <v>0</v>
      </c>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4477.8999999999996</v>
      </c>
      <c r="G109" s="18">
        <v>0</v>
      </c>
      <c r="H109" s="18">
        <v>0</v>
      </c>
      <c r="I109" s="18">
        <v>0</v>
      </c>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29480.560000000001</v>
      </c>
      <c r="G110" s="18">
        <v>0</v>
      </c>
      <c r="H110" s="18">
        <v>0</v>
      </c>
      <c r="I110" s="18">
        <v>0</v>
      </c>
      <c r="J110" s="18">
        <v>0</v>
      </c>
      <c r="K110" s="23" t="s">
        <v>288</v>
      </c>
      <c r="L110" s="23" t="s">
        <v>288</v>
      </c>
      <c r="M110" s="8"/>
      <c r="N110" s="165"/>
    </row>
    <row r="111" spans="1:14" ht="12.2" customHeight="1" thickTop="1" thickBot="1" x14ac:dyDescent="0.25">
      <c r="A111" s="35" t="s">
        <v>433</v>
      </c>
      <c r="B111" s="36" t="s">
        <v>315</v>
      </c>
      <c r="C111" s="37">
        <v>25</v>
      </c>
      <c r="D111" s="36" t="s">
        <v>430</v>
      </c>
      <c r="E111" s="37"/>
      <c r="F111" s="38">
        <f>SUM(F96:F110)</f>
        <v>72254.06</v>
      </c>
      <c r="G111" s="38">
        <f>SUM(G96:G110)</f>
        <v>242491.3</v>
      </c>
      <c r="H111" s="38">
        <f>SUM(H96:H110)</f>
        <v>0</v>
      </c>
      <c r="I111" s="38">
        <f>SUM(I96:I110)</f>
        <v>0</v>
      </c>
      <c r="J111" s="38">
        <f>SUM(J96:J110)</f>
        <v>669.97</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9355256.8300000001</v>
      </c>
      <c r="G112" s="38">
        <f>G60+G111</f>
        <v>242491.3</v>
      </c>
      <c r="H112" s="38">
        <f>H60+H79+H94+H111</f>
        <v>0</v>
      </c>
      <c r="I112" s="38">
        <f>I60+I111</f>
        <v>0</v>
      </c>
      <c r="J112" s="38">
        <f>J60+J111</f>
        <v>669.97</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2990974.04</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631992</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66694.320000000007</v>
      </c>
      <c r="G120" s="18">
        <v>0</v>
      </c>
      <c r="H120" s="18">
        <v>0</v>
      </c>
      <c r="I120" s="18">
        <v>0</v>
      </c>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3689660.36</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0</v>
      </c>
      <c r="G123" s="23" t="s">
        <v>288</v>
      </c>
      <c r="H123" s="23" t="s">
        <v>288</v>
      </c>
      <c r="I123" s="18">
        <v>0</v>
      </c>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5"/>
    </row>
    <row r="125" spans="1:14" s="3" customFormat="1" ht="12.2" customHeight="1" x14ac:dyDescent="0.15">
      <c r="A125" s="1" t="s">
        <v>895</v>
      </c>
      <c r="B125" s="2" t="s">
        <v>321</v>
      </c>
      <c r="C125" s="6">
        <v>8</v>
      </c>
      <c r="D125" s="2" t="s">
        <v>430</v>
      </c>
      <c r="E125" s="6">
        <v>3220</v>
      </c>
      <c r="F125" s="18">
        <v>0</v>
      </c>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130247.97</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17709</v>
      </c>
      <c r="G128" s="23" t="s">
        <v>288</v>
      </c>
      <c r="H128" s="18">
        <v>0</v>
      </c>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v>0</v>
      </c>
      <c r="G129" s="23" t="s">
        <v>288</v>
      </c>
      <c r="H129" s="18">
        <v>0</v>
      </c>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v>0</v>
      </c>
      <c r="G130" s="23" t="s">
        <v>288</v>
      </c>
      <c r="H130" s="18">
        <v>5425</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4561.7</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5"/>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147956.97</v>
      </c>
      <c r="G136" s="38">
        <f>SUM(G123:G135)</f>
        <v>4561.7</v>
      </c>
      <c r="H136" s="38">
        <f>SUM(H123:H135)</f>
        <v>5425</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v>0</v>
      </c>
      <c r="G137" s="18">
        <v>0</v>
      </c>
      <c r="H137" s="18">
        <v>0</v>
      </c>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v>0</v>
      </c>
      <c r="G138" s="23" t="s">
        <v>288</v>
      </c>
      <c r="H138" s="18">
        <v>0</v>
      </c>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3837617.33</v>
      </c>
      <c r="G140" s="38">
        <f>G121+SUM(G136:G137)</f>
        <v>4561.7</v>
      </c>
      <c r="H140" s="38">
        <f>H121+SUM(H136:H139)</f>
        <v>5425</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v>14338.58</v>
      </c>
      <c r="G145" s="18">
        <v>0</v>
      </c>
      <c r="H145" s="18">
        <v>7139.68</v>
      </c>
      <c r="I145" s="18">
        <v>0</v>
      </c>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14338.58</v>
      </c>
      <c r="G147" s="38">
        <f>SUM(G145:G146)</f>
        <v>0</v>
      </c>
      <c r="H147" s="38">
        <f>SUM(H145:H146)</f>
        <v>7139.68</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f>55317.82-8716.6</f>
        <v>46601.22</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20170.2</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v>0</v>
      </c>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117383.25</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122924.42-7563.64</f>
        <v>115360.78</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35257.22</v>
      </c>
      <c r="G160" s="23" t="s">
        <v>288</v>
      </c>
      <c r="H160" s="18">
        <v>0</v>
      </c>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v>0</v>
      </c>
      <c r="G161" s="18">
        <v>0</v>
      </c>
      <c r="H161" s="18"/>
      <c r="I161" s="18">
        <v>0</v>
      </c>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190119.51</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35257.22</v>
      </c>
      <c r="G163" s="38">
        <f>SUM(G150:G162)</f>
        <v>117383.25</v>
      </c>
      <c r="H163" s="38">
        <f>SUM(H150:H162)</f>
        <v>372251.71</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49595.8</v>
      </c>
      <c r="G170" s="38">
        <f>G147+G163+SUM(G164:G169)</f>
        <v>117383.25</v>
      </c>
      <c r="H170" s="38">
        <f>H147+H163+SUM(H164:H169)</f>
        <v>379391.39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0</v>
      </c>
      <c r="H180" s="18">
        <v>0</v>
      </c>
      <c r="I180" s="18">
        <v>0</v>
      </c>
      <c r="J180" s="18">
        <v>0</v>
      </c>
      <c r="K180" s="23" t="s">
        <v>288</v>
      </c>
      <c r="L180" s="23" t="s">
        <v>288</v>
      </c>
      <c r="M180" s="8"/>
      <c r="N180" s="165"/>
    </row>
    <row r="181" spans="1:14" s="3" customFormat="1" ht="12.2" customHeight="1" x14ac:dyDescent="0.15">
      <c r="A181" s="1" t="s">
        <v>525</v>
      </c>
      <c r="B181" s="2" t="s">
        <v>330</v>
      </c>
      <c r="C181" s="6">
        <v>7</v>
      </c>
      <c r="D181" s="2" t="s">
        <v>430</v>
      </c>
      <c r="E181" s="6">
        <v>5221</v>
      </c>
      <c r="F181" s="18">
        <v>0</v>
      </c>
      <c r="G181" s="23" t="s">
        <v>288</v>
      </c>
      <c r="H181" s="18">
        <v>0</v>
      </c>
      <c r="I181" s="18">
        <v>0</v>
      </c>
      <c r="J181" s="18"/>
      <c r="K181" s="23" t="s">
        <v>288</v>
      </c>
      <c r="L181" s="23" t="s">
        <v>288</v>
      </c>
      <c r="M181" s="8"/>
      <c r="N181" s="165"/>
    </row>
    <row r="182" spans="1:14" s="3" customFormat="1" ht="12.2" customHeight="1" x14ac:dyDescent="0.15">
      <c r="A182" s="3" t="s">
        <v>526</v>
      </c>
      <c r="B182" s="2" t="s">
        <v>330</v>
      </c>
      <c r="C182" s="6">
        <v>8</v>
      </c>
      <c r="D182" s="2" t="s">
        <v>430</v>
      </c>
      <c r="E182" s="6">
        <v>5222</v>
      </c>
      <c r="F182" s="18">
        <v>0</v>
      </c>
      <c r="G182" s="18">
        <v>0</v>
      </c>
      <c r="H182" s="23" t="s">
        <v>288</v>
      </c>
      <c r="I182" s="18">
        <v>0</v>
      </c>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v>0</v>
      </c>
      <c r="G183" s="18">
        <v>0</v>
      </c>
      <c r="H183" s="18">
        <v>0</v>
      </c>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5"/>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1"/>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v>0</v>
      </c>
      <c r="G192" s="18">
        <v>0</v>
      </c>
      <c r="H192" s="18">
        <v>0</v>
      </c>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13242469.960000001</v>
      </c>
      <c r="G194" s="38">
        <f>G112+G140+G170+G193</f>
        <v>364436.25</v>
      </c>
      <c r="H194" s="38">
        <f>H112+H140+H170+H193</f>
        <v>384816.39</v>
      </c>
      <c r="I194" s="38">
        <f>I112+I140+I170+I193</f>
        <v>0</v>
      </c>
      <c r="J194" s="38">
        <f>J112+J140+J193</f>
        <v>669.97</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c r="G198" s="18"/>
      <c r="H198" s="18"/>
      <c r="I198" s="18"/>
      <c r="J198" s="18"/>
      <c r="K198" s="18"/>
      <c r="L198" s="13">
        <f>SUM(F198:K198)</f>
        <v>0</v>
      </c>
      <c r="M198" s="8"/>
      <c r="N198" s="165"/>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5"/>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5"/>
    </row>
    <row r="205" spans="1:14" s="3" customFormat="1" ht="12.2" customHeight="1" x14ac:dyDescent="0.15">
      <c r="A205" s="1" t="s">
        <v>444</v>
      </c>
      <c r="B205" s="2" t="s">
        <v>341</v>
      </c>
      <c r="C205" s="2" t="s">
        <v>296</v>
      </c>
      <c r="D205" s="2" t="s">
        <v>431</v>
      </c>
      <c r="E205" s="6">
        <v>2300</v>
      </c>
      <c r="F205" s="18"/>
      <c r="G205" s="18"/>
      <c r="H205" s="18"/>
      <c r="I205" s="18"/>
      <c r="J205" s="18"/>
      <c r="K205" s="18"/>
      <c r="L205" s="13">
        <f t="shared" si="0"/>
        <v>0</v>
      </c>
      <c r="M205" s="8"/>
      <c r="N205" s="165"/>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5"/>
    </row>
    <row r="209" spans="1:14" s="3" customFormat="1" ht="12.2" customHeight="1" x14ac:dyDescent="0.15">
      <c r="A209" s="1" t="s">
        <v>448</v>
      </c>
      <c r="B209" s="2" t="s">
        <v>341</v>
      </c>
      <c r="C209" s="2" t="s">
        <v>300</v>
      </c>
      <c r="D209" s="2" t="s">
        <v>431</v>
      </c>
      <c r="E209" s="6">
        <v>2700</v>
      </c>
      <c r="F209" s="18"/>
      <c r="G209" s="18"/>
      <c r="H209" s="18"/>
      <c r="I209" s="18"/>
      <c r="J209" s="18"/>
      <c r="K209" s="18"/>
      <c r="L209" s="13">
        <f t="shared" si="0"/>
        <v>0</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0</v>
      </c>
      <c r="I212" s="38">
        <f t="shared" si="1"/>
        <v>0</v>
      </c>
      <c r="J212" s="38">
        <f t="shared" si="1"/>
        <v>0</v>
      </c>
      <c r="K212" s="38">
        <f t="shared" si="1"/>
        <v>0</v>
      </c>
      <c r="L212" s="38">
        <f t="shared" si="1"/>
        <v>0</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3087959.21</v>
      </c>
      <c r="G234" s="18">
        <v>1777560.66</v>
      </c>
      <c r="H234" s="18">
        <v>245021.83</v>
      </c>
      <c r="I234" s="18">
        <v>118919.3</v>
      </c>
      <c r="J234" s="18">
        <v>128898.27</v>
      </c>
      <c r="K234" s="18">
        <v>4581.26</v>
      </c>
      <c r="L234" s="13">
        <f>SUM(F234:K234)</f>
        <v>5362940.5299999993</v>
      </c>
      <c r="M234" s="8"/>
      <c r="N234" s="165"/>
    </row>
    <row r="235" spans="1:14" s="3" customFormat="1" ht="12.2" customHeight="1" x14ac:dyDescent="0.15">
      <c r="A235" s="1" t="s">
        <v>439</v>
      </c>
      <c r="B235" s="2" t="s">
        <v>350</v>
      </c>
      <c r="C235" s="2" t="s">
        <v>291</v>
      </c>
      <c r="D235" s="2" t="s">
        <v>431</v>
      </c>
      <c r="E235" s="6">
        <v>1200</v>
      </c>
      <c r="F235" s="18">
        <v>702744.13</v>
      </c>
      <c r="G235" s="18">
        <v>355543.91</v>
      </c>
      <c r="H235" s="18">
        <v>865941.27</v>
      </c>
      <c r="I235" s="18">
        <v>3560.09</v>
      </c>
      <c r="J235" s="18">
        <v>0</v>
      </c>
      <c r="K235" s="18">
        <v>7630.65</v>
      </c>
      <c r="L235" s="13">
        <f>SUM(F235:K235)</f>
        <v>1935420.05</v>
      </c>
      <c r="M235" s="8"/>
      <c r="N235" s="165"/>
    </row>
    <row r="236" spans="1:14" s="3" customFormat="1" ht="12.2" customHeight="1" x14ac:dyDescent="0.15">
      <c r="A236" s="1" t="s">
        <v>440</v>
      </c>
      <c r="B236" s="2" t="s">
        <v>350</v>
      </c>
      <c r="C236" s="2" t="s">
        <v>292</v>
      </c>
      <c r="D236" s="2" t="s">
        <v>431</v>
      </c>
      <c r="E236" s="6">
        <v>1300</v>
      </c>
      <c r="F236" s="18">
        <v>0</v>
      </c>
      <c r="G236" s="18">
        <v>0</v>
      </c>
      <c r="H236" s="18">
        <v>120080.74</v>
      </c>
      <c r="I236" s="18">
        <v>0</v>
      </c>
      <c r="J236" s="18">
        <v>0</v>
      </c>
      <c r="K236" s="18">
        <v>0</v>
      </c>
      <c r="L236" s="13">
        <f>SUM(F236:K236)</f>
        <v>120080.74</v>
      </c>
      <c r="M236" s="8"/>
      <c r="N236" s="165"/>
    </row>
    <row r="237" spans="1:14" s="3" customFormat="1" ht="12.2" customHeight="1" x14ac:dyDescent="0.15">
      <c r="A237" s="1" t="s">
        <v>441</v>
      </c>
      <c r="B237" s="2" t="s">
        <v>350</v>
      </c>
      <c r="C237" s="2" t="s">
        <v>293</v>
      </c>
      <c r="D237" s="2" t="s">
        <v>431</v>
      </c>
      <c r="E237" s="6">
        <v>1400</v>
      </c>
      <c r="F237" s="18">
        <v>342377.86</v>
      </c>
      <c r="G237" s="18">
        <v>87138.2</v>
      </c>
      <c r="H237" s="18">
        <v>52231.81</v>
      </c>
      <c r="I237" s="18">
        <v>34579.11</v>
      </c>
      <c r="J237" s="18">
        <v>44461.41</v>
      </c>
      <c r="K237" s="18">
        <v>41749.730000000003</v>
      </c>
      <c r="L237" s="13">
        <f>SUM(F237:K237)</f>
        <v>602538.12</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646508.29</v>
      </c>
      <c r="G239" s="18">
        <v>335776.99</v>
      </c>
      <c r="H239" s="18">
        <v>105293.02</v>
      </c>
      <c r="I239" s="18">
        <v>5638.81</v>
      </c>
      <c r="J239" s="18">
        <v>0</v>
      </c>
      <c r="K239" s="18">
        <v>0</v>
      </c>
      <c r="L239" s="13">
        <f t="shared" ref="L239:L245" si="4">SUM(F239:K239)</f>
        <v>1093217.1100000001</v>
      </c>
      <c r="M239" s="8"/>
      <c r="N239" s="165"/>
    </row>
    <row r="240" spans="1:14" s="3" customFormat="1" ht="12.2" customHeight="1" x14ac:dyDescent="0.15">
      <c r="A240" s="1" t="s">
        <v>443</v>
      </c>
      <c r="B240" s="2" t="s">
        <v>350</v>
      </c>
      <c r="C240" s="2" t="s">
        <v>295</v>
      </c>
      <c r="D240" s="2" t="s">
        <v>431</v>
      </c>
      <c r="E240" s="6">
        <v>2200</v>
      </c>
      <c r="F240" s="18">
        <v>215104.1</v>
      </c>
      <c r="G240" s="18">
        <v>158069.13</v>
      </c>
      <c r="H240" s="18">
        <v>4407.47</v>
      </c>
      <c r="I240" s="18">
        <v>30704.28</v>
      </c>
      <c r="J240" s="18">
        <v>125090.78</v>
      </c>
      <c r="K240" s="18">
        <v>93160.38</v>
      </c>
      <c r="L240" s="13">
        <f t="shared" si="4"/>
        <v>626536.14</v>
      </c>
      <c r="M240" s="8"/>
      <c r="N240" s="165"/>
    </row>
    <row r="241" spans="1:14" s="3" customFormat="1" ht="12.2" customHeight="1" x14ac:dyDescent="0.15">
      <c r="A241" s="1" t="s">
        <v>444</v>
      </c>
      <c r="B241" s="2" t="s">
        <v>350</v>
      </c>
      <c r="C241" s="2" t="s">
        <v>296</v>
      </c>
      <c r="D241" s="2" t="s">
        <v>431</v>
      </c>
      <c r="E241" s="6">
        <v>2300</v>
      </c>
      <c r="F241" s="18">
        <v>7334.93</v>
      </c>
      <c r="G241" s="18">
        <v>40413.68</v>
      </c>
      <c r="H241" s="18">
        <v>476809.35</v>
      </c>
      <c r="I241" s="18">
        <v>775.74</v>
      </c>
      <c r="J241" s="18">
        <v>0</v>
      </c>
      <c r="K241" s="18">
        <v>6279.42</v>
      </c>
      <c r="L241" s="13">
        <f t="shared" si="4"/>
        <v>531613.12</v>
      </c>
      <c r="M241" s="8"/>
      <c r="N241" s="165"/>
    </row>
    <row r="242" spans="1:14" s="3" customFormat="1" ht="12.2" customHeight="1" x14ac:dyDescent="0.15">
      <c r="A242" s="1" t="s">
        <v>445</v>
      </c>
      <c r="B242" s="2" t="s">
        <v>350</v>
      </c>
      <c r="C242" s="2" t="s">
        <v>297</v>
      </c>
      <c r="D242" s="2" t="s">
        <v>431</v>
      </c>
      <c r="E242" s="6">
        <v>2400</v>
      </c>
      <c r="F242" s="18">
        <v>516296.74</v>
      </c>
      <c r="G242" s="18">
        <v>300359.64</v>
      </c>
      <c r="H242" s="18">
        <v>43731.27</v>
      </c>
      <c r="I242" s="18">
        <v>1666.91</v>
      </c>
      <c r="J242" s="18">
        <v>0</v>
      </c>
      <c r="K242" s="18">
        <v>35318.199999999997</v>
      </c>
      <c r="L242" s="13">
        <f t="shared" si="4"/>
        <v>897372.76</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5"/>
    </row>
    <row r="244" spans="1:14" s="3" customFormat="1" ht="12.2" customHeight="1" x14ac:dyDescent="0.15">
      <c r="A244" s="1" t="s">
        <v>447</v>
      </c>
      <c r="B244" s="2" t="s">
        <v>350</v>
      </c>
      <c r="C244" s="2" t="s">
        <v>299</v>
      </c>
      <c r="D244" s="2" t="s">
        <v>431</v>
      </c>
      <c r="E244" s="6">
        <v>2600</v>
      </c>
      <c r="F244" s="18">
        <v>361091.49</v>
      </c>
      <c r="G244" s="18">
        <v>179243.27</v>
      </c>
      <c r="H244" s="18">
        <v>563048.75</v>
      </c>
      <c r="I244" s="18">
        <v>167736.28</v>
      </c>
      <c r="J244" s="18">
        <v>13919.64</v>
      </c>
      <c r="K244" s="18">
        <v>0</v>
      </c>
      <c r="L244" s="13">
        <f t="shared" si="4"/>
        <v>1285039.43</v>
      </c>
      <c r="M244" s="8"/>
      <c r="N244" s="165"/>
    </row>
    <row r="245" spans="1:14" s="3" customFormat="1" ht="12.2" customHeight="1" x14ac:dyDescent="0.15">
      <c r="A245" s="1" t="s">
        <v>448</v>
      </c>
      <c r="B245" s="2" t="s">
        <v>350</v>
      </c>
      <c r="C245" s="2" t="s">
        <v>300</v>
      </c>
      <c r="D245" s="2" t="s">
        <v>431</v>
      </c>
      <c r="E245" s="6">
        <v>2700</v>
      </c>
      <c r="F245" s="18">
        <v>0</v>
      </c>
      <c r="G245" s="18">
        <v>0</v>
      </c>
      <c r="H245" s="18">
        <v>689808.19</v>
      </c>
      <c r="I245" s="18">
        <v>0</v>
      </c>
      <c r="J245" s="18">
        <v>0</v>
      </c>
      <c r="K245" s="18">
        <v>0</v>
      </c>
      <c r="L245" s="13">
        <f t="shared" si="4"/>
        <v>689808.19</v>
      </c>
      <c r="M245" s="8"/>
      <c r="N245" s="1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5879416.75</v>
      </c>
      <c r="G248" s="38">
        <f t="shared" si="5"/>
        <v>3234105.48</v>
      </c>
      <c r="H248" s="38">
        <f t="shared" si="5"/>
        <v>3166373.7</v>
      </c>
      <c r="I248" s="38">
        <f t="shared" si="5"/>
        <v>363580.52</v>
      </c>
      <c r="J248" s="38">
        <f t="shared" si="5"/>
        <v>312370.09999999998</v>
      </c>
      <c r="K248" s="38">
        <f t="shared" si="5"/>
        <v>188719.64</v>
      </c>
      <c r="L248" s="38">
        <f t="shared" si="5"/>
        <v>13144566.189999998</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v>0</v>
      </c>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5879416.75</v>
      </c>
      <c r="G258" s="38">
        <f t="shared" si="8"/>
        <v>3234105.48</v>
      </c>
      <c r="H258" s="38">
        <f t="shared" si="8"/>
        <v>3166373.7</v>
      </c>
      <c r="I258" s="38">
        <f t="shared" si="8"/>
        <v>363580.52</v>
      </c>
      <c r="J258" s="38">
        <f t="shared" si="8"/>
        <v>312370.09999999998</v>
      </c>
      <c r="K258" s="38">
        <f t="shared" si="8"/>
        <v>188719.64</v>
      </c>
      <c r="L258" s="38">
        <f t="shared" si="8"/>
        <v>13144566.189999998</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78342.87</v>
      </c>
      <c r="L261" s="13">
        <f>SUM(F261:K261)</f>
        <v>78342.87</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26870.79</v>
      </c>
      <c r="L262" s="13">
        <f>SUM(F262:K262)</f>
        <v>26870.79</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0</v>
      </c>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0</v>
      </c>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105213.66</v>
      </c>
      <c r="L271" s="38">
        <f t="shared" si="9"/>
        <v>105213.66</v>
      </c>
      <c r="M271" s="8"/>
      <c r="N271" s="165"/>
    </row>
    <row r="272" spans="1:14" s="33" customFormat="1" ht="12.2" customHeight="1" thickTop="1" x14ac:dyDescent="0.2">
      <c r="A272" s="40" t="s">
        <v>464</v>
      </c>
      <c r="B272" s="37">
        <v>10</v>
      </c>
      <c r="C272" s="37">
        <v>18</v>
      </c>
      <c r="D272" s="36" t="s">
        <v>431</v>
      </c>
      <c r="E272" s="37"/>
      <c r="F272" s="39">
        <f t="shared" ref="F272:L272" si="11">F258+F271</f>
        <v>5879416.75</v>
      </c>
      <c r="G272" s="39">
        <f t="shared" si="11"/>
        <v>3234105.48</v>
      </c>
      <c r="H272" s="39">
        <f t="shared" si="11"/>
        <v>3166373.7</v>
      </c>
      <c r="I272" s="39">
        <f t="shared" si="11"/>
        <v>363580.52</v>
      </c>
      <c r="J272" s="39">
        <f t="shared" si="11"/>
        <v>312370.09999999998</v>
      </c>
      <c r="K272" s="39">
        <f t="shared" si="11"/>
        <v>293933.30000000005</v>
      </c>
      <c r="L272" s="39">
        <f t="shared" si="11"/>
        <v>13249779.849999998</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5"/>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0</v>
      </c>
      <c r="J291" s="39">
        <f t="shared" si="13"/>
        <v>0</v>
      </c>
      <c r="K291" s="39">
        <f t="shared" si="13"/>
        <v>0</v>
      </c>
      <c r="L291" s="38">
        <f t="shared" si="13"/>
        <v>0</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65350.1</v>
      </c>
      <c r="G315" s="18">
        <v>34703.339999999997</v>
      </c>
      <c r="H315" s="18">
        <v>19112.25</v>
      </c>
      <c r="I315" s="18">
        <v>23015.06</v>
      </c>
      <c r="J315" s="18">
        <v>0</v>
      </c>
      <c r="K315" s="18">
        <v>0</v>
      </c>
      <c r="L315" s="13">
        <f>SUM(F315:K315)</f>
        <v>142180.75</v>
      </c>
      <c r="M315" s="8"/>
      <c r="N315" s="165"/>
    </row>
    <row r="316" spans="1:14" s="3" customFormat="1" ht="12.2" customHeight="1" x14ac:dyDescent="0.15">
      <c r="A316" s="1" t="s">
        <v>439</v>
      </c>
      <c r="B316" s="2" t="s">
        <v>359</v>
      </c>
      <c r="C316" s="2" t="s">
        <v>291</v>
      </c>
      <c r="D316" s="2" t="s">
        <v>431</v>
      </c>
      <c r="E316" s="6">
        <v>1200</v>
      </c>
      <c r="F316" s="18">
        <v>16400</v>
      </c>
      <c r="G316" s="18">
        <v>4683.3900000000003</v>
      </c>
      <c r="H316" s="18">
        <v>15358.76</v>
      </c>
      <c r="I316" s="18">
        <v>44592.14</v>
      </c>
      <c r="J316" s="18">
        <v>16320.95</v>
      </c>
      <c r="K316" s="18">
        <v>9414.01</v>
      </c>
      <c r="L316" s="13">
        <f>SUM(F316:K316)</f>
        <v>106769.25</v>
      </c>
      <c r="M316" s="8"/>
      <c r="N316" s="165"/>
    </row>
    <row r="317" spans="1:14" s="3" customFormat="1" ht="12.2" customHeight="1" x14ac:dyDescent="0.15">
      <c r="A317" s="1" t="s">
        <v>440</v>
      </c>
      <c r="B317" s="2" t="s">
        <v>359</v>
      </c>
      <c r="C317" s="2" t="s">
        <v>292</v>
      </c>
      <c r="D317" s="2" t="s">
        <v>431</v>
      </c>
      <c r="E317" s="6">
        <v>1300</v>
      </c>
      <c r="F317" s="18">
        <v>0</v>
      </c>
      <c r="G317" s="18">
        <v>0</v>
      </c>
      <c r="H317" s="18">
        <v>51809.15</v>
      </c>
      <c r="I317" s="18">
        <v>0</v>
      </c>
      <c r="J317" s="18">
        <v>0</v>
      </c>
      <c r="K317" s="18">
        <v>0</v>
      </c>
      <c r="L317" s="13">
        <f>SUM(F317:K317)</f>
        <v>51809.15</v>
      </c>
      <c r="M317" s="8"/>
      <c r="N317" s="165"/>
    </row>
    <row r="318" spans="1:14" s="3" customFormat="1" ht="12.2" customHeight="1" x14ac:dyDescent="0.15">
      <c r="A318" s="1" t="s">
        <v>441</v>
      </c>
      <c r="B318" s="2" t="s">
        <v>359</v>
      </c>
      <c r="C318" s="2" t="s">
        <v>293</v>
      </c>
      <c r="D318" s="2" t="s">
        <v>431</v>
      </c>
      <c r="E318" s="6">
        <v>1400</v>
      </c>
      <c r="F318" s="18">
        <v>0</v>
      </c>
      <c r="G318" s="18">
        <v>0</v>
      </c>
      <c r="H318" s="18">
        <v>925</v>
      </c>
      <c r="I318" s="18">
        <v>0</v>
      </c>
      <c r="J318" s="18">
        <v>0</v>
      </c>
      <c r="K318" s="18">
        <v>4500</v>
      </c>
      <c r="L318" s="13">
        <f>SUM(F318:K318)</f>
        <v>5425</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5"/>
    </row>
    <row r="321" spans="1:14" s="3" customFormat="1" ht="12.2" customHeight="1" x14ac:dyDescent="0.15">
      <c r="A321" s="1" t="s">
        <v>443</v>
      </c>
      <c r="B321" s="2" t="s">
        <v>359</v>
      </c>
      <c r="C321" s="2" t="s">
        <v>295</v>
      </c>
      <c r="D321" s="2" t="s">
        <v>431</v>
      </c>
      <c r="E321" s="6">
        <v>2200</v>
      </c>
      <c r="F321" s="18">
        <v>13325.35</v>
      </c>
      <c r="G321" s="18">
        <v>545.21</v>
      </c>
      <c r="H321" s="18">
        <v>3110.45</v>
      </c>
      <c r="I321" s="18">
        <v>7526.44</v>
      </c>
      <c r="J321" s="18">
        <v>593.66999999999996</v>
      </c>
      <c r="K321" s="18">
        <v>0</v>
      </c>
      <c r="L321" s="13">
        <f t="shared" si="16"/>
        <v>25101.119999999999</v>
      </c>
      <c r="M321" s="8"/>
      <c r="N321" s="165"/>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5"/>
    </row>
    <row r="323" spans="1:14" s="3" customFormat="1" ht="12.2" customHeight="1" x14ac:dyDescent="0.15">
      <c r="A323" s="1" t="s">
        <v>445</v>
      </c>
      <c r="B323" s="2" t="s">
        <v>359</v>
      </c>
      <c r="C323" s="2" t="s">
        <v>297</v>
      </c>
      <c r="D323" s="2" t="s">
        <v>431</v>
      </c>
      <c r="E323" s="6">
        <v>2400</v>
      </c>
      <c r="F323" s="18">
        <v>0</v>
      </c>
      <c r="G323" s="18">
        <v>0</v>
      </c>
      <c r="H323" s="18">
        <v>3281.63</v>
      </c>
      <c r="I323" s="18">
        <v>0</v>
      </c>
      <c r="J323" s="18">
        <v>0</v>
      </c>
      <c r="K323" s="18">
        <v>0</v>
      </c>
      <c r="L323" s="13">
        <f t="shared" si="16"/>
        <v>3281.63</v>
      </c>
      <c r="M323" s="8"/>
      <c r="N323" s="165"/>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5"/>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5"/>
    </row>
    <row r="326" spans="1:14" s="3" customFormat="1" ht="12.2" customHeight="1" x14ac:dyDescent="0.15">
      <c r="A326" s="1" t="s">
        <v>448</v>
      </c>
      <c r="B326" s="2" t="s">
        <v>359</v>
      </c>
      <c r="C326" s="2" t="s">
        <v>300</v>
      </c>
      <c r="D326" s="2" t="s">
        <v>431</v>
      </c>
      <c r="E326" s="6">
        <v>2700</v>
      </c>
      <c r="F326" s="18">
        <v>0</v>
      </c>
      <c r="G326" s="18">
        <v>0</v>
      </c>
      <c r="H326" s="18">
        <v>42476.84</v>
      </c>
      <c r="I326" s="18">
        <v>0</v>
      </c>
      <c r="J326" s="18">
        <v>0</v>
      </c>
      <c r="K326" s="18">
        <v>0</v>
      </c>
      <c r="L326" s="13">
        <f t="shared" si="16"/>
        <v>42476.84</v>
      </c>
      <c r="M326" s="8"/>
      <c r="N326" s="165"/>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95075.450000000012</v>
      </c>
      <c r="G329" s="39">
        <f t="shared" si="17"/>
        <v>39931.939999999995</v>
      </c>
      <c r="H329" s="39">
        <f t="shared" si="17"/>
        <v>136074.08000000002</v>
      </c>
      <c r="I329" s="39">
        <f t="shared" si="17"/>
        <v>75133.64</v>
      </c>
      <c r="J329" s="39">
        <f t="shared" si="17"/>
        <v>16914.62</v>
      </c>
      <c r="K329" s="39">
        <f t="shared" si="17"/>
        <v>13914.01</v>
      </c>
      <c r="L329" s="38">
        <f t="shared" si="17"/>
        <v>377043.74</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v>0</v>
      </c>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95075.450000000012</v>
      </c>
      <c r="G339" s="38">
        <f t="shared" si="20"/>
        <v>39931.939999999995</v>
      </c>
      <c r="H339" s="38">
        <f t="shared" si="20"/>
        <v>136074.08000000002</v>
      </c>
      <c r="I339" s="38">
        <f t="shared" si="20"/>
        <v>75133.64</v>
      </c>
      <c r="J339" s="38">
        <f t="shared" si="20"/>
        <v>16914.62</v>
      </c>
      <c r="K339" s="38">
        <f t="shared" si="20"/>
        <v>13914.01</v>
      </c>
      <c r="L339" s="38">
        <f t="shared" si="20"/>
        <v>377043.74</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7772.65</v>
      </c>
      <c r="L345" s="13">
        <f t="shared" ref="L345:L351" si="21">SUM(F345:K345)</f>
        <v>7772.65</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7772.65</v>
      </c>
      <c r="L352" s="38">
        <f>SUM(L342:L351)</f>
        <v>7772.65</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95075.450000000012</v>
      </c>
      <c r="G353" s="38">
        <f>G339</f>
        <v>39931.939999999995</v>
      </c>
      <c r="H353" s="38">
        <f>H339</f>
        <v>136074.08000000002</v>
      </c>
      <c r="I353" s="38">
        <f>I339</f>
        <v>75133.64</v>
      </c>
      <c r="J353" s="38">
        <f>J339</f>
        <v>16914.62</v>
      </c>
      <c r="K353" s="38">
        <f>K339+K352</f>
        <v>21686.66</v>
      </c>
      <c r="L353" s="38">
        <f>L339+L352</f>
        <v>384816.39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v>134810.17000000001</v>
      </c>
      <c r="G361" s="18">
        <v>39520.07</v>
      </c>
      <c r="H361" s="18">
        <v>1243.52</v>
      </c>
      <c r="I361" s="18">
        <v>198752.03</v>
      </c>
      <c r="J361" s="18">
        <v>274.52999999999997</v>
      </c>
      <c r="K361" s="18">
        <v>800</v>
      </c>
      <c r="L361" s="13">
        <f>SUM(F361:K361)</f>
        <v>375400.32000000007</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134810.17000000001</v>
      </c>
      <c r="G363" s="38">
        <f t="shared" si="22"/>
        <v>39520.07</v>
      </c>
      <c r="H363" s="38">
        <f t="shared" si="22"/>
        <v>1243.52</v>
      </c>
      <c r="I363" s="38">
        <f t="shared" si="22"/>
        <v>198752.03</v>
      </c>
      <c r="J363" s="38">
        <f t="shared" si="22"/>
        <v>274.52999999999997</v>
      </c>
      <c r="K363" s="38">
        <f t="shared" si="22"/>
        <v>800</v>
      </c>
      <c r="L363" s="38">
        <f t="shared" si="22"/>
        <v>375400.32000000007</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v>172979.21</v>
      </c>
      <c r="I368" s="13">
        <f>SUM(F368:H368)</f>
        <v>172979.21</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v>25772.82</v>
      </c>
      <c r="I369" s="13">
        <f>SUM(F369:H369)</f>
        <v>25772.82</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198752.03</v>
      </c>
      <c r="I370" s="38">
        <f>SUM(I368:I369)</f>
        <v>198752.03</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v>63.7</v>
      </c>
      <c r="I389" s="18"/>
      <c r="J389" s="23" t="s">
        <v>288</v>
      </c>
      <c r="K389" s="23" t="s">
        <v>288</v>
      </c>
      <c r="L389" s="13">
        <f t="shared" si="25"/>
        <v>63.7</v>
      </c>
      <c r="M389" s="8"/>
      <c r="N389" s="165"/>
    </row>
    <row r="390" spans="1:14" s="3" customFormat="1" ht="12.2" customHeight="1" x14ac:dyDescent="0.15">
      <c r="A390" s="62" t="s">
        <v>552</v>
      </c>
      <c r="B390" s="2" t="s">
        <v>381</v>
      </c>
      <c r="C390" s="6">
        <v>3</v>
      </c>
      <c r="D390" s="2" t="s">
        <v>432</v>
      </c>
      <c r="E390" s="6"/>
      <c r="F390" s="18"/>
      <c r="G390" s="18"/>
      <c r="H390" s="18">
        <v>402.67</v>
      </c>
      <c r="I390" s="18"/>
      <c r="J390" s="23" t="s">
        <v>288</v>
      </c>
      <c r="K390" s="23" t="s">
        <v>288</v>
      </c>
      <c r="L390" s="13">
        <f t="shared" si="25"/>
        <v>402.67</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466.37</v>
      </c>
      <c r="I394" s="54">
        <f>SUM(I388:I393)</f>
        <v>0</v>
      </c>
      <c r="J394" s="42" t="s">
        <v>288</v>
      </c>
      <c r="K394" s="42" t="s">
        <v>288</v>
      </c>
      <c r="L394" s="38">
        <f>SUM(L388:L393)</f>
        <v>466.37</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30.67</v>
      </c>
      <c r="I397" s="18"/>
      <c r="J397" s="23" t="s">
        <v>288</v>
      </c>
      <c r="K397" s="23" t="s">
        <v>288</v>
      </c>
      <c r="L397" s="13">
        <f t="shared" si="26"/>
        <v>30.67</v>
      </c>
      <c r="M397" s="8"/>
      <c r="N397" s="165"/>
    </row>
    <row r="398" spans="1:14" s="3" customFormat="1" ht="12.2" customHeight="1" x14ac:dyDescent="0.15">
      <c r="A398" s="62" t="s">
        <v>515</v>
      </c>
      <c r="B398" s="2" t="s">
        <v>381</v>
      </c>
      <c r="C398" s="6">
        <v>10</v>
      </c>
      <c r="D398" s="2" t="s">
        <v>432</v>
      </c>
      <c r="E398" s="6"/>
      <c r="F398" s="18"/>
      <c r="G398" s="18"/>
      <c r="H398" s="18">
        <v>172.93</v>
      </c>
      <c r="I398" s="18"/>
      <c r="J398" s="23" t="s">
        <v>288</v>
      </c>
      <c r="K398" s="23" t="s">
        <v>288</v>
      </c>
      <c r="L398" s="13">
        <f t="shared" si="26"/>
        <v>172.93</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203.60000000000002</v>
      </c>
      <c r="I402" s="38">
        <f>SUM(I396:I401)</f>
        <v>0</v>
      </c>
      <c r="J402" s="42" t="s">
        <v>288</v>
      </c>
      <c r="K402" s="42" t="s">
        <v>288</v>
      </c>
      <c r="L402" s="38">
        <f>SUM(L396:L401)</f>
        <v>203.60000000000002</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669.97</v>
      </c>
      <c r="I409" s="38">
        <f>I394+I402+I408</f>
        <v>0</v>
      </c>
      <c r="J409" s="23" t="s">
        <v>288</v>
      </c>
      <c r="K409" s="23" t="s">
        <v>288</v>
      </c>
      <c r="L409" s="38">
        <f>L394+L402+L408</f>
        <v>669.97</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466605.91</v>
      </c>
      <c r="G440" s="18">
        <v>203721.52000000002</v>
      </c>
      <c r="H440" s="18"/>
      <c r="I440" s="13">
        <f t="shared" ref="I440:I446" si="33">SUM(F440:H440)</f>
        <v>670327.42999999993</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466605.91</v>
      </c>
      <c r="G447" s="13">
        <f>SUM(G440:G446)</f>
        <v>203721.52000000002</v>
      </c>
      <c r="H447" s="13">
        <f>SUM(H440:H446)</f>
        <v>0</v>
      </c>
      <c r="I447" s="13">
        <f>SUM(I440:I446)</f>
        <v>670327.42999999993</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63716.54+402889.37</f>
        <v>466605.91</v>
      </c>
      <c r="G460" s="18">
        <f>30693.01+173028.51</f>
        <v>203721.52000000002</v>
      </c>
      <c r="H460" s="18"/>
      <c r="I460" s="13">
        <f t="shared" si="34"/>
        <v>670327.42999999993</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466605.91</v>
      </c>
      <c r="G461" s="65">
        <f>SUM(G455:G460)</f>
        <v>203721.52000000002</v>
      </c>
      <c r="H461" s="65">
        <f>SUM(H455:H460)</f>
        <v>0</v>
      </c>
      <c r="I461" s="65">
        <f>SUM(I455:I460)</f>
        <v>670327.42999999993</v>
      </c>
      <c r="J461" s="23" t="s">
        <v>288</v>
      </c>
      <c r="K461" s="23" t="s">
        <v>288</v>
      </c>
      <c r="L461" s="23" t="s">
        <v>288</v>
      </c>
      <c r="N461" s="131"/>
    </row>
    <row r="462" spans="1:86" ht="12.2" customHeight="1" thickTop="1" x14ac:dyDescent="0.2">
      <c r="A462" s="40" t="s">
        <v>424</v>
      </c>
      <c r="B462" s="41">
        <v>18</v>
      </c>
      <c r="C462" s="64">
        <v>21</v>
      </c>
      <c r="D462" s="114" t="s">
        <v>432</v>
      </c>
      <c r="E462" s="64"/>
      <c r="F462" s="39">
        <f>F453+F461</f>
        <v>466605.91</v>
      </c>
      <c r="G462" s="39">
        <f>G453+G461</f>
        <v>203721.52000000002</v>
      </c>
      <c r="H462" s="39">
        <f>H453+H461</f>
        <v>0</v>
      </c>
      <c r="I462" s="39">
        <f>I453+I461</f>
        <v>670327.42999999993</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1573308.2299999986</v>
      </c>
      <c r="G466" s="18">
        <v>86728.390000000014</v>
      </c>
      <c r="H466" s="18">
        <v>261.04999999993015</v>
      </c>
      <c r="I466" s="18">
        <v>0</v>
      </c>
      <c r="J466" s="18">
        <v>669657.46000000008</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13242469.960000001</v>
      </c>
      <c r="G469" s="18">
        <f t="shared" ref="G469:I469" si="35">G194</f>
        <v>364436.25</v>
      </c>
      <c r="H469" s="18">
        <f t="shared" si="35"/>
        <v>384816.39</v>
      </c>
      <c r="I469" s="18">
        <f t="shared" si="35"/>
        <v>0</v>
      </c>
      <c r="J469" s="18">
        <f>J194</f>
        <v>669.97</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13242469.960000001</v>
      </c>
      <c r="G471" s="19">
        <f>SUM(G469:G470)</f>
        <v>364436.25</v>
      </c>
      <c r="H471" s="19">
        <f>SUM(H469:H470)</f>
        <v>384816.39</v>
      </c>
      <c r="I471" s="19">
        <f>SUM(I469:I470)</f>
        <v>0</v>
      </c>
      <c r="J471" s="19">
        <f>SUM(J469:J470)</f>
        <v>669.97</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13249779.849999998</v>
      </c>
      <c r="G473" s="18">
        <f>L363</f>
        <v>375400.32000000007</v>
      </c>
      <c r="H473" s="18">
        <f>L353</f>
        <v>384816.39</v>
      </c>
      <c r="I473" s="18">
        <f>L383</f>
        <v>0</v>
      </c>
      <c r="J473" s="18">
        <f>L435</f>
        <v>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13249779.849999998</v>
      </c>
      <c r="G475" s="19">
        <f>SUM(G473:G474)</f>
        <v>375400.32000000007</v>
      </c>
      <c r="H475" s="19">
        <f>SUM(H473:H474)</f>
        <v>384816.39</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1565998.3400000017</v>
      </c>
      <c r="G477" s="19">
        <f>(G466+G471)- G475</f>
        <v>75764.319999999949</v>
      </c>
      <c r="H477" s="19">
        <f>(H466+H471)- H475</f>
        <v>261.04999999993015</v>
      </c>
      <c r="I477" s="19">
        <f>(I466+I471)- I475</f>
        <v>0</v>
      </c>
      <c r="J477" s="19">
        <f>(J466+J471)- J475</f>
        <v>670327.43000000005</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6">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6"/>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6"/>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6"/>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6"/>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6"/>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6"/>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6"/>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c r="G522" s="18"/>
      <c r="H522" s="18"/>
      <c r="I522" s="18"/>
      <c r="J522" s="18"/>
      <c r="K522" s="18"/>
      <c r="L522" s="69">
        <f>SUM(F522:K522)</f>
        <v>0</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v>702744.13</v>
      </c>
      <c r="G524" s="18">
        <v>355543.91</v>
      </c>
      <c r="H524" s="18">
        <v>865941.27</v>
      </c>
      <c r="I524" s="18">
        <v>3560.09</v>
      </c>
      <c r="J524" s="18">
        <v>0</v>
      </c>
      <c r="K524" s="18">
        <v>7630.65</v>
      </c>
      <c r="L524" s="69">
        <f>SUM(F524:K524)</f>
        <v>1935420.05</v>
      </c>
      <c r="N524" s="131"/>
    </row>
    <row r="525" spans="1:14" ht="12.2" customHeight="1" thickTop="1" x14ac:dyDescent="0.2">
      <c r="A525" s="97" t="s">
        <v>63</v>
      </c>
      <c r="B525" s="41">
        <v>21</v>
      </c>
      <c r="C525" s="41">
        <v>4</v>
      </c>
      <c r="D525" s="115" t="s">
        <v>432</v>
      </c>
      <c r="E525" s="41"/>
      <c r="F525" s="81">
        <f>SUM(F522:F524)</f>
        <v>702744.13</v>
      </c>
      <c r="G525" s="81">
        <f t="shared" ref="G525:L525" si="37">SUM(G522:G524)</f>
        <v>355543.91</v>
      </c>
      <c r="H525" s="81">
        <f t="shared" si="37"/>
        <v>865941.27</v>
      </c>
      <c r="I525" s="81">
        <f t="shared" si="37"/>
        <v>3560.09</v>
      </c>
      <c r="J525" s="81">
        <f t="shared" si="37"/>
        <v>0</v>
      </c>
      <c r="K525" s="81">
        <f t="shared" si="37"/>
        <v>7630.65</v>
      </c>
      <c r="L525" s="70">
        <f t="shared" si="37"/>
        <v>1935420.05</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v>87653</v>
      </c>
      <c r="G529" s="18">
        <v>55470.51</v>
      </c>
      <c r="H529" s="18">
        <v>97539.24</v>
      </c>
      <c r="I529" s="18">
        <v>0</v>
      </c>
      <c r="J529" s="18">
        <v>0</v>
      </c>
      <c r="K529" s="18">
        <v>0</v>
      </c>
      <c r="L529" s="69">
        <f>SUM(F529:K529)</f>
        <v>240662.75</v>
      </c>
      <c r="M529" s="8"/>
      <c r="N529" s="165"/>
    </row>
    <row r="530" spans="1:14" s="3" customFormat="1" ht="12.2" customHeight="1" thickTop="1" x14ac:dyDescent="0.15">
      <c r="A530" s="97" t="s">
        <v>65</v>
      </c>
      <c r="B530" s="41">
        <v>21</v>
      </c>
      <c r="C530" s="41">
        <v>8</v>
      </c>
      <c r="D530" s="115" t="s">
        <v>432</v>
      </c>
      <c r="E530" s="41"/>
      <c r="F530" s="70">
        <f>SUM(F527:F529)</f>
        <v>87653</v>
      </c>
      <c r="G530" s="70">
        <f t="shared" ref="G530:L530" si="38">SUM(G527:G529)</f>
        <v>55470.51</v>
      </c>
      <c r="H530" s="70">
        <f t="shared" si="38"/>
        <v>97539.24</v>
      </c>
      <c r="I530" s="70">
        <f t="shared" si="38"/>
        <v>0</v>
      </c>
      <c r="J530" s="70">
        <f t="shared" si="38"/>
        <v>0</v>
      </c>
      <c r="K530" s="70">
        <f t="shared" si="38"/>
        <v>0</v>
      </c>
      <c r="L530" s="70">
        <f t="shared" si="38"/>
        <v>240662.75</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9">SUM(G532:G534)</f>
        <v>0</v>
      </c>
      <c r="H535" s="70">
        <f t="shared" si="39"/>
        <v>0</v>
      </c>
      <c r="I535" s="70">
        <f t="shared" si="39"/>
        <v>0</v>
      </c>
      <c r="J535" s="70">
        <f t="shared" si="39"/>
        <v>0</v>
      </c>
      <c r="K535" s="70">
        <f t="shared" si="39"/>
        <v>0</v>
      </c>
      <c r="L535" s="70">
        <f t="shared" si="39"/>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v>5453.24</v>
      </c>
      <c r="I539" s="18"/>
      <c r="J539" s="18"/>
      <c r="K539" s="18"/>
      <c r="L539" s="69">
        <f>SUM(F539:K539)</f>
        <v>5453.24</v>
      </c>
      <c r="M539" s="8"/>
      <c r="N539" s="165"/>
    </row>
    <row r="540" spans="1:14" s="3" customFormat="1" ht="12.2" customHeight="1" thickTop="1" x14ac:dyDescent="0.15">
      <c r="A540" s="97" t="s">
        <v>69</v>
      </c>
      <c r="B540" s="41">
        <v>21</v>
      </c>
      <c r="C540" s="41">
        <v>16</v>
      </c>
      <c r="D540" s="115" t="s">
        <v>432</v>
      </c>
      <c r="E540" s="41"/>
      <c r="F540" s="70">
        <f>SUM(F537:F539)</f>
        <v>0</v>
      </c>
      <c r="G540" s="70">
        <f t="shared" ref="G540:L540" si="40">SUM(G537:G539)</f>
        <v>0</v>
      </c>
      <c r="H540" s="70">
        <f t="shared" si="40"/>
        <v>5453.24</v>
      </c>
      <c r="I540" s="70">
        <f t="shared" si="40"/>
        <v>0</v>
      </c>
      <c r="J540" s="70">
        <f t="shared" si="40"/>
        <v>0</v>
      </c>
      <c r="K540" s="70">
        <f t="shared" si="40"/>
        <v>0</v>
      </c>
      <c r="L540" s="70">
        <f t="shared" si="40"/>
        <v>5453.24</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154703.45000000001</v>
      </c>
      <c r="I544" s="18"/>
      <c r="J544" s="18"/>
      <c r="K544" s="18"/>
      <c r="L544" s="69">
        <f>SUM(F544:K544)</f>
        <v>154703.45000000001</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1">SUM(G542:G544)</f>
        <v>0</v>
      </c>
      <c r="H545" s="141">
        <f t="shared" si="41"/>
        <v>154703.45000000001</v>
      </c>
      <c r="I545" s="141">
        <f t="shared" si="41"/>
        <v>0</v>
      </c>
      <c r="J545" s="141">
        <f t="shared" si="41"/>
        <v>0</v>
      </c>
      <c r="K545" s="141">
        <f t="shared" si="41"/>
        <v>0</v>
      </c>
      <c r="L545" s="141">
        <f t="shared" si="41"/>
        <v>154703.45000000001</v>
      </c>
      <c r="M545" s="8"/>
      <c r="N545" s="165"/>
    </row>
    <row r="546" spans="1:14" s="3" customFormat="1" ht="12.2" customHeight="1" thickTop="1" x14ac:dyDescent="0.15">
      <c r="A546" s="75" t="s">
        <v>72</v>
      </c>
      <c r="B546" s="41">
        <v>21</v>
      </c>
      <c r="C546" s="41">
        <v>21</v>
      </c>
      <c r="D546" s="115" t="s">
        <v>432</v>
      </c>
      <c r="E546" s="41"/>
      <c r="F546" s="70">
        <f>F525+F530+F535+F540+F545</f>
        <v>790397.13</v>
      </c>
      <c r="G546" s="70">
        <f t="shared" ref="G546:L546" si="42">G525+G530+G535+G540+G545</f>
        <v>411014.42</v>
      </c>
      <c r="H546" s="70">
        <f t="shared" si="42"/>
        <v>1123637.2</v>
      </c>
      <c r="I546" s="70">
        <f t="shared" si="42"/>
        <v>3560.09</v>
      </c>
      <c r="J546" s="70">
        <f t="shared" si="42"/>
        <v>0</v>
      </c>
      <c r="K546" s="70">
        <f t="shared" si="42"/>
        <v>7630.65</v>
      </c>
      <c r="L546" s="70">
        <f t="shared" si="42"/>
        <v>2336239.4900000002</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0</v>
      </c>
      <c r="G550" s="69">
        <f>L527</f>
        <v>0</v>
      </c>
      <c r="H550" s="69">
        <f>L532</f>
        <v>0</v>
      </c>
      <c r="I550" s="69">
        <f>L537</f>
        <v>0</v>
      </c>
      <c r="J550" s="69">
        <f>L542</f>
        <v>0</v>
      </c>
      <c r="K550" s="69">
        <f>SUM(F550:J550)</f>
        <v>0</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1935420.05</v>
      </c>
      <c r="G552" s="69">
        <f>L529</f>
        <v>240662.75</v>
      </c>
      <c r="H552" s="69">
        <f>L534</f>
        <v>0</v>
      </c>
      <c r="I552" s="69">
        <f>L539</f>
        <v>5453.24</v>
      </c>
      <c r="J552" s="69">
        <f>L544</f>
        <v>154703.45000000001</v>
      </c>
      <c r="K552" s="69">
        <f>SUM(F552:J552)</f>
        <v>2336239.4900000002</v>
      </c>
      <c r="L552" s="23" t="s">
        <v>288</v>
      </c>
      <c r="M552" s="8"/>
      <c r="N552" s="165"/>
    </row>
    <row r="553" spans="1:14" s="3" customFormat="1" ht="12.2" customHeight="1" thickTop="1" x14ac:dyDescent="0.15">
      <c r="A553" s="126" t="s">
        <v>340</v>
      </c>
      <c r="B553" s="41">
        <v>21</v>
      </c>
      <c r="C553" s="41">
        <v>25</v>
      </c>
      <c r="D553" s="36" t="s">
        <v>432</v>
      </c>
      <c r="E553" s="41"/>
      <c r="F553" s="70">
        <f t="shared" ref="F553:K553" si="43">SUM(F550:F552)</f>
        <v>1935420.05</v>
      </c>
      <c r="G553" s="70">
        <f t="shared" si="43"/>
        <v>240662.75</v>
      </c>
      <c r="H553" s="70">
        <f t="shared" si="43"/>
        <v>0</v>
      </c>
      <c r="I553" s="70">
        <f t="shared" si="43"/>
        <v>5453.24</v>
      </c>
      <c r="J553" s="70">
        <f t="shared" si="43"/>
        <v>154703.45000000001</v>
      </c>
      <c r="K553" s="70">
        <f t="shared" si="43"/>
        <v>2336239.4900000002</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4">SUM(F558:F560)</f>
        <v>0</v>
      </c>
      <c r="G561" s="81">
        <f t="shared" si="44"/>
        <v>0</v>
      </c>
      <c r="H561" s="81">
        <f t="shared" si="44"/>
        <v>0</v>
      </c>
      <c r="I561" s="81">
        <f t="shared" si="44"/>
        <v>0</v>
      </c>
      <c r="J561" s="81">
        <f t="shared" si="44"/>
        <v>0</v>
      </c>
      <c r="K561" s="81">
        <f t="shared" si="44"/>
        <v>0</v>
      </c>
      <c r="L561" s="70">
        <f t="shared" si="44"/>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v>0</v>
      </c>
      <c r="G565" s="18">
        <v>0</v>
      </c>
      <c r="H565" s="18">
        <v>1965.69</v>
      </c>
      <c r="I565" s="18">
        <v>0</v>
      </c>
      <c r="J565" s="18">
        <v>0</v>
      </c>
      <c r="K565" s="18">
        <v>0</v>
      </c>
      <c r="L565" s="69">
        <f>SUM(F565:K565)</f>
        <v>1965.69</v>
      </c>
      <c r="M565" s="8"/>
      <c r="N565" s="165"/>
    </row>
    <row r="566" spans="1:14" s="3" customFormat="1" ht="12.2" customHeight="1" thickTop="1" x14ac:dyDescent="0.15">
      <c r="A566" s="97" t="s">
        <v>65</v>
      </c>
      <c r="B566" s="41">
        <v>22</v>
      </c>
      <c r="C566" s="41">
        <v>8</v>
      </c>
      <c r="D566" s="115" t="s">
        <v>432</v>
      </c>
      <c r="E566" s="41"/>
      <c r="F566" s="70">
        <f t="shared" ref="F566:L566" si="45">SUM(F563:F565)</f>
        <v>0</v>
      </c>
      <c r="G566" s="70">
        <f t="shared" si="45"/>
        <v>0</v>
      </c>
      <c r="H566" s="70">
        <f t="shared" si="45"/>
        <v>1965.69</v>
      </c>
      <c r="I566" s="70">
        <f t="shared" si="45"/>
        <v>0</v>
      </c>
      <c r="J566" s="70">
        <f t="shared" si="45"/>
        <v>0</v>
      </c>
      <c r="K566" s="70">
        <f t="shared" si="45"/>
        <v>0</v>
      </c>
      <c r="L566" s="70">
        <f t="shared" si="45"/>
        <v>1965.69</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6">SUM(G568:G570)</f>
        <v>0</v>
      </c>
      <c r="H571" s="141">
        <f t="shared" si="46"/>
        <v>0</v>
      </c>
      <c r="I571" s="141">
        <f t="shared" si="46"/>
        <v>0</v>
      </c>
      <c r="J571" s="141">
        <f t="shared" si="46"/>
        <v>0</v>
      </c>
      <c r="K571" s="141">
        <f t="shared" si="46"/>
        <v>0</v>
      </c>
      <c r="L571" s="141">
        <f t="shared" si="46"/>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7">G561+G566+G571</f>
        <v>0</v>
      </c>
      <c r="H572" s="70">
        <f t="shared" si="47"/>
        <v>1965.69</v>
      </c>
      <c r="I572" s="70">
        <f t="shared" si="47"/>
        <v>0</v>
      </c>
      <c r="J572" s="70">
        <f t="shared" si="47"/>
        <v>0</v>
      </c>
      <c r="K572" s="70">
        <f t="shared" si="47"/>
        <v>0</v>
      </c>
      <c r="L572" s="70">
        <f t="shared" si="47"/>
        <v>1965.69</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26940</v>
      </c>
      <c r="I576" s="69">
        <f>SUM(F576:H576)</f>
        <v>26940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v>0</v>
      </c>
      <c r="I577" s="69">
        <f t="shared" ref="I577:I588" si="48">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8"/>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v>0</v>
      </c>
      <c r="I579" s="69">
        <f t="shared" si="48"/>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v>0</v>
      </c>
      <c r="I580" s="69">
        <f t="shared" si="48"/>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v>0</v>
      </c>
      <c r="I581" s="69">
        <f t="shared" si="48"/>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8"/>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v>448919.73</v>
      </c>
      <c r="I583" s="69">
        <f t="shared" si="48"/>
        <v>448919.73</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v>0</v>
      </c>
      <c r="I584" s="69">
        <f t="shared" si="48"/>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171889.89</v>
      </c>
      <c r="I585" s="69">
        <f t="shared" si="48"/>
        <v>171889.89</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v>0</v>
      </c>
      <c r="I586" s="69">
        <f t="shared" si="48"/>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8"/>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v>0</v>
      </c>
      <c r="I588" s="69">
        <f t="shared" si="48"/>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c r="I592" s="18"/>
      <c r="J592" s="18">
        <v>238326.29</v>
      </c>
      <c r="K592" s="80">
        <f t="shared" ref="K592:K598" si="49">SUM(H592:J592)</f>
        <v>238326.29</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v>154703.45000000001</v>
      </c>
      <c r="K593" s="80">
        <f t="shared" si="49"/>
        <v>154703.45000000001</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52192.800000000003</v>
      </c>
      <c r="K594" s="80">
        <f t="shared" si="49"/>
        <v>52192.800000000003</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v>84463.31</v>
      </c>
      <c r="K595" s="80">
        <f t="shared" si="49"/>
        <v>84463.31</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v>27158.87</v>
      </c>
      <c r="K596" s="80">
        <f t="shared" si="49"/>
        <v>27158.87</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v>132963.47</v>
      </c>
      <c r="K598" s="80">
        <f t="shared" si="49"/>
        <v>132963.47</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0</v>
      </c>
      <c r="I599" s="81">
        <f>SUM(I592:I598)</f>
        <v>0</v>
      </c>
      <c r="J599" s="81">
        <f>SUM(J592:J598)</f>
        <v>689808.19</v>
      </c>
      <c r="K599" s="81">
        <f>SUM(K592:K598)</f>
        <v>689808.19</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c r="I605" s="18"/>
      <c r="J605" s="18">
        <v>329284.71999999997</v>
      </c>
      <c r="K605" s="80">
        <f>SUM(H605:J605)</f>
        <v>329284.71999999997</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329284.71999999997</v>
      </c>
      <c r="K606" s="81">
        <f>SUM(K603:K605)</f>
        <v>329284.71999999997</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1903227.9</v>
      </c>
      <c r="H618" s="80">
        <f>SUM(F52)</f>
        <v>1903227.9000000001</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439044.71</v>
      </c>
      <c r="H619" s="80">
        <f>SUM(G52)</f>
        <v>439044.70999999996</v>
      </c>
      <c r="I619" s="87" t="s">
        <v>875</v>
      </c>
      <c r="J619" s="80">
        <f>G619-H619</f>
        <v>0</v>
      </c>
      <c r="K619" s="80"/>
      <c r="L619" s="80"/>
      <c r="M619" s="8"/>
    </row>
    <row r="620" spans="1:14" s="3" customFormat="1" ht="12.2" customHeight="1" x14ac:dyDescent="0.15">
      <c r="A620" s="74"/>
      <c r="B620" s="22"/>
      <c r="C620" s="22"/>
      <c r="D620" s="22"/>
      <c r="E620" s="22"/>
      <c r="F620" s="87" t="s">
        <v>685</v>
      </c>
      <c r="G620" s="80">
        <f>SUM(H19)</f>
        <v>271619.95999999996</v>
      </c>
      <c r="H620" s="80">
        <f>SUM(H52)</f>
        <v>271619.95999999996</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670327.42999999993</v>
      </c>
      <c r="H622" s="80">
        <f>SUM(J52)</f>
        <v>670327.42999999993</v>
      </c>
      <c r="I622" s="87" t="s">
        <v>878</v>
      </c>
      <c r="J622" s="80">
        <f>G622-H622</f>
        <v>0</v>
      </c>
      <c r="K622" s="80"/>
      <c r="L622" s="80"/>
      <c r="M622" s="8"/>
    </row>
    <row r="623" spans="1:14" s="3" customFormat="1" ht="12.2" customHeight="1" x14ac:dyDescent="0.15">
      <c r="A623" s="74"/>
      <c r="B623" s="22"/>
      <c r="C623" s="22"/>
      <c r="D623" s="22"/>
      <c r="E623" s="22"/>
      <c r="F623" s="87" t="s">
        <v>864</v>
      </c>
      <c r="G623" s="80">
        <f>F51</f>
        <v>1565998.34</v>
      </c>
      <c r="H623" s="80">
        <f>F477</f>
        <v>1565998.3400000017</v>
      </c>
      <c r="I623" s="87" t="s">
        <v>101</v>
      </c>
      <c r="J623" s="80">
        <f t="shared" ref="J623:J656" si="51">G623-H623</f>
        <v>0</v>
      </c>
      <c r="K623" s="80"/>
      <c r="L623" s="80"/>
      <c r="M623" s="8"/>
    </row>
    <row r="624" spans="1:14" s="3" customFormat="1" ht="12.2" customHeight="1" x14ac:dyDescent="0.15">
      <c r="A624" s="74"/>
      <c r="B624" s="22"/>
      <c r="C624" s="85"/>
      <c r="D624" s="85"/>
      <c r="E624" s="85"/>
      <c r="F624" s="85" t="s">
        <v>865</v>
      </c>
      <c r="G624" s="80">
        <f>G51</f>
        <v>75764.320000000007</v>
      </c>
      <c r="H624" s="80">
        <f>G477</f>
        <v>75764.319999999949</v>
      </c>
      <c r="I624" s="87" t="s">
        <v>102</v>
      </c>
      <c r="J624" s="80">
        <f t="shared" si="51"/>
        <v>0</v>
      </c>
      <c r="K624" s="80"/>
      <c r="L624" s="80"/>
      <c r="M624" s="8"/>
    </row>
    <row r="625" spans="1:13" s="3" customFormat="1" ht="12.2" customHeight="1" x14ac:dyDescent="0.15">
      <c r="A625" s="74"/>
      <c r="B625" s="22"/>
      <c r="C625" s="22"/>
      <c r="D625" s="22"/>
      <c r="E625" s="22"/>
      <c r="F625" s="86" t="s">
        <v>866</v>
      </c>
      <c r="G625" s="80">
        <f>H51</f>
        <v>261.05</v>
      </c>
      <c r="H625" s="80">
        <f>H477</f>
        <v>261.04999999993015</v>
      </c>
      <c r="I625" s="87" t="s">
        <v>103</v>
      </c>
      <c r="J625" s="80">
        <f t="shared" si="51"/>
        <v>6.986056177993305E-11</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868</v>
      </c>
      <c r="G627" s="80">
        <f>J51</f>
        <v>670327.42999999993</v>
      </c>
      <c r="H627" s="80">
        <f>J477</f>
        <v>670327.43000000005</v>
      </c>
      <c r="I627" s="87" t="s">
        <v>105</v>
      </c>
      <c r="J627" s="80">
        <f t="shared" si="51"/>
        <v>0</v>
      </c>
      <c r="K627" s="67"/>
      <c r="L627" s="69"/>
      <c r="M627" s="8"/>
    </row>
    <row r="628" spans="1:13" s="3" customFormat="1" ht="12.2" customHeight="1" x14ac:dyDescent="0.15">
      <c r="A628" s="21"/>
      <c r="B628" s="22"/>
      <c r="C628" s="22"/>
      <c r="D628" s="22"/>
      <c r="E628" s="22"/>
      <c r="F628" s="86" t="s">
        <v>658</v>
      </c>
      <c r="G628" s="80">
        <f>F194</f>
        <v>13242469.960000001</v>
      </c>
      <c r="H628" s="80">
        <f>SUM(F469)</f>
        <v>13242469.960000001</v>
      </c>
      <c r="I628" s="87" t="s">
        <v>106</v>
      </c>
      <c r="J628" s="80">
        <f>G628-H628</f>
        <v>0</v>
      </c>
      <c r="K628" s="67"/>
      <c r="L628" s="69"/>
      <c r="M628" s="8"/>
    </row>
    <row r="629" spans="1:13" s="3" customFormat="1" ht="12.2" customHeight="1" x14ac:dyDescent="0.15">
      <c r="A629" s="21"/>
      <c r="B629" s="22"/>
      <c r="C629" s="22"/>
      <c r="D629" s="22"/>
      <c r="E629" s="22"/>
      <c r="F629" s="86" t="s">
        <v>659</v>
      </c>
      <c r="G629" s="80">
        <f>G194</f>
        <v>364436.25</v>
      </c>
      <c r="H629" s="80">
        <f>SUM(G469)</f>
        <v>364436.25</v>
      </c>
      <c r="I629" s="87" t="s">
        <v>107</v>
      </c>
      <c r="J629" s="80">
        <f>G629-H629</f>
        <v>0</v>
      </c>
      <c r="K629" s="67"/>
      <c r="L629" s="69"/>
      <c r="M629" s="8"/>
    </row>
    <row r="630" spans="1:13" s="3" customFormat="1" ht="12.2" customHeight="1" x14ac:dyDescent="0.15">
      <c r="A630" s="21"/>
      <c r="B630" s="22"/>
      <c r="C630" s="22"/>
      <c r="D630" s="22"/>
      <c r="E630" s="22"/>
      <c r="F630" s="86" t="s">
        <v>660</v>
      </c>
      <c r="G630" s="80">
        <f>H194</f>
        <v>384816.39</v>
      </c>
      <c r="H630" s="80">
        <f>SUM(H469)</f>
        <v>384816.39</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669.97</v>
      </c>
      <c r="H632" s="80">
        <f>SUM(J469)</f>
        <v>669.97</v>
      </c>
      <c r="I632" s="87" t="s">
        <v>110</v>
      </c>
      <c r="J632" s="80">
        <f>G632-H632</f>
        <v>0</v>
      </c>
      <c r="K632" s="67"/>
      <c r="L632" s="69"/>
      <c r="M632" s="8"/>
    </row>
    <row r="633" spans="1:13" s="3" customFormat="1" ht="12.2" customHeight="1" x14ac:dyDescent="0.15">
      <c r="A633" s="21"/>
      <c r="B633" s="22"/>
      <c r="C633" s="22"/>
      <c r="D633" s="22"/>
      <c r="E633" s="22"/>
      <c r="F633" s="86" t="s">
        <v>394</v>
      </c>
      <c r="G633" s="80">
        <f>SUM(L272)</f>
        <v>13249779.849999998</v>
      </c>
      <c r="H633" s="80">
        <f>SUM(F473)</f>
        <v>13249779.849999998</v>
      </c>
      <c r="I633" s="87" t="s">
        <v>111</v>
      </c>
      <c r="J633" s="80">
        <f t="shared" si="51"/>
        <v>0</v>
      </c>
      <c r="K633" s="67"/>
      <c r="L633" s="69"/>
      <c r="M633" s="8"/>
    </row>
    <row r="634" spans="1:13" s="3" customFormat="1" ht="12.2" customHeight="1" x14ac:dyDescent="0.15">
      <c r="A634" s="21"/>
      <c r="B634" s="22"/>
      <c r="C634" s="22"/>
      <c r="D634" s="22"/>
      <c r="E634" s="22"/>
      <c r="F634" s="86" t="s">
        <v>395</v>
      </c>
      <c r="G634" s="80">
        <f>SUM(L353)</f>
        <v>384816.39</v>
      </c>
      <c r="H634" s="80">
        <f>SUM(H473)</f>
        <v>384816.39</v>
      </c>
      <c r="I634" s="87" t="s">
        <v>112</v>
      </c>
      <c r="J634" s="80">
        <f>G634-H634</f>
        <v>0</v>
      </c>
      <c r="K634" s="67"/>
      <c r="L634" s="69"/>
      <c r="M634" s="8"/>
    </row>
    <row r="635" spans="1:13" s="124" customFormat="1" ht="12.2" customHeight="1" x14ac:dyDescent="0.15">
      <c r="A635" s="21"/>
      <c r="B635" s="22"/>
      <c r="C635" s="22"/>
      <c r="D635" s="22"/>
      <c r="E635" s="22"/>
      <c r="F635" s="99" t="s">
        <v>247</v>
      </c>
      <c r="G635" s="80">
        <f>I363</f>
        <v>198752.03</v>
      </c>
      <c r="H635" s="80">
        <f>I370</f>
        <v>198752.03</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375400.32000000007</v>
      </c>
      <c r="H636" s="80">
        <f>SUM(G473)</f>
        <v>375400.32000000007</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669.97</v>
      </c>
      <c r="H638" s="108">
        <f>SUM(J469)</f>
        <v>669.97</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466605.91</v>
      </c>
      <c r="H640" s="80">
        <f>SUM(F462)</f>
        <v>466605.91</v>
      </c>
      <c r="I640" s="87" t="s">
        <v>840</v>
      </c>
      <c r="J640" s="80">
        <f t="shared" si="51"/>
        <v>0</v>
      </c>
      <c r="K640" s="67"/>
      <c r="L640" s="69"/>
      <c r="M640" s="8"/>
    </row>
    <row r="641" spans="1:13" s="3" customFormat="1" ht="12.2" customHeight="1" x14ac:dyDescent="0.15">
      <c r="A641" s="21"/>
      <c r="B641" s="22"/>
      <c r="C641" s="22"/>
      <c r="D641" s="22"/>
      <c r="E641" s="22"/>
      <c r="F641" s="86" t="s">
        <v>119</v>
      </c>
      <c r="G641" s="80">
        <f>SUM(G447)</f>
        <v>203721.52000000002</v>
      </c>
      <c r="H641" s="80">
        <f>SUM(G462)</f>
        <v>203721.52000000002</v>
      </c>
      <c r="I641" s="87" t="s">
        <v>841</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1"/>
        <v>0</v>
      </c>
      <c r="K642" s="67"/>
      <c r="L642" s="69"/>
      <c r="M642" s="8"/>
    </row>
    <row r="643" spans="1:13" s="3" customFormat="1" ht="12.2" customHeight="1" x14ac:dyDescent="0.15">
      <c r="A643" s="21"/>
      <c r="B643" s="22"/>
      <c r="C643" s="22"/>
      <c r="D643" s="22"/>
      <c r="E643" s="22"/>
      <c r="F643" s="86" t="s">
        <v>121</v>
      </c>
      <c r="G643" s="80">
        <f>SUM(I447)</f>
        <v>670327.42999999993</v>
      </c>
      <c r="H643" s="80">
        <f>SUM(I462)</f>
        <v>670327.42999999993</v>
      </c>
      <c r="I643" s="87" t="s">
        <v>843</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669.97</v>
      </c>
      <c r="H645" s="80">
        <f>H409</f>
        <v>669.97</v>
      </c>
      <c r="I645" s="87" t="s">
        <v>480</v>
      </c>
      <c r="J645" s="80">
        <f t="shared" si="51"/>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1"/>
        <v>0</v>
      </c>
      <c r="K646" s="67"/>
      <c r="L646" s="69"/>
      <c r="M646" s="8"/>
    </row>
    <row r="647" spans="1:13" s="3" customFormat="1" ht="12.2" customHeight="1" x14ac:dyDescent="0.15">
      <c r="A647" s="21"/>
      <c r="B647" s="22"/>
      <c r="C647" s="22"/>
      <c r="D647" s="22"/>
      <c r="E647" s="22"/>
      <c r="F647" s="86" t="s">
        <v>662</v>
      </c>
      <c r="G647" s="80">
        <f>J194</f>
        <v>669.97</v>
      </c>
      <c r="H647" s="80">
        <f>L409</f>
        <v>669.97</v>
      </c>
      <c r="I647" s="87" t="s">
        <v>477</v>
      </c>
      <c r="J647" s="80">
        <f t="shared" si="51"/>
        <v>0</v>
      </c>
      <c r="K647" s="67"/>
      <c r="L647" s="69"/>
      <c r="M647" s="8"/>
    </row>
    <row r="648" spans="1:13" s="3" customFormat="1" ht="12.2" customHeight="1" x14ac:dyDescent="0.15">
      <c r="A648" s="21"/>
      <c r="B648" s="22"/>
      <c r="C648" s="22"/>
      <c r="D648" s="22"/>
      <c r="E648" s="22"/>
      <c r="F648" s="86" t="s">
        <v>51</v>
      </c>
      <c r="G648" s="80">
        <f>K599</f>
        <v>689808.19</v>
      </c>
      <c r="H648" s="80">
        <f>L209+L227+L245</f>
        <v>689808.19</v>
      </c>
      <c r="I648" s="87" t="s">
        <v>396</v>
      </c>
      <c r="J648" s="80">
        <f t="shared" si="51"/>
        <v>0</v>
      </c>
      <c r="K648" s="67"/>
      <c r="L648" s="69"/>
      <c r="M648" s="8"/>
    </row>
    <row r="649" spans="1:13" s="3" customFormat="1" ht="12.2" customHeight="1" x14ac:dyDescent="0.15">
      <c r="A649" s="21"/>
      <c r="B649" s="22"/>
      <c r="C649" s="22"/>
      <c r="D649" s="22"/>
      <c r="E649" s="22"/>
      <c r="F649" s="86" t="s">
        <v>52</v>
      </c>
      <c r="G649" s="80">
        <f>K606</f>
        <v>329284.71999999997</v>
      </c>
      <c r="H649" s="80">
        <f>(J258+J339)-(J256+J337)</f>
        <v>329284.71999999997</v>
      </c>
      <c r="I649" s="87" t="s">
        <v>699</v>
      </c>
      <c r="J649" s="80">
        <f t="shared" si="51"/>
        <v>0</v>
      </c>
      <c r="K649" s="67"/>
      <c r="L649" s="69"/>
      <c r="M649" s="8"/>
    </row>
    <row r="650" spans="1:13" s="3" customFormat="1" ht="12.2" customHeight="1" x14ac:dyDescent="0.15">
      <c r="A650" s="21"/>
      <c r="B650" s="22"/>
      <c r="C650" s="22"/>
      <c r="D650" s="22"/>
      <c r="E650" s="22"/>
      <c r="F650" s="86" t="s">
        <v>387</v>
      </c>
      <c r="G650" s="80">
        <f>L209</f>
        <v>0</v>
      </c>
      <c r="H650" s="80">
        <f>H599</f>
        <v>0</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689808.19</v>
      </c>
      <c r="H652" s="80">
        <f>J599</f>
        <v>689808.19</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0</v>
      </c>
      <c r="G661" s="13">
        <f>(L230+L310+L360)</f>
        <v>0</v>
      </c>
      <c r="H661" s="13">
        <f>(L248+L329+L361)</f>
        <v>13897010.249999998</v>
      </c>
      <c r="I661" s="13">
        <f>SUM(F661:H661)</f>
        <v>13897010.249999998</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242491.3</v>
      </c>
      <c r="I662" s="13">
        <f>SUM(F662:H662)</f>
        <v>242491.3</v>
      </c>
      <c r="J662"/>
      <c r="K662" s="13"/>
      <c r="L662" s="13"/>
      <c r="M662" s="8"/>
    </row>
    <row r="663" spans="1:13" s="3" customFormat="1" ht="12.2" customHeight="1" x14ac:dyDescent="0.2">
      <c r="A663" s="1" t="s">
        <v>128</v>
      </c>
      <c r="F663" s="13">
        <f>(L209+L288)-(J209+J288)</f>
        <v>0</v>
      </c>
      <c r="G663" s="13">
        <f>(L227+L307)-(J227+J307)</f>
        <v>0</v>
      </c>
      <c r="H663" s="13">
        <f>(L245+L326)-(J245+J326)</f>
        <v>732285.02999999991</v>
      </c>
      <c r="I663" s="13">
        <f>SUM(F663:H663)</f>
        <v>732285.02999999991</v>
      </c>
      <c r="J663"/>
      <c r="K663" s="13"/>
      <c r="L663" s="13"/>
      <c r="M663" s="9"/>
    </row>
    <row r="664" spans="1:13" s="3" customFormat="1" ht="12.2" customHeight="1" x14ac:dyDescent="0.15">
      <c r="A664" s="142" t="s">
        <v>129</v>
      </c>
      <c r="B664" s="124"/>
      <c r="C664" s="124"/>
      <c r="D664" s="124"/>
      <c r="E664" s="124"/>
      <c r="F664" s="143">
        <f>SUM(F576:F588)+SUM(H603:H605)+SUM(L612)</f>
        <v>0</v>
      </c>
      <c r="G664" s="143">
        <f>SUM(G576:G588)+SUM(I603:I605)+L613</f>
        <v>0</v>
      </c>
      <c r="H664" s="143">
        <f>SUM(H576:H588)+SUM(J603:J605)+L614</f>
        <v>977034.34</v>
      </c>
      <c r="I664" s="13">
        <f>SUM(F664:H664)</f>
        <v>977034.34</v>
      </c>
      <c r="J664" s="13"/>
      <c r="K664" s="13"/>
      <c r="L664" s="13"/>
      <c r="M664" s="9"/>
    </row>
    <row r="665" spans="1:13" s="3" customFormat="1" ht="12.2" customHeight="1" x14ac:dyDescent="0.15">
      <c r="A665" s="1" t="s">
        <v>130</v>
      </c>
      <c r="F665" s="13">
        <f>F661-SUM(F662:F664)</f>
        <v>0</v>
      </c>
      <c r="G665" s="13">
        <f>G661-SUM(G662:G664)</f>
        <v>0</v>
      </c>
      <c r="H665" s="13">
        <f>H661-SUM(H662:H664)</f>
        <v>11945199.579999998</v>
      </c>
      <c r="I665" s="13">
        <f>I661-SUM(I662:I664)</f>
        <v>11945199.579999998</v>
      </c>
      <c r="J665" s="13"/>
      <c r="K665" s="13"/>
      <c r="L665" s="13"/>
      <c r="M665" s="8"/>
    </row>
    <row r="666" spans="1:13" s="3" customFormat="1" ht="12.2" customHeight="1" x14ac:dyDescent="0.2">
      <c r="A666" s="1" t="s">
        <v>131</v>
      </c>
      <c r="F666" s="183"/>
      <c r="G666" s="184"/>
      <c r="H666" s="184">
        <v>580.63</v>
      </c>
      <c r="I666" s="13">
        <f>SUM(F666:H666)</f>
        <v>580.63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f>ROUND(H665/H666,2)</f>
        <v>20572.830000000002</v>
      </c>
      <c r="I668" s="13">
        <f>ROUND(I665/I666,2)</f>
        <v>20572.830000000002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-22.72</v>
      </c>
      <c r="I671" s="13">
        <f>SUM(F671:H671)</f>
        <v>-22.72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f>ROUND((H665+H670)/(H666+H671),2)</f>
        <v>21410.62</v>
      </c>
      <c r="I673" s="13">
        <f>ROUND((I665+I670)/(I666+I671),2)</f>
        <v>21410.62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9" sqref="E9:E14"/>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20170.2</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7020.14</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13150.06</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3"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John Stark Regional</v>
      </c>
      <c r="C5" s="317"/>
      <c r="D5" s="317"/>
      <c r="E5" s="317"/>
      <c r="F5" s="317"/>
    </row>
    <row r="8" spans="1:9" ht="18" x14ac:dyDescent="0.25">
      <c r="A8" s="240" t="s">
        <v>1560</v>
      </c>
      <c r="F8" s="247" t="s">
        <v>1578</v>
      </c>
    </row>
    <row r="9" spans="1:9" ht="15" x14ac:dyDescent="0.2">
      <c r="A9" s="238" t="s">
        <v>1561</v>
      </c>
      <c r="B9" s="241">
        <f>'DOE25'!G97</f>
        <v>242491.3</v>
      </c>
      <c r="F9" s="238" t="s">
        <v>1574</v>
      </c>
    </row>
    <row r="10" spans="1:9" ht="15" x14ac:dyDescent="0.2">
      <c r="A10" s="238" t="s">
        <v>1562</v>
      </c>
      <c r="B10" s="241">
        <f>'DOE25'!G112-'DOE25'!G97</f>
        <v>0</v>
      </c>
      <c r="F10" s="238" t="s">
        <v>1575</v>
      </c>
    </row>
    <row r="11" spans="1:9" ht="15" x14ac:dyDescent="0.2">
      <c r="A11" s="238" t="s">
        <v>1563</v>
      </c>
      <c r="B11" s="241">
        <f>'DOE25'!G140</f>
        <v>4561.7</v>
      </c>
      <c r="F11" s="238" t="s">
        <v>1576</v>
      </c>
    </row>
    <row r="12" spans="1:9" ht="15" x14ac:dyDescent="0.2">
      <c r="A12" s="238" t="s">
        <v>1564</v>
      </c>
      <c r="B12" s="241">
        <f>'DOE25'!G170</f>
        <v>117383.25</v>
      </c>
      <c r="F12" s="238" t="s">
        <v>1577</v>
      </c>
    </row>
    <row r="13" spans="1:9" ht="15" x14ac:dyDescent="0.2">
      <c r="A13" s="238" t="s">
        <v>1565</v>
      </c>
      <c r="B13" s="241">
        <f>'DOE25'!G193-'DOE25'!G180</f>
        <v>0</v>
      </c>
      <c r="F13" s="238" t="s">
        <v>1587</v>
      </c>
    </row>
    <row r="14" spans="1:9" ht="18" x14ac:dyDescent="0.25">
      <c r="A14" s="240" t="s">
        <v>732</v>
      </c>
      <c r="B14" s="242">
        <f>SUM(B9:B13)</f>
        <v>364436.25</v>
      </c>
    </row>
    <row r="16" spans="1:9" ht="18" x14ac:dyDescent="0.25">
      <c r="A16" s="240" t="s">
        <v>786</v>
      </c>
      <c r="F16" s="247" t="s">
        <v>1579</v>
      </c>
    </row>
    <row r="17" spans="1:6" ht="15" x14ac:dyDescent="0.2">
      <c r="A17" s="238" t="s">
        <v>1566</v>
      </c>
      <c r="B17" s="241">
        <f>'DOE25'!L363-'DOE25'!L362</f>
        <v>375400.32000000007</v>
      </c>
      <c r="F17" s="238" t="s">
        <v>1580</v>
      </c>
    </row>
    <row r="18" spans="1:6" ht="15" x14ac:dyDescent="0.2">
      <c r="A18" s="238" t="s">
        <v>1567</v>
      </c>
      <c r="B18" s="251"/>
      <c r="F18" s="247" t="s">
        <v>1604</v>
      </c>
    </row>
    <row r="19" spans="1:6" ht="18" x14ac:dyDescent="0.25">
      <c r="A19" s="240" t="s">
        <v>725</v>
      </c>
      <c r="B19" s="242">
        <f>SUM(B17:B18)</f>
        <v>375400.32000000007</v>
      </c>
    </row>
    <row r="21" spans="1:6" ht="18.75" thickBot="1" x14ac:dyDescent="0.3">
      <c r="A21" s="240" t="s">
        <v>1568</v>
      </c>
    </row>
    <row r="22" spans="1:6" ht="18.75" thickTop="1" x14ac:dyDescent="0.25">
      <c r="A22" s="240" t="s">
        <v>1569</v>
      </c>
      <c r="B22" s="246">
        <f>B14-B19</f>
        <v>-10964.070000000065</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86728.390000000014</v>
      </c>
      <c r="F31" s="238" t="s">
        <v>1584</v>
      </c>
    </row>
    <row r="33" spans="1:6" ht="15" x14ac:dyDescent="0.2">
      <c r="A33" s="238" t="s">
        <v>1798</v>
      </c>
      <c r="B33" s="241">
        <f>'DOE25'!G477</f>
        <v>75764.319999999949</v>
      </c>
      <c r="F33" s="238" t="s">
        <v>1585</v>
      </c>
    </row>
    <row r="36" spans="1:6" ht="15" x14ac:dyDescent="0.2">
      <c r="A36" s="238" t="s">
        <v>1571</v>
      </c>
      <c r="B36" s="252">
        <v>17542.189999999999</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1" sqref="C1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John Stark Regional</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3153309.31</v>
      </c>
      <c r="C9" s="167">
        <f>'DOE25'!G198+'DOE25'!G216+'DOE25'!G234+'DOE25'!G277+'DOE25'!G296+'DOE25'!G315</f>
        <v>1812264</v>
      </c>
    </row>
    <row r="10" spans="1:3" x14ac:dyDescent="0.2">
      <c r="A10" t="s">
        <v>775</v>
      </c>
      <c r="B10" s="177">
        <v>3057842.04</v>
      </c>
      <c r="C10" s="177">
        <v>1786317.36</v>
      </c>
    </row>
    <row r="11" spans="1:3" x14ac:dyDescent="0.2">
      <c r="A11" t="s">
        <v>776</v>
      </c>
      <c r="B11" s="177">
        <v>47007.27</v>
      </c>
      <c r="C11" s="177">
        <v>22292.26</v>
      </c>
    </row>
    <row r="12" spans="1:3" x14ac:dyDescent="0.2">
      <c r="A12" t="s">
        <v>777</v>
      </c>
      <c r="B12" s="177">
        <v>48460</v>
      </c>
      <c r="C12" s="177">
        <v>3654.38</v>
      </c>
    </row>
    <row r="13" spans="1:3" x14ac:dyDescent="0.2">
      <c r="A13" t="str">
        <f>IF(B9=B13,IF(C9=C13,"Check Total OK","Check Total Error"),"Check Total Error")</f>
        <v>Check Total OK</v>
      </c>
      <c r="B13" s="169">
        <f>SUM(B10:B12)</f>
        <v>3153309.31</v>
      </c>
      <c r="C13" s="169">
        <f>SUM(C10:C12)</f>
        <v>1812264</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719144.13</v>
      </c>
      <c r="C18" s="167">
        <f>'DOE25'!G199+'DOE25'!G217+'DOE25'!G235+'DOE25'!G278+'DOE25'!G297+'DOE25'!G316</f>
        <v>360227.3</v>
      </c>
    </row>
    <row r="19" spans="1:3" x14ac:dyDescent="0.2">
      <c r="A19" t="s">
        <v>775</v>
      </c>
      <c r="B19" s="177">
        <v>393371.92</v>
      </c>
      <c r="C19" s="177">
        <v>307795.83</v>
      </c>
    </row>
    <row r="20" spans="1:3" x14ac:dyDescent="0.2">
      <c r="A20" t="s">
        <v>776</v>
      </c>
      <c r="B20" s="177">
        <v>298548.09999999998</v>
      </c>
      <c r="C20" s="177">
        <v>43438.01</v>
      </c>
    </row>
    <row r="21" spans="1:3" x14ac:dyDescent="0.2">
      <c r="A21" t="s">
        <v>777</v>
      </c>
      <c r="B21" s="177">
        <v>27224.11</v>
      </c>
      <c r="C21" s="177">
        <v>8993.4599999999991</v>
      </c>
    </row>
    <row r="22" spans="1:3" x14ac:dyDescent="0.2">
      <c r="A22" t="str">
        <f>IF(B18=B22,IF(C18=C22,"Check Total OK","Check Total Error"),"Check Total Error")</f>
        <v>Check Total OK</v>
      </c>
      <c r="B22" s="169">
        <f>SUM(B19:B21)</f>
        <v>719144.13</v>
      </c>
      <c r="C22" s="169">
        <f>SUM(C19:C21)</f>
        <v>360227.30000000005</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342377.86</v>
      </c>
      <c r="C36" s="173">
        <f>'DOE25'!G201+'DOE25'!G219+'DOE25'!G237+'DOE25'!G280+'DOE25'!G299+'DOE25'!G318</f>
        <v>87138.2</v>
      </c>
    </row>
    <row r="37" spans="1:3" x14ac:dyDescent="0.2">
      <c r="A37" t="s">
        <v>775</v>
      </c>
      <c r="B37" s="177">
        <v>328692.86</v>
      </c>
      <c r="C37" s="177">
        <v>83631.44</v>
      </c>
    </row>
    <row r="38" spans="1:3" x14ac:dyDescent="0.2">
      <c r="A38" t="s">
        <v>776</v>
      </c>
      <c r="B38" s="177"/>
      <c r="C38" s="177"/>
    </row>
    <row r="39" spans="1:3" x14ac:dyDescent="0.2">
      <c r="A39" t="s">
        <v>777</v>
      </c>
      <c r="B39" s="177">
        <v>13685</v>
      </c>
      <c r="C39" s="177">
        <v>3506.76</v>
      </c>
    </row>
    <row r="40" spans="1:3" x14ac:dyDescent="0.2">
      <c r="A40" t="str">
        <f>IF(B36=B40,IF(C36=C40,"Check Total OK","Check Total Error"),"Check Total Error")</f>
        <v>Check Total OK</v>
      </c>
      <c r="B40" s="169">
        <f>SUM(B37:B39)</f>
        <v>342377.86</v>
      </c>
      <c r="C40" s="169">
        <f>SUM(C37:C39)</f>
        <v>87138.2</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John Stark Regional</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8020979.4399999995</v>
      </c>
      <c r="D5" s="19">
        <f>SUM('DOE25'!L198:L201)+SUM('DOE25'!L216:L219)+SUM('DOE25'!L234:L237)-F5-G5-H5</f>
        <v>7469479.6200000001</v>
      </c>
      <c r="E5" s="180"/>
      <c r="F5" s="181">
        <f>(342500-25000)+(31678.5-25000)</f>
        <v>324178.5</v>
      </c>
      <c r="G5" s="19">
        <f>SUM('DOE25'!J198:J201)+SUM('DOE25'!J216:J219)+SUM('DOE25'!J234:J237)</f>
        <v>173359.68</v>
      </c>
      <c r="H5" s="19">
        <f>SUM('DOE25'!K198:K201)+SUM('DOE25'!K216:K219)+SUM('DOE25'!K234:K237)</f>
        <v>53961.64</v>
      </c>
      <c r="I5" s="192"/>
    </row>
    <row r="6" spans="1:9" x14ac:dyDescent="0.2">
      <c r="A6" s="31">
        <v>2100</v>
      </c>
      <c r="B6" t="s">
        <v>796</v>
      </c>
      <c r="C6" s="206">
        <f t="shared" si="0"/>
        <v>1093217.1100000001</v>
      </c>
      <c r="D6" s="19">
        <f>'DOE25'!L203+'DOE25'!L221+'DOE25'!L239-F6-G6-H6</f>
        <v>1093217.1100000001</v>
      </c>
      <c r="E6" s="180"/>
      <c r="F6" s="181"/>
      <c r="G6" s="19">
        <f>'DOE25'!J203+'DOE25'!J221+'DOE25'!J239</f>
        <v>0</v>
      </c>
      <c r="H6" s="19">
        <f>'DOE25'!K203+'DOE25'!K221+'DOE25'!K239</f>
        <v>0</v>
      </c>
      <c r="I6" s="192"/>
    </row>
    <row r="7" spans="1:9" x14ac:dyDescent="0.2">
      <c r="A7" s="31">
        <v>2200</v>
      </c>
      <c r="B7" t="s">
        <v>820</v>
      </c>
      <c r="C7" s="206">
        <f t="shared" si="0"/>
        <v>626536.14</v>
      </c>
      <c r="D7" s="19">
        <f>'DOE25'!L204+'DOE25'!L222+'DOE25'!L240-F7-G7-H7</f>
        <v>408284.98</v>
      </c>
      <c r="E7" s="180"/>
      <c r="F7" s="181"/>
      <c r="G7" s="19">
        <f>'DOE25'!J204+'DOE25'!J222+'DOE25'!J240</f>
        <v>125090.78</v>
      </c>
      <c r="H7" s="19">
        <f>'DOE25'!K204+'DOE25'!K222+'DOE25'!K240</f>
        <v>93160.38</v>
      </c>
      <c r="I7" s="192"/>
    </row>
    <row r="8" spans="1:9" x14ac:dyDescent="0.2">
      <c r="A8" s="31">
        <v>2300</v>
      </c>
      <c r="B8" t="s">
        <v>797</v>
      </c>
      <c r="C8" s="206">
        <f t="shared" si="0"/>
        <v>449475.28999999992</v>
      </c>
      <c r="D8" s="180"/>
      <c r="E8" s="19">
        <f>'DOE25'!L205+'DOE25'!L223+'DOE25'!L241-F8-G8-H8-D9-D11</f>
        <v>443195.86999999994</v>
      </c>
      <c r="F8" s="181"/>
      <c r="G8" s="19">
        <f>'DOE25'!J205+'DOE25'!J223+'DOE25'!J241</f>
        <v>0</v>
      </c>
      <c r="H8" s="19">
        <f>'DOE25'!K205+'DOE25'!K223+'DOE25'!K241</f>
        <v>6279.42</v>
      </c>
      <c r="I8" s="192"/>
    </row>
    <row r="9" spans="1:9" ht="14.25" x14ac:dyDescent="0.2">
      <c r="A9" s="31">
        <v>2310</v>
      </c>
      <c r="B9" s="71" t="s">
        <v>887</v>
      </c>
      <c r="C9" s="206">
        <f t="shared" si="0"/>
        <v>82137.83</v>
      </c>
      <c r="D9" s="181">
        <v>82137.83</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897372.76</v>
      </c>
      <c r="D12" s="19">
        <f>'DOE25'!L206+'DOE25'!L224+'DOE25'!L242-F12-G12-H12</f>
        <v>862054.56</v>
      </c>
      <c r="E12" s="180"/>
      <c r="F12" s="181"/>
      <c r="G12" s="19">
        <f>'DOE25'!J206+'DOE25'!J224+'DOE25'!J242</f>
        <v>0</v>
      </c>
      <c r="H12" s="19">
        <f>'DOE25'!K206+'DOE25'!K224+'DOE25'!K242</f>
        <v>35318.199999999997</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1285039.43</v>
      </c>
      <c r="D14" s="19">
        <f>'DOE25'!L208+'DOE25'!L226+'DOE25'!L244-F14-G14-H14</f>
        <v>1023756.0299999999</v>
      </c>
      <c r="E14" s="180"/>
      <c r="F14" s="181">
        <f>(45109-25000)+(139589.6-25000)+(120793-25000)+(41872.16-25000)</f>
        <v>247363.76</v>
      </c>
      <c r="G14" s="19">
        <f>'DOE25'!J208+'DOE25'!J226+'DOE25'!J244</f>
        <v>13919.64</v>
      </c>
      <c r="H14" s="19">
        <f>'DOE25'!K208+'DOE25'!K226+'DOE25'!K244</f>
        <v>0</v>
      </c>
      <c r="I14" s="192"/>
    </row>
    <row r="15" spans="1:9" x14ac:dyDescent="0.2">
      <c r="A15" s="31">
        <v>2700</v>
      </c>
      <c r="B15" t="s">
        <v>799</v>
      </c>
      <c r="C15" s="206">
        <f t="shared" si="0"/>
        <v>689808.19</v>
      </c>
      <c r="D15" s="19">
        <f>'DOE25'!L209+'DOE25'!L227+'DOE25'!L245-F15-G15-H15</f>
        <v>363427.16999999993</v>
      </c>
      <c r="E15" s="180"/>
      <c r="F15" s="181">
        <f>(351381.02-25000)</f>
        <v>326381.02</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105213.66</v>
      </c>
      <c r="D25" s="180"/>
      <c r="E25" s="180"/>
      <c r="F25" s="191"/>
      <c r="G25" s="180"/>
      <c r="H25" s="180"/>
      <c r="I25" s="190">
        <f>'DOE25'!L261+'DOE25'!L262+'DOE25'!L342+'DOE25'!L343</f>
        <v>105213.66</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202421.11000000007</v>
      </c>
      <c r="D29" s="212">
        <f>'DOE25'!L359+'DOE25'!L360+'DOE25'!L361-'DOE25'!I368-F29-G29-H29-F39</f>
        <v>201346.58000000007</v>
      </c>
      <c r="E29" s="180"/>
      <c r="F29" s="180"/>
      <c r="G29" s="19">
        <f>'DOE25'!J359+'DOE25'!J360+'DOE25'!J361</f>
        <v>274.52999999999997</v>
      </c>
      <c r="H29" s="19">
        <f>'DOE25'!K359+'DOE25'!K360+'DOE25'!K361</f>
        <v>800</v>
      </c>
      <c r="I29" s="192"/>
    </row>
    <row r="30" spans="1:9" x14ac:dyDescent="0.2">
      <c r="A30" s="31"/>
      <c r="C30" s="207"/>
      <c r="D30" s="19"/>
      <c r="F30" s="201"/>
      <c r="G30" s="19"/>
      <c r="H30" s="19"/>
      <c r="I30" s="192"/>
    </row>
    <row r="31" spans="1:9" x14ac:dyDescent="0.2">
      <c r="A31" s="31" t="s">
        <v>817</v>
      </c>
      <c r="B31" t="s">
        <v>816</v>
      </c>
      <c r="C31" s="206">
        <f>SUM(D31:I31)</f>
        <v>377043.74</v>
      </c>
      <c r="D31" s="19">
        <f>'DOE25'!L291+'DOE25'!L310+'DOE25'!L329+'DOE25'!L334+'DOE25'!L335+'DOE25'!L336-F31-G31-H31</f>
        <v>346215.11</v>
      </c>
      <c r="E31" s="180"/>
      <c r="F31" s="181"/>
      <c r="G31" s="19">
        <f>'DOE25'!J291+'DOE25'!J310+'DOE25'!J329+'DOE25'!J334+'DOE25'!J335+'DOE25'!J336</f>
        <v>16914.62</v>
      </c>
      <c r="H31" s="19">
        <f>'DOE25'!K291+'DOE25'!K310+'DOE25'!K329+'DOE25'!K334+'DOE25'!K335+'DOE25'!K336</f>
        <v>13914.01</v>
      </c>
      <c r="I31" s="192"/>
    </row>
    <row r="32" spans="1:9" ht="12" thickBot="1" x14ac:dyDescent="0.25">
      <c r="C32" s="207"/>
      <c r="G32" s="188"/>
      <c r="H32" s="188"/>
      <c r="I32" s="194"/>
    </row>
    <row r="33" spans="1:9" ht="12" thickTop="1" x14ac:dyDescent="0.2">
      <c r="B33" t="s">
        <v>809</v>
      </c>
      <c r="D33" s="182">
        <f t="shared" ref="D33:I33" si="1">SUM(D5:D31)</f>
        <v>11849918.99</v>
      </c>
      <c r="E33" s="182">
        <f t="shared" si="1"/>
        <v>443195.86999999994</v>
      </c>
      <c r="F33" s="182">
        <f t="shared" si="1"/>
        <v>897923.28</v>
      </c>
      <c r="G33" s="182">
        <f t="shared" si="1"/>
        <v>329559.25</v>
      </c>
      <c r="H33" s="182">
        <f t="shared" si="1"/>
        <v>203433.65000000002</v>
      </c>
      <c r="I33" s="182">
        <f t="shared" si="1"/>
        <v>105213.66</v>
      </c>
    </row>
    <row r="34" spans="1:9" ht="12" thickBot="1" x14ac:dyDescent="0.25"/>
    <row r="35" spans="1:9" ht="12" thickBot="1" x14ac:dyDescent="0.25">
      <c r="B35" s="188" t="s">
        <v>830</v>
      </c>
      <c r="D35" s="189">
        <f>E33</f>
        <v>443195.86999999994</v>
      </c>
      <c r="E35" s="185"/>
      <c r="F35" s="295" t="s">
        <v>1608</v>
      </c>
      <c r="G35" s="296"/>
      <c r="H35" s="296"/>
      <c r="I35" s="297"/>
    </row>
    <row r="36" spans="1:9" ht="12" thickTop="1" x14ac:dyDescent="0.2">
      <c r="B36" t="s">
        <v>810</v>
      </c>
      <c r="D36" s="19">
        <f>D33</f>
        <v>11849918.99</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20000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1"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3" zoomScale="80" zoomScaleNormal="80" workbookViewId="0">
      <selection activeCell="E39" sqref="E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John Stark Regional</v>
      </c>
      <c r="B2">
        <f>'DOE25'!B2</f>
        <v>275</v>
      </c>
      <c r="J2" s="224" t="s">
        <v>1808</v>
      </c>
      <c r="K2" s="309">
        <f>SUM('DOE25'!L198:L201)+SUM('DOE25'!L216:L219)+SUM('DOE25'!L234:L237)+SUM('DOE25'!L277:L280)+SUM('DOE25'!L296:L299)+SUM('DOE25'!L315:L318)</f>
        <v>8327163.5899999999</v>
      </c>
      <c r="L2" s="309">
        <f>'DOE25'!L203+'DOE25'!L221+'DOE25'!L239+'DOE25'!L282+'DOE25'!L301+'DOE25'!L320</f>
        <v>1093217.1100000001</v>
      </c>
      <c r="M2" s="309">
        <f>'DOE25'!L204+'DOE25'!L222+'DOE25'!L240+'DOE25'!L283+'DOE25'!L302+'DOE25'!L321</f>
        <v>651637.26</v>
      </c>
      <c r="N2" s="309">
        <f>'DOE25'!L206+'DOE25'!L224+'DOE25'!L242+'DOE25'!L285+'DOE25'!L304+'DOE25'!L323</f>
        <v>900654.39</v>
      </c>
      <c r="O2" s="309">
        <f>'Salaries-Benefits'!B10+'Salaries-Benefits'!B12+'Salaries-Benefits'!B19+'Salaries-Benefits'!B21+'Salaries-Benefits'!B28+'Salaries-Benefits'!B30+'Salaries-Benefits'!B37+'Salaries-Benefits'!B39</f>
        <v>3869275.9299999997</v>
      </c>
      <c r="P2" s="309">
        <f>'Salaries-Benefits'!B11+'Salaries-Benefits'!B20+'Salaries-Benefits'!B29+'Salaries-Benefits'!B38</f>
        <v>345555.37</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-8327163.5899999999</v>
      </c>
      <c r="L3" s="311">
        <f t="shared" ref="L3:P3" si="0">L21+L33+L43-L2</f>
        <v>-1093217.1100000001</v>
      </c>
      <c r="M3" s="311">
        <f t="shared" si="0"/>
        <v>-651637.26</v>
      </c>
      <c r="N3" s="311">
        <f t="shared" si="0"/>
        <v>-900654.39</v>
      </c>
      <c r="O3" s="311">
        <f t="shared" si="0"/>
        <v>-3869275.9299999997</v>
      </c>
      <c r="P3" s="311">
        <f t="shared" si="0"/>
        <v>-345555.37</v>
      </c>
      <c r="Q3" s="310"/>
      <c r="R3" s="306"/>
      <c r="S3" s="215"/>
      <c r="T3" s="215"/>
      <c r="U3" s="216"/>
    </row>
    <row r="4" spans="1:21" ht="55.5" customHeight="1" thickBot="1" x14ac:dyDescent="0.25">
      <c r="A4" s="224" t="s">
        <v>1522</v>
      </c>
      <c r="B4" s="224" t="s">
        <v>1523</v>
      </c>
      <c r="C4" s="224" t="s">
        <v>896</v>
      </c>
      <c r="D4" s="224" t="s">
        <v>786</v>
      </c>
      <c r="E4" s="224" t="s">
        <v>786</v>
      </c>
      <c r="F4" s="228">
        <f>SUM(F5:F20)</f>
        <v>0</v>
      </c>
      <c r="G4" s="229">
        <f>'DOE25'!L212+'DOE25'!L291</f>
        <v>0</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
      </c>
      <c r="B6" s="230" t="str">
        <f>IFERROR(VLOOKUP(A6,'School Tables'!$C$3:$D$365,2,FALSE),"")</f>
        <v/>
      </c>
      <c r="C6" s="223" t="str">
        <f>IFERROR(INDEX('School Tables'!$B$3:$B$365,MATCH('School Level Expenditures'!B6,'School Tables'!$D$3:$D$365,0)),"")</f>
        <v/>
      </c>
      <c r="D6" s="220"/>
      <c r="E6" s="220"/>
      <c r="F6" s="232">
        <f t="shared" ref="F6:F20" si="1">D6+E6</f>
        <v>0</v>
      </c>
      <c r="G6" s="223"/>
      <c r="H6" s="223"/>
      <c r="J6" t="str">
        <f>A6</f>
        <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0</v>
      </c>
      <c r="E21" s="262">
        <f>SUM(E5:E20)</f>
        <v>0</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13521609.929999998</v>
      </c>
      <c r="G36" s="229">
        <f>'DOE25'!L248+'DOE25'!L329</f>
        <v>13521609.929999998</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John Stark Regional High School</v>
      </c>
      <c r="B38" s="230">
        <f>IFERROR(VLOOKUP(A38,'School Tables'!$Y$4:$Z$100,2,FALSE),"")</f>
        <v>26380</v>
      </c>
      <c r="C38" s="223" t="str">
        <f>IFERROR(INDEX('School Tables'!$X$4:$X$100,MATCH('School Level Expenditures'!A38,'School Tables'!$Y$4:$Y$100,0)),"")</f>
        <v>John Stark Regional</v>
      </c>
      <c r="D38" s="18">
        <f>'DOE25'!L248</f>
        <v>13144566.189999998</v>
      </c>
      <c r="E38" s="220">
        <f>'DOE25'!L329</f>
        <v>377043.74</v>
      </c>
      <c r="F38" s="232">
        <f t="shared" si="7"/>
        <v>13521609.929999998</v>
      </c>
      <c r="G38" s="223"/>
      <c r="H38" s="223"/>
      <c r="J38" t="str">
        <f t="shared" ref="J38:J42" si="8">A38</f>
        <v>John Stark Regional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13144566.189999998</v>
      </c>
      <c r="E43" s="263">
        <f>SUM(E37:E42)</f>
        <v>377043.74</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view="pageLayout"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John Stark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1691632.32</v>
      </c>
      <c r="D8" s="73">
        <f>'DOE25'!G9</f>
        <v>0</v>
      </c>
      <c r="E8" s="73">
        <f>'DOE25'!H9</f>
        <v>0</v>
      </c>
      <c r="F8" s="73">
        <f>'DOE25'!I9</f>
        <v>0</v>
      </c>
      <c r="G8" s="73">
        <f>'DOE25'!J9</f>
        <v>670327.42999999993</v>
      </c>
      <c r="H8" s="13">
        <f>SUM(C8:G8)</f>
        <v>2361959.75</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181311.68</v>
      </c>
      <c r="D12" s="73">
        <f>'DOE25'!G13</f>
        <v>439044.71</v>
      </c>
      <c r="E12" s="73">
        <f>'DOE25'!H13</f>
        <v>271619.95999999996</v>
      </c>
      <c r="F12" s="73">
        <f>'DOE25'!I13</f>
        <v>0</v>
      </c>
      <c r="G12" s="73">
        <f>'DOE25'!J13</f>
        <v>0</v>
      </c>
      <c r="H12" s="13">
        <f t="shared" si="0"/>
        <v>891976.35</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30283.9</v>
      </c>
      <c r="D16" s="73">
        <f>'DOE25'!G17</f>
        <v>0</v>
      </c>
      <c r="E16" s="73">
        <f>'DOE25'!H17</f>
        <v>0</v>
      </c>
      <c r="F16" s="73">
        <f>'DOE25'!I17</f>
        <v>0</v>
      </c>
      <c r="G16" s="73">
        <f>'DOE25'!J17</f>
        <v>0</v>
      </c>
      <c r="H16" s="13">
        <f t="shared" si="0"/>
        <v>30283.9</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1903227.9</v>
      </c>
      <c r="D18" s="38">
        <f>SUM(D8:D17)</f>
        <v>439044.71</v>
      </c>
      <c r="E18" s="38">
        <f>SUM(E8:E17)</f>
        <v>271619.95999999996</v>
      </c>
      <c r="F18" s="38">
        <f>SUM(F8:F17)</f>
        <v>0</v>
      </c>
      <c r="G18" s="38">
        <f>SUM(G8:G17)</f>
        <v>670327.42999999993</v>
      </c>
      <c r="H18" s="38">
        <f t="shared" si="0"/>
        <v>3284220</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-489873.4</v>
      </c>
      <c r="D21" s="73">
        <f>'DOE25'!G22</f>
        <v>338349.23</v>
      </c>
      <c r="E21" s="73">
        <f>'DOE25'!H22</f>
        <v>151524.16999999998</v>
      </c>
      <c r="F21" s="73">
        <f>'DOE25'!I22</f>
        <v>0</v>
      </c>
      <c r="G21" s="73">
        <f>'DOE25'!J22</f>
        <v>0</v>
      </c>
      <c r="H21" s="13">
        <f t="shared" ref="H21:H31" si="1">SUM(C21:G21)</f>
        <v>-5.8207660913467407E-11</v>
      </c>
      <c r="I21" s="90"/>
    </row>
    <row r="22" spans="1:9" x14ac:dyDescent="0.2">
      <c r="A22" s="1" t="s">
        <v>151</v>
      </c>
      <c r="B22" s="6">
        <v>410</v>
      </c>
      <c r="C22" s="73">
        <f>'DOE25'!F23</f>
        <v>148707.68</v>
      </c>
      <c r="D22" s="73">
        <f>'DOE25'!G23</f>
        <v>0</v>
      </c>
      <c r="E22" s="73">
        <f>'DOE25'!H23</f>
        <v>69854.679999999993</v>
      </c>
      <c r="F22" s="73">
        <f>'DOE25'!I23</f>
        <v>0</v>
      </c>
      <c r="G22" s="73">
        <f>'DOE25'!J23</f>
        <v>0</v>
      </c>
      <c r="H22" s="13">
        <f t="shared" si="1"/>
        <v>218562.36</v>
      </c>
      <c r="I22" s="90"/>
    </row>
    <row r="23" spans="1:9" x14ac:dyDescent="0.2">
      <c r="A23" s="1" t="s">
        <v>152</v>
      </c>
      <c r="B23" s="6">
        <v>420</v>
      </c>
      <c r="C23" s="73">
        <f>'DOE25'!F24</f>
        <v>604131.75</v>
      </c>
      <c r="D23" s="73">
        <f>'DOE25'!G24</f>
        <v>5248.66</v>
      </c>
      <c r="E23" s="73">
        <f>'DOE25'!H24</f>
        <v>48537.24</v>
      </c>
      <c r="F23" s="73">
        <f>'DOE25'!I24</f>
        <v>0</v>
      </c>
      <c r="G23" s="73">
        <f>'DOE25'!J24</f>
        <v>0</v>
      </c>
      <c r="H23" s="13">
        <f t="shared" si="1"/>
        <v>657917.65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47855.77</v>
      </c>
      <c r="D27" s="73">
        <f>'DOE25'!G28</f>
        <v>0</v>
      </c>
      <c r="E27" s="73">
        <f>'DOE25'!H28</f>
        <v>0</v>
      </c>
      <c r="F27" s="73">
        <f>'DOE25'!I28</f>
        <v>0</v>
      </c>
      <c r="G27" s="23" t="s">
        <v>288</v>
      </c>
      <c r="H27" s="13">
        <f t="shared" si="1"/>
        <v>47855.77</v>
      </c>
      <c r="I27" s="90"/>
    </row>
    <row r="28" spans="1:9" x14ac:dyDescent="0.2">
      <c r="A28" s="1" t="s">
        <v>157</v>
      </c>
      <c r="B28" s="6">
        <v>470</v>
      </c>
      <c r="C28" s="73">
        <f>'DOE25'!F29</f>
        <v>26407.759999999998</v>
      </c>
      <c r="D28" s="73">
        <f>'DOE25'!G29</f>
        <v>0</v>
      </c>
      <c r="E28" s="73">
        <f>'DOE25'!H29</f>
        <v>0</v>
      </c>
      <c r="F28" s="73">
        <f>'DOE25'!I29</f>
        <v>0</v>
      </c>
      <c r="G28" s="23" t="s">
        <v>288</v>
      </c>
      <c r="H28" s="13">
        <f t="shared" si="1"/>
        <v>26407.759999999998</v>
      </c>
      <c r="I28" s="90"/>
    </row>
    <row r="29" spans="1:9" x14ac:dyDescent="0.2">
      <c r="A29" s="1" t="s">
        <v>158</v>
      </c>
      <c r="B29" s="6">
        <v>480</v>
      </c>
      <c r="C29" s="73">
        <f>'DOE25'!F30</f>
        <v>0</v>
      </c>
      <c r="D29" s="73">
        <f>'DOE25'!G30</f>
        <v>19682.5</v>
      </c>
      <c r="E29" s="73">
        <f>'DOE25'!H30</f>
        <v>1442.82</v>
      </c>
      <c r="F29" s="73">
        <f>'DOE25'!I30</f>
        <v>0</v>
      </c>
      <c r="G29" s="23" t="s">
        <v>288</v>
      </c>
      <c r="H29" s="13">
        <f t="shared" si="1"/>
        <v>21125.32</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337229.56</v>
      </c>
      <c r="D31" s="38">
        <f>SUM(D21:D30)</f>
        <v>363280.38999999996</v>
      </c>
      <c r="E31" s="38">
        <f>SUM(E21:E30)</f>
        <v>271358.90999999997</v>
      </c>
      <c r="F31" s="38">
        <f>SUM(F21:F30)</f>
        <v>0</v>
      </c>
      <c r="G31" s="38">
        <f>SUM(G21:G30)</f>
        <v>0</v>
      </c>
      <c r="H31" s="38">
        <f t="shared" si="1"/>
        <v>971868.85999999987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350000</v>
      </c>
      <c r="D45" s="23" t="s">
        <v>288</v>
      </c>
      <c r="E45" s="23" t="s">
        <v>288</v>
      </c>
      <c r="F45" s="23" t="s">
        <v>288</v>
      </c>
      <c r="G45" s="23" t="s">
        <v>288</v>
      </c>
      <c r="H45" s="13">
        <f t="shared" si="2"/>
        <v>350000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75764.320000000007</v>
      </c>
      <c r="E47" s="73">
        <f>'DOE25'!H48</f>
        <v>261.05</v>
      </c>
      <c r="F47" s="73">
        <f>'DOE25'!I48</f>
        <v>0</v>
      </c>
      <c r="G47" s="73">
        <f>'DOE25'!J48</f>
        <v>670327.42999999993</v>
      </c>
      <c r="H47" s="13">
        <f t="shared" si="2"/>
        <v>746352.79999999993</v>
      </c>
      <c r="I47" s="90"/>
    </row>
    <row r="48" spans="1:9" x14ac:dyDescent="0.2">
      <c r="A48" s="1" t="s">
        <v>881</v>
      </c>
      <c r="B48" s="6">
        <v>753</v>
      </c>
      <c r="C48" s="73">
        <f>'DOE25'!F49</f>
        <v>796938.58</v>
      </c>
      <c r="D48" s="73">
        <f>'DOE25'!G49</f>
        <v>0</v>
      </c>
      <c r="E48" s="73">
        <f>'DOE25'!H49</f>
        <v>0</v>
      </c>
      <c r="F48" s="73">
        <f>'DOE25'!I49</f>
        <v>0</v>
      </c>
      <c r="G48" s="73">
        <f>'DOE25'!J49</f>
        <v>0</v>
      </c>
      <c r="H48" s="13">
        <f t="shared" si="2"/>
        <v>796938.58</v>
      </c>
      <c r="I48" s="90"/>
    </row>
    <row r="49" spans="1:9" ht="12" thickBot="1" x14ac:dyDescent="0.25">
      <c r="A49" s="28" t="s">
        <v>882</v>
      </c>
      <c r="B49" s="56">
        <v>770</v>
      </c>
      <c r="C49" s="73">
        <f>'DOE25'!F50</f>
        <v>419059.76</v>
      </c>
      <c r="D49" s="23" t="s">
        <v>288</v>
      </c>
      <c r="E49" s="23" t="s">
        <v>288</v>
      </c>
      <c r="F49" s="23" t="s">
        <v>288</v>
      </c>
      <c r="G49" s="23" t="s">
        <v>288</v>
      </c>
      <c r="H49" s="13">
        <f t="shared" si="2"/>
        <v>419059.76</v>
      </c>
      <c r="I49" s="90"/>
    </row>
    <row r="50" spans="1:9" ht="12.75" thickTop="1" thickBot="1" x14ac:dyDescent="0.25">
      <c r="A50" s="35" t="s">
        <v>883</v>
      </c>
      <c r="B50" s="44"/>
      <c r="C50" s="38">
        <f>SUM(C34:C49)</f>
        <v>1565998.34</v>
      </c>
      <c r="D50" s="38">
        <f>SUM(D34:D49)</f>
        <v>75764.320000000007</v>
      </c>
      <c r="E50" s="38">
        <f>SUM(E34:E49)</f>
        <v>261.05</v>
      </c>
      <c r="F50" s="38">
        <f>SUM(F34:F49)</f>
        <v>0</v>
      </c>
      <c r="G50" s="38">
        <f>SUM(G34:G49)</f>
        <v>670327.42999999993</v>
      </c>
      <c r="H50" s="38">
        <f t="shared" si="2"/>
        <v>2312351.14</v>
      </c>
      <c r="I50" s="90"/>
    </row>
    <row r="51" spans="1:9" ht="12" thickTop="1" x14ac:dyDescent="0.2">
      <c r="A51" s="35" t="s">
        <v>884</v>
      </c>
      <c r="B51" s="2"/>
      <c r="C51" s="38">
        <f>C50+C31</f>
        <v>1903227.9000000001</v>
      </c>
      <c r="D51" s="38">
        <f>D50+D31</f>
        <v>439044.70999999996</v>
      </c>
      <c r="E51" s="38">
        <f>E50+E31</f>
        <v>271619.95999999996</v>
      </c>
      <c r="F51" s="38">
        <f>F50+F31</f>
        <v>0</v>
      </c>
      <c r="G51" s="38">
        <f>G50+G31</f>
        <v>670327.42999999993</v>
      </c>
      <c r="H51" s="38">
        <f t="shared" si="2"/>
        <v>3284220</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9261282</v>
      </c>
      <c r="D56" s="73">
        <f>'DOE25'!G60</f>
        <v>0</v>
      </c>
      <c r="E56" s="73">
        <f>'DOE25'!H60</f>
        <v>0</v>
      </c>
      <c r="F56" s="73">
        <f>'DOE25'!I60</f>
        <v>0</v>
      </c>
      <c r="G56" s="73">
        <f>'DOE25'!J60</f>
        <v>0</v>
      </c>
      <c r="H56" s="13">
        <f t="shared" ref="H56:H63" si="3">SUM(C56:G56)</f>
        <v>9261282</v>
      </c>
      <c r="I56"/>
    </row>
    <row r="57" spans="1:9" x14ac:dyDescent="0.2">
      <c r="A57" s="1" t="s">
        <v>164</v>
      </c>
      <c r="B57" s="6" t="s">
        <v>165</v>
      </c>
      <c r="C57" s="73">
        <f>'DOE25'!F79</f>
        <v>21720.77</v>
      </c>
      <c r="D57" s="23" t="s">
        <v>288</v>
      </c>
      <c r="E57" s="73">
        <f>'DOE25'!H79</f>
        <v>0</v>
      </c>
      <c r="F57" s="23" t="s">
        <v>288</v>
      </c>
      <c r="G57" s="23" t="s">
        <v>288</v>
      </c>
      <c r="H57" s="13">
        <f t="shared" si="3"/>
        <v>21720.77</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34405.599999999999</v>
      </c>
      <c r="D59" s="73">
        <f>'DOE25'!G96</f>
        <v>0</v>
      </c>
      <c r="E59" s="73">
        <f>'DOE25'!H96</f>
        <v>0</v>
      </c>
      <c r="F59" s="73">
        <f>'DOE25'!I96</f>
        <v>0</v>
      </c>
      <c r="G59" s="73">
        <f>'DOE25'!J96</f>
        <v>669.97</v>
      </c>
      <c r="H59" s="13">
        <f t="shared" si="3"/>
        <v>35075.57</v>
      </c>
      <c r="I59"/>
    </row>
    <row r="60" spans="1:9" x14ac:dyDescent="0.2">
      <c r="A60" s="1" t="s">
        <v>170</v>
      </c>
      <c r="B60" s="22" t="s">
        <v>171</v>
      </c>
      <c r="C60" s="23" t="s">
        <v>288</v>
      </c>
      <c r="D60" s="73">
        <f>'DOE25'!G97</f>
        <v>242491.3</v>
      </c>
      <c r="E60" s="23" t="s">
        <v>288</v>
      </c>
      <c r="F60" s="23" t="s">
        <v>288</v>
      </c>
      <c r="G60" s="23" t="s">
        <v>288</v>
      </c>
      <c r="H60" s="13">
        <f t="shared" si="3"/>
        <v>242491.3</v>
      </c>
      <c r="I60"/>
    </row>
    <row r="61" spans="1:9" ht="12" thickBot="1" x14ac:dyDescent="0.25">
      <c r="A61" s="1" t="s">
        <v>172</v>
      </c>
      <c r="B61" s="22" t="s">
        <v>173</v>
      </c>
      <c r="C61" s="73">
        <f>SUM('DOE25'!F98:F110)</f>
        <v>37848.46</v>
      </c>
      <c r="D61" s="73">
        <f>SUM('DOE25'!G98:G110)</f>
        <v>0</v>
      </c>
      <c r="E61" s="73">
        <f>SUM('DOE25'!H98:H110)</f>
        <v>0</v>
      </c>
      <c r="F61" s="73">
        <f>SUM('DOE25'!I98:I110)</f>
        <v>0</v>
      </c>
      <c r="G61" s="73">
        <f>SUM('DOE25'!J98:J110)</f>
        <v>0</v>
      </c>
      <c r="H61" s="13">
        <f t="shared" si="3"/>
        <v>37848.46</v>
      </c>
      <c r="I61"/>
    </row>
    <row r="62" spans="1:9" ht="12.75" thickTop="1" thickBot="1" x14ac:dyDescent="0.25">
      <c r="A62" s="28" t="s">
        <v>174</v>
      </c>
      <c r="B62" s="6"/>
      <c r="C62" s="93">
        <f>SUM(C57:C61)</f>
        <v>93974.829999999987</v>
      </c>
      <c r="D62" s="93">
        <f>SUM(D57:D61)</f>
        <v>242491.3</v>
      </c>
      <c r="E62" s="93">
        <f>SUM(E57:E61)</f>
        <v>0</v>
      </c>
      <c r="F62" s="93">
        <f>SUM(F57:F61)</f>
        <v>0</v>
      </c>
      <c r="G62" s="93">
        <f>SUM(G57:G61)</f>
        <v>669.97</v>
      </c>
      <c r="H62" s="13">
        <f t="shared" si="3"/>
        <v>337136.1</v>
      </c>
      <c r="I62"/>
    </row>
    <row r="63" spans="1:9" ht="12" thickTop="1" x14ac:dyDescent="0.2">
      <c r="A63" s="28" t="s">
        <v>175</v>
      </c>
      <c r="B63" s="6"/>
      <c r="C63" s="21">
        <f>C56+C62</f>
        <v>9355256.8300000001</v>
      </c>
      <c r="D63" s="21">
        <f>D56+D62</f>
        <v>242491.3</v>
      </c>
      <c r="E63" s="21">
        <f>E56+E62</f>
        <v>0</v>
      </c>
      <c r="F63" s="21">
        <f>F56+F62</f>
        <v>0</v>
      </c>
      <c r="G63" s="21">
        <f>G56+G62</f>
        <v>669.97</v>
      </c>
      <c r="H63" s="13">
        <f t="shared" si="3"/>
        <v>9598418.1000000015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2990974.04</v>
      </c>
      <c r="D66" s="23" t="s">
        <v>288</v>
      </c>
      <c r="E66" s="23" t="s">
        <v>288</v>
      </c>
      <c r="F66" s="23" t="s">
        <v>288</v>
      </c>
      <c r="G66" s="23" t="s">
        <v>288</v>
      </c>
      <c r="H66" s="13">
        <f t="shared" ref="H66:H81" si="4">SUM(C66:G66)</f>
        <v>2990974.04</v>
      </c>
      <c r="I66"/>
    </row>
    <row r="67" spans="1:9" x14ac:dyDescent="0.2">
      <c r="A67" s="1" t="s">
        <v>770</v>
      </c>
      <c r="B67" s="6">
        <v>3112</v>
      </c>
      <c r="C67" s="73">
        <f>'DOE25'!F118</f>
        <v>631992</v>
      </c>
      <c r="D67" s="23"/>
      <c r="E67" s="23"/>
      <c r="F67" s="23"/>
      <c r="G67" s="23"/>
      <c r="H67" s="13">
        <f t="shared" si="4"/>
        <v>631992</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66694.320000000007</v>
      </c>
      <c r="D69" s="73">
        <f>'DOE25'!G120</f>
        <v>0</v>
      </c>
      <c r="E69" s="73">
        <f>'DOE25'!H120</f>
        <v>0</v>
      </c>
      <c r="F69" s="73">
        <f>'DOE25'!I120</f>
        <v>0</v>
      </c>
      <c r="G69" s="73">
        <f>'DOE25'!J120</f>
        <v>0</v>
      </c>
      <c r="H69" s="13">
        <f t="shared" si="4"/>
        <v>66694.320000000007</v>
      </c>
      <c r="I69"/>
    </row>
    <row r="70" spans="1:9" ht="12" thickTop="1" x14ac:dyDescent="0.2">
      <c r="A70" s="28" t="s">
        <v>252</v>
      </c>
      <c r="B70" s="2"/>
      <c r="C70" s="97">
        <f>SUM(C66:C69)</f>
        <v>3689660.36</v>
      </c>
      <c r="D70" s="97">
        <f>D69</f>
        <v>0</v>
      </c>
      <c r="E70" s="97">
        <f>E69</f>
        <v>0</v>
      </c>
      <c r="F70" s="97">
        <f>F69</f>
        <v>0</v>
      </c>
      <c r="G70" s="97">
        <f>G69</f>
        <v>0</v>
      </c>
      <c r="H70" s="13">
        <f t="shared" si="4"/>
        <v>3689660.36</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130247.97</v>
      </c>
      <c r="D75" s="23" t="s">
        <v>288</v>
      </c>
      <c r="E75" s="23" t="s">
        <v>288</v>
      </c>
      <c r="F75" s="23" t="s">
        <v>288</v>
      </c>
      <c r="G75" s="23" t="s">
        <v>288</v>
      </c>
      <c r="H75" s="13">
        <f t="shared" si="4"/>
        <v>130247.97</v>
      </c>
      <c r="I75"/>
    </row>
    <row r="76" spans="1:9" x14ac:dyDescent="0.2">
      <c r="A76" s="1" t="s">
        <v>257</v>
      </c>
      <c r="B76" s="6" t="s">
        <v>179</v>
      </c>
      <c r="C76" s="73">
        <f>SUM('DOE25'!F127:F130)</f>
        <v>17709</v>
      </c>
      <c r="D76" s="23" t="s">
        <v>288</v>
      </c>
      <c r="E76" s="73">
        <f>SUM('DOE25'!H127:H130)</f>
        <v>5425</v>
      </c>
      <c r="F76" s="73">
        <f>SUM('DOE25'!I127:I130)</f>
        <v>0</v>
      </c>
      <c r="G76" s="23" t="s">
        <v>288</v>
      </c>
      <c r="H76" s="13">
        <f t="shared" si="4"/>
        <v>23134</v>
      </c>
      <c r="I76"/>
    </row>
    <row r="77" spans="1:9" ht="12" thickBot="1" x14ac:dyDescent="0.25">
      <c r="A77" s="1" t="s">
        <v>258</v>
      </c>
      <c r="B77" s="6" t="s">
        <v>180</v>
      </c>
      <c r="C77" s="73">
        <f>SUM('DOE25'!F131:F135)</f>
        <v>0</v>
      </c>
      <c r="D77" s="73">
        <f>SUM('DOE25'!G131:G135)</f>
        <v>4561.7</v>
      </c>
      <c r="E77" s="73">
        <f>SUM('DOE25'!H131:H135)</f>
        <v>0</v>
      </c>
      <c r="F77" s="73">
        <f>SUM('DOE25'!I131:I135)</f>
        <v>0</v>
      </c>
      <c r="G77" s="73">
        <f>SUM('DOE25'!J131:J135)</f>
        <v>0</v>
      </c>
      <c r="H77" s="13">
        <f t="shared" si="4"/>
        <v>4561.7</v>
      </c>
      <c r="I77"/>
    </row>
    <row r="78" spans="1:9" ht="12.75" thickTop="1" thickBot="1" x14ac:dyDescent="0.25">
      <c r="A78" s="28" t="s">
        <v>259</v>
      </c>
      <c r="B78" s="6"/>
      <c r="C78" s="93">
        <f>SUM(C72:C77)</f>
        <v>147956.97</v>
      </c>
      <c r="D78" s="93">
        <f>SUM(D72:D77)</f>
        <v>4561.7</v>
      </c>
      <c r="E78" s="93">
        <f>SUM(E72:E77)</f>
        <v>5425</v>
      </c>
      <c r="F78" s="93">
        <f>SUM(F72:F77)</f>
        <v>0</v>
      </c>
      <c r="G78" s="93">
        <f>SUM(G72:G77)</f>
        <v>0</v>
      </c>
      <c r="H78" s="13">
        <f t="shared" si="4"/>
        <v>157943.67000000001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3837617.33</v>
      </c>
      <c r="D81" s="93">
        <f>SUM(D79:D80)+D78+D70</f>
        <v>4561.7</v>
      </c>
      <c r="E81" s="93">
        <f>SUM(E79:E80)+E78+E70</f>
        <v>5425</v>
      </c>
      <c r="F81" s="93">
        <f>SUM(F79:F80)+F78+F70</f>
        <v>0</v>
      </c>
      <c r="G81" s="93">
        <f>SUM(G79:G80)+G78+G70</f>
        <v>0</v>
      </c>
      <c r="H81" s="93">
        <f t="shared" si="4"/>
        <v>3847604.0300000003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14338.58</v>
      </c>
      <c r="D85" s="73">
        <f>'DOE25'!G147</f>
        <v>0</v>
      </c>
      <c r="E85" s="73">
        <f>'DOE25'!H147</f>
        <v>7139.68</v>
      </c>
      <c r="F85" s="73">
        <f>'DOE25'!I147</f>
        <v>0</v>
      </c>
      <c r="G85" s="23" t="s">
        <v>288</v>
      </c>
      <c r="H85" s="13">
        <f t="shared" ref="H85:H104" si="5">SUM(C85:G85)</f>
        <v>21478.260000000002</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35257.22</v>
      </c>
      <c r="D88" s="253">
        <f>SUM('DOE25'!G153:G162)</f>
        <v>117383.25</v>
      </c>
      <c r="E88" s="253">
        <f>SUM('DOE25'!H153:H162)</f>
        <v>372251.71</v>
      </c>
      <c r="F88" s="253">
        <f>SUM('DOE25'!I153:I162)</f>
        <v>0</v>
      </c>
      <c r="G88" s="23" t="s">
        <v>288</v>
      </c>
      <c r="H88" s="13">
        <f t="shared" si="5"/>
        <v>524892.18000000005</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49595.8</v>
      </c>
      <c r="D91" s="94">
        <f>SUM(D85:D90)</f>
        <v>117383.25</v>
      </c>
      <c r="E91" s="94">
        <f>SUM(E85:E90)</f>
        <v>379391.39</v>
      </c>
      <c r="F91" s="94">
        <f>SUM(F85:F90)</f>
        <v>0</v>
      </c>
      <c r="G91" s="23" t="s">
        <v>288</v>
      </c>
      <c r="H91" s="13">
        <f t="shared" si="5"/>
        <v>546370.43999999994</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13242469.960000001</v>
      </c>
      <c r="D104" s="68">
        <f>D63+D81+D91+D103</f>
        <v>364436.25</v>
      </c>
      <c r="E104" s="68">
        <f>E63+E81+E91+E103</f>
        <v>384816.39</v>
      </c>
      <c r="F104" s="68">
        <f>F63+F81+F91+F103</f>
        <v>0</v>
      </c>
      <c r="G104" s="68">
        <f>G63+G81+G103</f>
        <v>669.97</v>
      </c>
      <c r="H104" s="68">
        <f t="shared" si="5"/>
        <v>13992392.570000002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5362940.5299999993</v>
      </c>
      <c r="D109" s="23" t="s">
        <v>288</v>
      </c>
      <c r="E109" s="73">
        <f>('DOE25'!L277)+('DOE25'!L296)+('DOE25'!L315)</f>
        <v>142180.75</v>
      </c>
      <c r="F109" s="23" t="s">
        <v>288</v>
      </c>
      <c r="G109" s="23" t="s">
        <v>288</v>
      </c>
      <c r="H109" s="13">
        <f t="shared" ref="H109:H115" si="6">SUM(C109:G109)</f>
        <v>5505121.2799999993</v>
      </c>
    </row>
    <row r="110" spans="1:8" x14ac:dyDescent="0.2">
      <c r="A110" t="s">
        <v>198</v>
      </c>
      <c r="B110" s="31" t="s">
        <v>199</v>
      </c>
      <c r="C110" s="73">
        <f>('DOE25'!L199)+('DOE25'!L217)+('DOE25'!L235)</f>
        <v>1935420.05</v>
      </c>
      <c r="D110" s="23" t="s">
        <v>288</v>
      </c>
      <c r="E110" s="73">
        <f>('DOE25'!L278)+('DOE25'!L297)+('DOE25'!L316)</f>
        <v>106769.25</v>
      </c>
      <c r="F110" s="23" t="s">
        <v>288</v>
      </c>
      <c r="G110" s="23" t="s">
        <v>288</v>
      </c>
      <c r="H110" s="13">
        <f t="shared" si="6"/>
        <v>2042189.3</v>
      </c>
    </row>
    <row r="111" spans="1:8" x14ac:dyDescent="0.2">
      <c r="A111" t="s">
        <v>200</v>
      </c>
      <c r="B111" s="31" t="s">
        <v>165</v>
      </c>
      <c r="C111" s="73">
        <f>('DOE25'!L200)+('DOE25'!L218)+('DOE25'!L236)</f>
        <v>120080.74</v>
      </c>
      <c r="D111" s="23" t="s">
        <v>288</v>
      </c>
      <c r="E111" s="73">
        <f>('DOE25'!L279)+('DOE25'!L298)+('DOE25'!L317)</f>
        <v>51809.15</v>
      </c>
      <c r="F111" s="23" t="s">
        <v>288</v>
      </c>
      <c r="G111" s="23" t="s">
        <v>288</v>
      </c>
      <c r="H111" s="13">
        <f t="shared" si="6"/>
        <v>171889.89</v>
      </c>
    </row>
    <row r="112" spans="1:8" x14ac:dyDescent="0.2">
      <c r="A112" t="s">
        <v>201</v>
      </c>
      <c r="B112" s="31" t="s">
        <v>167</v>
      </c>
      <c r="C112" s="73">
        <f>('DOE25'!L201)+('DOE25'!L219)+('DOE25'!L237)</f>
        <v>602538.12</v>
      </c>
      <c r="D112" s="23" t="s">
        <v>288</v>
      </c>
      <c r="E112" s="73">
        <f>+('DOE25'!L280)+('DOE25'!L299)+('DOE25'!L318)</f>
        <v>5425</v>
      </c>
      <c r="F112" s="23" t="s">
        <v>288</v>
      </c>
      <c r="G112" s="23" t="s">
        <v>288</v>
      </c>
      <c r="H112" s="13">
        <f t="shared" si="6"/>
        <v>607963.12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8020979.4399999995</v>
      </c>
      <c r="D115" s="68">
        <f>SUM(D109:D114)</f>
        <v>0</v>
      </c>
      <c r="E115" s="68">
        <f>SUM(E109:E114)</f>
        <v>306184.15000000002</v>
      </c>
      <c r="F115" s="68">
        <f>SUM(F109:F114)</f>
        <v>0</v>
      </c>
      <c r="G115" s="68">
        <f>SUM(G109:G114)</f>
        <v>0</v>
      </c>
      <c r="H115" s="68">
        <f t="shared" si="6"/>
        <v>8327163.5899999999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1093217.1100000001</v>
      </c>
      <c r="D118" s="23" t="s">
        <v>288</v>
      </c>
      <c r="E118" s="73">
        <f>+('DOE25'!L282)+('DOE25'!L301)+('DOE25'!L320)</f>
        <v>0</v>
      </c>
      <c r="F118" s="23" t="s">
        <v>288</v>
      </c>
      <c r="G118" s="23" t="s">
        <v>288</v>
      </c>
      <c r="H118" s="13">
        <f t="shared" ref="H118:H145" si="7">SUM(C118:G118)</f>
        <v>1093217.1100000001</v>
      </c>
    </row>
    <row r="119" spans="1:8" x14ac:dyDescent="0.2">
      <c r="A119" t="s">
        <v>208</v>
      </c>
      <c r="B119" s="31" t="s">
        <v>209</v>
      </c>
      <c r="C119" s="73">
        <f>('DOE25'!L204)+('DOE25'!L222)+('DOE25'!L240)</f>
        <v>626536.14</v>
      </c>
      <c r="D119" s="23" t="s">
        <v>288</v>
      </c>
      <c r="E119" s="73">
        <f>+('DOE25'!L283)+('DOE25'!L302)+('DOE25'!L321)</f>
        <v>25101.119999999999</v>
      </c>
      <c r="F119" s="23" t="s">
        <v>288</v>
      </c>
      <c r="G119" s="23" t="s">
        <v>288</v>
      </c>
      <c r="H119" s="13">
        <f t="shared" si="7"/>
        <v>651637.26</v>
      </c>
    </row>
    <row r="120" spans="1:8" x14ac:dyDescent="0.2">
      <c r="A120" t="s">
        <v>210</v>
      </c>
      <c r="B120" s="31" t="s">
        <v>211</v>
      </c>
      <c r="C120" s="73">
        <f>('DOE25'!L205)+('DOE25'!L223)+('DOE25'!L241)</f>
        <v>531613.12</v>
      </c>
      <c r="D120" s="23" t="s">
        <v>288</v>
      </c>
      <c r="E120" s="73">
        <f>+('DOE25'!L284)+('DOE25'!L303)+('DOE25'!L322)</f>
        <v>0</v>
      </c>
      <c r="F120" s="23" t="s">
        <v>288</v>
      </c>
      <c r="G120" s="23" t="s">
        <v>288</v>
      </c>
      <c r="H120" s="13">
        <f t="shared" si="7"/>
        <v>531613.12</v>
      </c>
    </row>
    <row r="121" spans="1:8" x14ac:dyDescent="0.2">
      <c r="A121" t="s">
        <v>212</v>
      </c>
      <c r="B121" s="31" t="s">
        <v>213</v>
      </c>
      <c r="C121" s="73">
        <f>('DOE25'!L206)+('DOE25'!L224)+('DOE25'!L242)</f>
        <v>897372.76</v>
      </c>
      <c r="D121" s="23" t="s">
        <v>288</v>
      </c>
      <c r="E121" s="73">
        <f>+('DOE25'!L285)+('DOE25'!L304)+('DOE25'!L323)</f>
        <v>3281.63</v>
      </c>
      <c r="F121" s="23" t="s">
        <v>288</v>
      </c>
      <c r="G121" s="23" t="s">
        <v>288</v>
      </c>
      <c r="H121" s="13">
        <f t="shared" si="7"/>
        <v>900654.39</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1285039.43</v>
      </c>
      <c r="D123" s="23" t="s">
        <v>288</v>
      </c>
      <c r="E123" s="73">
        <f>+('DOE25'!L287)+('DOE25'!L306)+('DOE25'!L325)</f>
        <v>0</v>
      </c>
      <c r="F123" s="23" t="s">
        <v>288</v>
      </c>
      <c r="G123" s="23" t="s">
        <v>288</v>
      </c>
      <c r="H123" s="13">
        <f t="shared" si="7"/>
        <v>1285039.43</v>
      </c>
    </row>
    <row r="124" spans="1:8" x14ac:dyDescent="0.2">
      <c r="A124" t="s">
        <v>218</v>
      </c>
      <c r="B124" s="31" t="s">
        <v>219</v>
      </c>
      <c r="C124" s="73">
        <f>('DOE25'!L209)+('DOE25'!L227)+('DOE25'!L245+'DOE25'!L255)</f>
        <v>689808.19</v>
      </c>
      <c r="D124" s="23" t="s">
        <v>288</v>
      </c>
      <c r="E124" s="73">
        <f>+('DOE25'!L288)+('DOE25'!L307)+('DOE25'!L326)</f>
        <v>42476.84</v>
      </c>
      <c r="F124" s="23" t="s">
        <v>288</v>
      </c>
      <c r="G124" s="23" t="s">
        <v>288</v>
      </c>
      <c r="H124" s="13">
        <f t="shared" si="7"/>
        <v>732285.02999999991</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375400.32000000007</v>
      </c>
      <c r="E127" s="23" t="s">
        <v>288</v>
      </c>
      <c r="F127" s="23" t="s">
        <v>288</v>
      </c>
      <c r="G127" s="23" t="s">
        <v>288</v>
      </c>
      <c r="H127" s="13">
        <f t="shared" si="7"/>
        <v>375400.32000000007</v>
      </c>
    </row>
    <row r="128" spans="1:8" ht="12.75" thickTop="1" thickBot="1" x14ac:dyDescent="0.25">
      <c r="A128" s="32" t="s">
        <v>226</v>
      </c>
      <c r="C128" s="68">
        <f>SUM(C118:C127)</f>
        <v>5123586.75</v>
      </c>
      <c r="D128" s="68">
        <f>SUM(D118:D127)</f>
        <v>375400.32000000007</v>
      </c>
      <c r="E128" s="68">
        <f>SUM(E118:E127)</f>
        <v>70859.59</v>
      </c>
      <c r="F128" s="68">
        <f>SUM(F118:F127)</f>
        <v>0</v>
      </c>
      <c r="G128" s="68">
        <f>SUM(G118:G127)</f>
        <v>0</v>
      </c>
      <c r="H128" s="68">
        <f t="shared" si="7"/>
        <v>5569846.6600000001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78342.87</v>
      </c>
      <c r="D131" s="23" t="s">
        <v>288</v>
      </c>
      <c r="E131" s="92">
        <f>'DOE25'!L342</f>
        <v>0</v>
      </c>
      <c r="F131" s="23" t="s">
        <v>288</v>
      </c>
      <c r="G131" s="23" t="s">
        <v>288</v>
      </c>
      <c r="H131" s="13">
        <f t="shared" si="7"/>
        <v>78342.87</v>
      </c>
    </row>
    <row r="132" spans="1:8" x14ac:dyDescent="0.2">
      <c r="A132" t="s">
        <v>230</v>
      </c>
      <c r="B132" s="31">
        <v>5120</v>
      </c>
      <c r="C132" s="73">
        <f>'DOE25'!L262</f>
        <v>26870.79</v>
      </c>
      <c r="D132" s="23" t="s">
        <v>288</v>
      </c>
      <c r="E132" s="92">
        <f>'DOE25'!L343</f>
        <v>0</v>
      </c>
      <c r="F132" s="23" t="s">
        <v>288</v>
      </c>
      <c r="G132" s="23" t="s">
        <v>288</v>
      </c>
      <c r="H132" s="13">
        <f t="shared" si="7"/>
        <v>26870.79</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7772.65</v>
      </c>
      <c r="F134" s="73">
        <f>'DOE25'!K382</f>
        <v>0</v>
      </c>
      <c r="G134" s="73">
        <f>'DOE25'!K435</f>
        <v>0</v>
      </c>
      <c r="H134" s="13">
        <f t="shared" si="7"/>
        <v>7772.65</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466.37</v>
      </c>
      <c r="D138" s="23" t="s">
        <v>288</v>
      </c>
      <c r="E138" s="23" t="s">
        <v>288</v>
      </c>
      <c r="F138" s="23" t="s">
        <v>288</v>
      </c>
      <c r="G138" s="23" t="s">
        <v>288</v>
      </c>
      <c r="H138" s="13">
        <f t="shared" si="7"/>
        <v>466.37</v>
      </c>
    </row>
    <row r="139" spans="1:8" x14ac:dyDescent="0.2">
      <c r="A139" t="s">
        <v>239</v>
      </c>
      <c r="B139" s="31">
        <v>5252</v>
      </c>
      <c r="C139" s="73">
        <f>'DOE25'!L402</f>
        <v>203.60000000000002</v>
      </c>
      <c r="D139" s="23" t="s">
        <v>288</v>
      </c>
      <c r="E139" s="23" t="s">
        <v>288</v>
      </c>
      <c r="F139" s="23" t="s">
        <v>288</v>
      </c>
      <c r="G139" s="23" t="s">
        <v>288</v>
      </c>
      <c r="H139" s="13">
        <f t="shared" si="7"/>
        <v>203.60000000000002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-669.97</v>
      </c>
      <c r="D141" s="23" t="s">
        <v>288</v>
      </c>
      <c r="E141" s="23" t="s">
        <v>288</v>
      </c>
      <c r="F141" s="23" t="s">
        <v>288</v>
      </c>
      <c r="G141" s="23" t="s">
        <v>288</v>
      </c>
      <c r="H141" s="13">
        <f t="shared" si="7"/>
        <v>-669.97</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105213.66</v>
      </c>
      <c r="D144" s="98">
        <f>SUM(D130:D143)</f>
        <v>0</v>
      </c>
      <c r="E144" s="98">
        <f>SUM(E130:E143)</f>
        <v>7772.65</v>
      </c>
      <c r="F144" s="98">
        <f>SUM(F130:F143)</f>
        <v>0</v>
      </c>
      <c r="G144" s="98">
        <f>SUM(G130:G143)</f>
        <v>0</v>
      </c>
      <c r="H144" s="98">
        <f t="shared" si="7"/>
        <v>112986.31</v>
      </c>
    </row>
    <row r="145" spans="1:9" ht="12.75" thickTop="1" thickBot="1" x14ac:dyDescent="0.25">
      <c r="A145" s="32" t="s">
        <v>244</v>
      </c>
      <c r="C145" s="68">
        <f>(C115+C128+C144)</f>
        <v>13249779.85</v>
      </c>
      <c r="D145" s="68">
        <f>(D115+D128+D144)</f>
        <v>375400.32000000007</v>
      </c>
      <c r="E145" s="68">
        <f>(E115+E128+E144)</f>
        <v>384816.39</v>
      </c>
      <c r="F145" s="68">
        <f>(F115+F128+F144)</f>
        <v>0</v>
      </c>
      <c r="G145" s="68">
        <f>(G115+G128+G144)</f>
        <v>0</v>
      </c>
      <c r="H145" s="68">
        <f t="shared" si="7"/>
        <v>14009996.560000001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John Stark Regional</v>
      </c>
    </row>
    <row r="3" spans="1:4" x14ac:dyDescent="0.2">
      <c r="B3" s="137" t="s">
        <v>1799</v>
      </c>
    </row>
    <row r="4" spans="1:4" x14ac:dyDescent="0.2">
      <c r="B4" t="s">
        <v>61</v>
      </c>
      <c r="C4" s="129">
        <f>IF('DOE25'!F666+'DOE25'!F671=0,0,ROUND('DOE25'!F673,0))</f>
        <v>0</v>
      </c>
    </row>
    <row r="5" spans="1:4" x14ac:dyDescent="0.2">
      <c r="B5" t="s">
        <v>700</v>
      </c>
      <c r="C5" s="129">
        <f>IF('DOE25'!G666+'DOE25'!G671=0,0,ROUND('DOE25'!G673,0))</f>
        <v>0</v>
      </c>
    </row>
    <row r="6" spans="1:4" x14ac:dyDescent="0.2">
      <c r="B6" t="s">
        <v>62</v>
      </c>
      <c r="C6" s="129">
        <f>IF('DOE25'!H666+'DOE25'!H671=0,0,ROUND('DOE25'!H673,0))</f>
        <v>21411</v>
      </c>
    </row>
    <row r="7" spans="1:4" x14ac:dyDescent="0.2">
      <c r="B7" t="s">
        <v>701</v>
      </c>
      <c r="C7" s="129">
        <f>IF('DOE25'!I666+'DOE25'!I671=0,0,ROUND('DOE25'!I673,0))</f>
        <v>21411</v>
      </c>
    </row>
    <row r="9" spans="1:4" x14ac:dyDescent="0.2">
      <c r="A9" s="136" t="s">
        <v>94</v>
      </c>
      <c r="B9" s="137" t="s">
        <v>1800</v>
      </c>
      <c r="C9" s="131" t="s">
        <v>720</v>
      </c>
      <c r="D9" s="131" t="s">
        <v>721</v>
      </c>
    </row>
    <row r="10" spans="1:4" x14ac:dyDescent="0.2">
      <c r="A10">
        <v>1100</v>
      </c>
      <c r="B10" t="s">
        <v>702</v>
      </c>
      <c r="C10" s="129">
        <f>ROUND('DOE25'!L198+'DOE25'!L216+'DOE25'!L234+'DOE25'!L277+'DOE25'!L296+'DOE25'!L315,0)</f>
        <v>5505121</v>
      </c>
      <c r="D10" s="132">
        <f>ROUND((C10/$C$28)*100,1)</f>
        <v>40.200000000000003</v>
      </c>
    </row>
    <row r="11" spans="1:4" x14ac:dyDescent="0.2">
      <c r="A11">
        <v>1200</v>
      </c>
      <c r="B11" t="s">
        <v>703</v>
      </c>
      <c r="C11" s="129">
        <f>ROUND('DOE25'!L199+'DOE25'!L217+'DOE25'!L235+'DOE25'!L278+'DOE25'!L297+'DOE25'!L316,0)</f>
        <v>2042189</v>
      </c>
      <c r="D11" s="132">
        <f>ROUND((C11/$C$28)*100,1)</f>
        <v>14.9</v>
      </c>
    </row>
    <row r="12" spans="1:4" x14ac:dyDescent="0.2">
      <c r="A12">
        <v>1300</v>
      </c>
      <c r="B12" t="s">
        <v>704</v>
      </c>
      <c r="C12" s="129">
        <f>ROUND('DOE25'!L200+'DOE25'!L218+'DOE25'!L236+'DOE25'!L279+'DOE25'!L298+'DOE25'!L317,0)</f>
        <v>171890</v>
      </c>
      <c r="D12" s="132">
        <f>ROUND((C12/$C$28)*100,1)</f>
        <v>1.3</v>
      </c>
    </row>
    <row r="13" spans="1:4" x14ac:dyDescent="0.2">
      <c r="A13">
        <v>1400</v>
      </c>
      <c r="B13" t="s">
        <v>705</v>
      </c>
      <c r="C13" s="129">
        <f>ROUND('DOE25'!L201+'DOE25'!L219+'DOE25'!L237+'DOE25'!L280+'DOE25'!L299+'DOE25'!L318,0)</f>
        <v>607963</v>
      </c>
      <c r="D13" s="132">
        <f>ROUND((C13/$C$28)*100,1)</f>
        <v>4.4000000000000004</v>
      </c>
    </row>
    <row r="14" spans="1:4" x14ac:dyDescent="0.2">
      <c r="D14" s="132"/>
    </row>
    <row r="15" spans="1:4" x14ac:dyDescent="0.2">
      <c r="A15">
        <v>2100</v>
      </c>
      <c r="B15" t="s">
        <v>706</v>
      </c>
      <c r="C15" s="129">
        <f>ROUND('DOE25'!L203+'DOE25'!L221+'DOE25'!L239+'DOE25'!L282+'DOE25'!L301+'DOE25'!L320,0)</f>
        <v>1093217</v>
      </c>
      <c r="D15" s="132">
        <f t="shared" ref="D15:D27" si="0">ROUND((C15/$C$28)*100,1)</f>
        <v>8</v>
      </c>
    </row>
    <row r="16" spans="1:4" x14ac:dyDescent="0.2">
      <c r="A16">
        <v>2200</v>
      </c>
      <c r="B16" t="s">
        <v>707</v>
      </c>
      <c r="C16" s="129">
        <f>ROUND('DOE25'!L204+'DOE25'!L222+'DOE25'!L240+'DOE25'!L283+'DOE25'!L302+'DOE25'!L321,0)</f>
        <v>651637</v>
      </c>
      <c r="D16" s="132">
        <f t="shared" si="0"/>
        <v>4.8</v>
      </c>
    </row>
    <row r="17" spans="1:4" x14ac:dyDescent="0.2">
      <c r="A17" s="133" t="s">
        <v>723</v>
      </c>
      <c r="B17" t="s">
        <v>738</v>
      </c>
      <c r="C17" s="129">
        <f>ROUND('DOE25'!L205+'DOE25'!L210+'DOE25'!L223+'DOE25'!L228+'DOE25'!L241+'DOE25'!L246+'DOE25'!L284+'DOE25'!L289+'DOE25'!L303+'DOE25'!L308+'DOE25'!L322+'DOE25'!L327,0)</f>
        <v>531613</v>
      </c>
      <c r="D17" s="132">
        <f t="shared" si="0"/>
        <v>3.9</v>
      </c>
    </row>
    <row r="18" spans="1:4" x14ac:dyDescent="0.2">
      <c r="A18">
        <v>2400</v>
      </c>
      <c r="B18" t="s">
        <v>711</v>
      </c>
      <c r="C18" s="129">
        <f>ROUND('DOE25'!L206+'DOE25'!L224+'DOE25'!L242+'DOE25'!L285+'DOE25'!L304+'DOE25'!L323,0)</f>
        <v>900654</v>
      </c>
      <c r="D18" s="132">
        <f t="shared" si="0"/>
        <v>6.6</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1285039</v>
      </c>
      <c r="D20" s="132">
        <f t="shared" si="0"/>
        <v>9.4</v>
      </c>
    </row>
    <row r="21" spans="1:4" x14ac:dyDescent="0.2">
      <c r="A21">
        <v>2700</v>
      </c>
      <c r="B21" t="s">
        <v>710</v>
      </c>
      <c r="C21" s="129">
        <f>ROUND('DOE25'!L209+'DOE25'!L227+'DOE25'!L245+'DOE25'!L288+'DOE25'!L307+'DOE25'!L326,0)</f>
        <v>732285</v>
      </c>
      <c r="D21" s="132">
        <f t="shared" si="0"/>
        <v>5.4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26871</v>
      </c>
      <c r="D25" s="132">
        <f t="shared" si="0"/>
        <v>0.2</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132908.70000000001</v>
      </c>
      <c r="D27" s="132">
        <f t="shared" si="0"/>
        <v>1</v>
      </c>
    </row>
    <row r="28" spans="1:4" x14ac:dyDescent="0.2">
      <c r="B28" s="136" t="s">
        <v>719</v>
      </c>
      <c r="C28" s="130">
        <f>SUM(C10:C27)</f>
        <v>13681387.699999999</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13681387.699999999</v>
      </c>
    </row>
    <row r="31" spans="1:4" x14ac:dyDescent="0.2">
      <c r="B31" s="32"/>
      <c r="C31" s="130"/>
    </row>
    <row r="32" spans="1:4" x14ac:dyDescent="0.2">
      <c r="A32">
        <v>5100</v>
      </c>
      <c r="B32" s="32" t="s">
        <v>726</v>
      </c>
      <c r="C32" s="130">
        <f>ROUND('DOE25'!L261+'DOE25'!L342,0)</f>
        <v>78343</v>
      </c>
    </row>
    <row r="34" spans="1:4" x14ac:dyDescent="0.2">
      <c r="A34" s="136" t="s">
        <v>94</v>
      </c>
      <c r="B34" s="137" t="s">
        <v>1801</v>
      </c>
      <c r="C34" s="131" t="s">
        <v>720</v>
      </c>
      <c r="D34" s="131" t="s">
        <v>721</v>
      </c>
    </row>
    <row r="35" spans="1:4" x14ac:dyDescent="0.2">
      <c r="A35">
        <v>1100</v>
      </c>
      <c r="B35" s="71" t="s">
        <v>727</v>
      </c>
      <c r="C35" s="129">
        <f>ROUND('DOE25'!F60+'DOE25'!G60+'DOE25'!H60+'DOE25'!I60+'DOE25'!J60,0)</f>
        <v>9261282</v>
      </c>
      <c r="D35" s="132">
        <f t="shared" ref="D35:D40" si="1">ROUND((C35/$C$41)*100,1)</f>
        <v>67.400000000000006</v>
      </c>
    </row>
    <row r="36" spans="1:4" x14ac:dyDescent="0.2">
      <c r="B36" s="71" t="s">
        <v>739</v>
      </c>
      <c r="C36" s="129">
        <f>SUM('DOE25'!F112:J112)-SUM('DOE25'!G97:G110)+('DOE25'!F175+'DOE25'!F176+'DOE25'!I175+'DOE25'!I176)-C35</f>
        <v>94644.800000000745</v>
      </c>
      <c r="D36" s="132">
        <f t="shared" si="1"/>
        <v>0.7</v>
      </c>
    </row>
    <row r="37" spans="1:4" x14ac:dyDescent="0.2">
      <c r="A37" s="133" t="s">
        <v>834</v>
      </c>
      <c r="B37" s="71" t="s">
        <v>728</v>
      </c>
      <c r="C37" s="129">
        <f>ROUND('DOE25'!F117+'DOE25'!F118,0)</f>
        <v>3622966</v>
      </c>
      <c r="D37" s="132">
        <f t="shared" si="1"/>
        <v>26.3</v>
      </c>
    </row>
    <row r="38" spans="1:4" x14ac:dyDescent="0.2">
      <c r="A38" s="133" t="s">
        <v>734</v>
      </c>
      <c r="B38" s="71" t="s">
        <v>729</v>
      </c>
      <c r="C38" s="129">
        <f>ROUND(SUM('DOE25'!F140:J140)-SUM('DOE25'!F117:F119),0)</f>
        <v>224638</v>
      </c>
      <c r="D38" s="132">
        <f t="shared" si="1"/>
        <v>1.6</v>
      </c>
    </row>
    <row r="39" spans="1:4" x14ac:dyDescent="0.2">
      <c r="A39">
        <v>4000</v>
      </c>
      <c r="B39" s="71" t="s">
        <v>730</v>
      </c>
      <c r="C39" s="129">
        <f>ROUND('DOE25'!F170+'DOE25'!G170+'DOE25'!H170+'DOE25'!I170,0)</f>
        <v>546370</v>
      </c>
      <c r="D39" s="132">
        <f t="shared" si="1"/>
        <v>4</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13749900.800000001</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John Stark Regional</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t="str">
        <f>IFERROR(SMALL($I$4:$I$325,ROWS($I$4:I4)),"")</f>
        <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35</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f>IF('School Level Expenditures'!$B$2='School Tables'!W38,'School Tables'!AD38,"")</f>
        <v>35</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2023-10-11T22:31:16Z</cp:lastPrinted>
  <dcterms:created xsi:type="dcterms:W3CDTF">1997-12-04T19:04:30Z</dcterms:created>
  <dcterms:modified xsi:type="dcterms:W3CDTF">2023-12-28T18:47:21Z</dcterms:modified>
</cp:coreProperties>
</file>