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A3098229-16EC-46AF-9ACF-451EA174016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8" i="14" l="1"/>
  <c r="O26" i="14"/>
  <c r="O10" i="14"/>
  <c r="O9" i="14"/>
  <c r="O8" i="14"/>
  <c r="O7" i="14"/>
  <c r="P38" i="14"/>
  <c r="P26" i="14"/>
  <c r="K527" i="1" l="1"/>
  <c r="I529" i="1"/>
  <c r="H529" i="1"/>
  <c r="I527" i="1"/>
  <c r="H527" i="1"/>
  <c r="I528" i="1"/>
  <c r="H528" i="1"/>
  <c r="J523" i="1"/>
  <c r="I523" i="1"/>
  <c r="J522" i="1"/>
  <c r="I522" i="1"/>
  <c r="J524" i="1"/>
  <c r="I524" i="1"/>
  <c r="G524" i="1"/>
  <c r="F524" i="1"/>
  <c r="K524" i="1" l="1"/>
  <c r="K523" i="1"/>
  <c r="G523" i="1"/>
  <c r="F523" i="1"/>
  <c r="K522" i="1"/>
  <c r="G522" i="1"/>
  <c r="F522" i="1"/>
  <c r="H544" i="1"/>
  <c r="H543" i="1"/>
  <c r="H542" i="1"/>
  <c r="G499" i="1"/>
  <c r="F499" i="1"/>
  <c r="F460" i="1"/>
  <c r="I401" i="1"/>
  <c r="J110" i="1" s="1"/>
  <c r="F50" i="1" l="1"/>
  <c r="F45" i="1"/>
  <c r="H30" i="1" l="1"/>
  <c r="I48" i="1" l="1"/>
  <c r="H22" i="1"/>
  <c r="H12" i="1"/>
  <c r="H13" i="1"/>
  <c r="G40" i="1"/>
  <c r="G30" i="1"/>
  <c r="G16" i="1"/>
  <c r="G13" i="1"/>
  <c r="G12" i="1"/>
  <c r="H235" i="1"/>
  <c r="H524" i="1" s="1"/>
  <c r="H217" i="1"/>
  <c r="H523" i="1" s="1"/>
  <c r="H199" i="1"/>
  <c r="H522" i="1" s="1"/>
  <c r="F16" i="1" l="1"/>
  <c r="F35" i="1"/>
  <c r="F29" i="1"/>
  <c r="F22" i="1"/>
  <c r="F12" i="1"/>
  <c r="H368" i="1"/>
  <c r="G368" i="1"/>
  <c r="F36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E112" i="2" s="1"/>
  <c r="L282" i="1"/>
  <c r="L283" i="1"/>
  <c r="L284" i="1"/>
  <c r="L285" i="1"/>
  <c r="L286" i="1"/>
  <c r="L287" i="1"/>
  <c r="L288" i="1"/>
  <c r="L289" i="1"/>
  <c r="E125" i="2" s="1"/>
  <c r="H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L612" i="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I605" i="1" s="1"/>
  <c r="I606" i="1" s="1"/>
  <c r="K230" i="1"/>
  <c r="F248" i="1"/>
  <c r="G248" i="1"/>
  <c r="H248" i="1"/>
  <c r="I248" i="1"/>
  <c r="J248" i="1"/>
  <c r="J605"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J606" i="1"/>
  <c r="F615" i="1"/>
  <c r="G615" i="1"/>
  <c r="H615" i="1"/>
  <c r="I615" i="1"/>
  <c r="J615" i="1"/>
  <c r="K615" i="1"/>
  <c r="G623" i="1"/>
  <c r="G624" i="1"/>
  <c r="G641" i="1"/>
  <c r="G644" i="1"/>
  <c r="G645" i="1"/>
  <c r="G646" i="1"/>
  <c r="G651" i="1"/>
  <c r="G652" i="1"/>
  <c r="H653" i="1"/>
  <c r="G654" i="1"/>
  <c r="H654" i="1"/>
  <c r="H655" i="1"/>
  <c r="H656" i="1"/>
  <c r="I170" i="1"/>
  <c r="H605" i="1" l="1"/>
  <c r="H35" i="2"/>
  <c r="H13" i="2"/>
  <c r="H9" i="2"/>
  <c r="E13" i="13"/>
  <c r="C13" i="13" s="1"/>
  <c r="F664" i="1"/>
  <c r="H73" i="2"/>
  <c r="H72" i="2"/>
  <c r="H58" i="2"/>
  <c r="G664" i="1"/>
  <c r="H132" i="2"/>
  <c r="G662" i="1"/>
  <c r="H664" i="1"/>
  <c r="I664" i="1" s="1"/>
  <c r="J652" i="1"/>
  <c r="G625" i="1"/>
  <c r="I409" i="1"/>
  <c r="H77" i="2"/>
  <c r="H69" i="2"/>
  <c r="H30" i="2"/>
  <c r="H28" i="2"/>
  <c r="H25" i="2"/>
  <c r="H17" i="2"/>
  <c r="H38" i="2"/>
  <c r="H43" i="2"/>
  <c r="H47" i="2"/>
  <c r="H100" i="2"/>
  <c r="H143" i="2"/>
  <c r="G409" i="1"/>
  <c r="H646" i="1" s="1"/>
  <c r="J646" i="1" s="1"/>
  <c r="H96" i="2"/>
  <c r="H80" i="2"/>
  <c r="H102" i="2"/>
  <c r="H23" i="2"/>
  <c r="H11" i="2"/>
  <c r="H89" i="2"/>
  <c r="H34" i="2"/>
  <c r="J140" i="1"/>
  <c r="J194" i="1" s="1"/>
  <c r="D18" i="13"/>
  <c r="C18" i="13" s="1"/>
  <c r="D15" i="13"/>
  <c r="C15" i="13" s="1"/>
  <c r="H135" i="2"/>
  <c r="H29" i="2"/>
  <c r="H27" i="2"/>
  <c r="H24" i="2"/>
  <c r="H12" i="2"/>
  <c r="H8" i="2"/>
  <c r="H36" i="2"/>
  <c r="H44" i="2"/>
  <c r="H48" i="2"/>
  <c r="H101" i="2"/>
  <c r="H99" i="2"/>
  <c r="H79" i="2"/>
  <c r="H76" i="2"/>
  <c r="H113" i="2"/>
  <c r="J112" i="1"/>
  <c r="E121" i="2"/>
  <c r="D144" i="2"/>
  <c r="H98" i="2"/>
  <c r="H15" i="2"/>
  <c r="H97" i="2"/>
  <c r="H87" i="2"/>
  <c r="H22" i="2"/>
  <c r="C112" i="2"/>
  <c r="H112" i="2" s="1"/>
  <c r="C12" i="10"/>
  <c r="C119" i="2"/>
  <c r="H59" i="2"/>
  <c r="D29" i="13"/>
  <c r="C29" i="13" s="1"/>
  <c r="H61" i="2"/>
  <c r="C110" i="2"/>
  <c r="L2" i="14"/>
  <c r="L3" i="14" s="1"/>
  <c r="C13" i="10"/>
  <c r="N2" i="14"/>
  <c r="N3" i="14" s="1"/>
  <c r="A40" i="12"/>
  <c r="K2" i="14"/>
  <c r="K3" i="14" s="1"/>
  <c r="M2" i="14"/>
  <c r="M3" i="14" s="1"/>
  <c r="C120" i="2"/>
  <c r="H120" i="2" s="1"/>
  <c r="D6" i="13"/>
  <c r="C6" i="13" s="1"/>
  <c r="C121" i="2"/>
  <c r="H121" i="2"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B17" i="16" l="1"/>
  <c r="B19" i="16" s="1"/>
  <c r="G473" i="1"/>
  <c r="H21" i="2"/>
  <c r="H103" i="2"/>
  <c r="H122" i="2"/>
  <c r="K605" i="1"/>
  <c r="K606" i="1" s="1"/>
  <c r="G649" i="1" s="1"/>
  <c r="H606" i="1"/>
  <c r="G647" i="1"/>
  <c r="J469" i="1"/>
  <c r="E51" i="2"/>
  <c r="H31" i="2"/>
  <c r="G637" i="1"/>
  <c r="I473" i="1"/>
  <c r="H18" i="2"/>
  <c r="H134" i="2"/>
  <c r="H50" i="2"/>
  <c r="D51" i="2"/>
  <c r="H57" i="2"/>
  <c r="H85" i="2"/>
  <c r="E144" i="2"/>
  <c r="H42" i="2"/>
  <c r="L572" i="1"/>
  <c r="H16" i="2"/>
  <c r="H119" i="2"/>
  <c r="H91" i="2"/>
  <c r="D128" i="2"/>
  <c r="D145" i="2" s="1"/>
  <c r="H127" i="2"/>
  <c r="I662" i="1"/>
  <c r="C81" i="2"/>
  <c r="H123" i="2"/>
  <c r="E128" i="2"/>
  <c r="H110" i="2"/>
  <c r="G24" i="14"/>
  <c r="H24" i="14" s="1"/>
  <c r="I24" i="14" s="1"/>
  <c r="F194" i="1"/>
  <c r="E63" i="2"/>
  <c r="H62" i="2"/>
  <c r="E81" i="2"/>
  <c r="H81" i="2" s="1"/>
  <c r="H78" i="2"/>
  <c r="F661" i="1"/>
  <c r="F665" i="1" s="1"/>
  <c r="F670" i="1" s="1"/>
  <c r="E115" i="2"/>
  <c r="H109" i="2"/>
  <c r="F144" i="2"/>
  <c r="H130" i="2"/>
  <c r="H661" i="1"/>
  <c r="H665" i="1" s="1"/>
  <c r="H194" i="1"/>
  <c r="H649" i="1"/>
  <c r="J649" i="1" s="1"/>
  <c r="C141" i="2"/>
  <c r="F51" i="2"/>
  <c r="G36" i="14"/>
  <c r="H36" i="14" s="1"/>
  <c r="C36" i="10"/>
  <c r="L435"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1" i="1" l="1"/>
  <c r="I469" i="1"/>
  <c r="G634" i="1"/>
  <c r="H473" i="1"/>
  <c r="G630" i="1"/>
  <c r="H469" i="1"/>
  <c r="G628" i="1"/>
  <c r="F469" i="1"/>
  <c r="G475" i="1"/>
  <c r="H636" i="1"/>
  <c r="J636" i="1" s="1"/>
  <c r="G629" i="1"/>
  <c r="G469" i="1"/>
  <c r="G639" i="1"/>
  <c r="J473" i="1"/>
  <c r="J466" i="1"/>
  <c r="H632" i="1"/>
  <c r="J471" i="1"/>
  <c r="H638" i="1"/>
  <c r="J632" i="1"/>
  <c r="H51" i="2"/>
  <c r="I466" i="1"/>
  <c r="I475" i="1"/>
  <c r="H637" i="1"/>
  <c r="J637" i="1" s="1"/>
  <c r="G633" i="1"/>
  <c r="F473" i="1"/>
  <c r="E104" i="2"/>
  <c r="C104" i="2"/>
  <c r="H104" i="2" s="1"/>
  <c r="C144" i="2"/>
  <c r="H144" i="2" s="1"/>
  <c r="H141" i="2"/>
  <c r="M24" i="14"/>
  <c r="H128" i="2"/>
  <c r="H63" i="2"/>
  <c r="M36" i="14"/>
  <c r="I36" i="14"/>
  <c r="H115" i="2"/>
  <c r="E145" i="2"/>
  <c r="H668" i="1"/>
  <c r="H670" i="1"/>
  <c r="H673" i="1" s="1"/>
  <c r="C6" i="10" s="1"/>
  <c r="G670" i="1"/>
  <c r="G673" i="1" s="1"/>
  <c r="C5" i="10" s="1"/>
  <c r="F668" i="1"/>
  <c r="F145" i="2"/>
  <c r="I661" i="1"/>
  <c r="I665" i="1"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0" i="1" l="1"/>
  <c r="H471" i="1"/>
  <c r="H466" i="1"/>
  <c r="G466" i="1"/>
  <c r="G471" i="1"/>
  <c r="H629" i="1"/>
  <c r="J629" i="1" s="1"/>
  <c r="H475" i="1"/>
  <c r="H634" i="1"/>
  <c r="J634" i="1"/>
  <c r="H631" i="1"/>
  <c r="I471" i="1"/>
  <c r="J631" i="1"/>
  <c r="J630" i="1"/>
  <c r="H628" i="1"/>
  <c r="J628" i="1" s="1"/>
  <c r="F471" i="1"/>
  <c r="H639" i="1"/>
  <c r="J475" i="1"/>
  <c r="J639" i="1"/>
  <c r="J477" i="1"/>
  <c r="H627" i="1" s="1"/>
  <c r="J627" i="1" s="1"/>
  <c r="J638" i="1"/>
  <c r="I477" i="1"/>
  <c r="H626" i="1" s="1"/>
  <c r="J626" i="1" s="1"/>
  <c r="F466" i="1"/>
  <c r="F475" i="1"/>
  <c r="H633" i="1"/>
  <c r="J633" i="1" s="1"/>
  <c r="H145" i="2"/>
  <c r="I670" i="1"/>
  <c r="I673" i="1" s="1"/>
  <c r="C7" i="10" s="1"/>
  <c r="F673" i="1"/>
  <c r="C4" i="10" s="1"/>
  <c r="I668" i="1"/>
  <c r="D28" i="10"/>
  <c r="D37" i="10"/>
  <c r="D36" i="10"/>
  <c r="D35" i="10"/>
  <c r="D40" i="10"/>
  <c r="D39" i="10"/>
  <c r="H477" i="1" l="1"/>
  <c r="H625" i="1" s="1"/>
  <c r="J625" i="1" s="1"/>
  <c r="B31" i="16"/>
  <c r="G477" i="1"/>
  <c r="F477" i="1"/>
  <c r="H623" i="1" s="1"/>
  <c r="D41" i="10"/>
  <c r="B33" i="16" l="1"/>
  <c r="H624" i="1"/>
  <c r="J624" i="1" s="1"/>
  <c r="J623" i="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<sst xmlns="http://schemas.openxmlformats.org/spreadsheetml/2006/main" count="6570" uniqueCount="1825">
  <si>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</si>
  <si>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</si>
  <si>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</si>
  <si>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</si>
  <si>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</si>
  <si>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</si>
  <si>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</si>
  <si>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</si>
  <si>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</si>
  <si>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</si>
  <si>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</si>
  <si>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</si>
  <si>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</si>
  <si>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</si>
  <si>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</si>
  <si>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</si>
  <si>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</si>
  <si>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</si>
  <si>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</si>
  <si>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</si>
  <si>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</si>
  <si>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</si>
  <si>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</si>
  <si>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</si>
  <si>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</si>
  <si>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</si>
  <si>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</si>
  <si>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</si>
  <si>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</si>
  <si>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</si>
  <si>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</si>
  <si>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</si>
  <si>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</si>
  <si>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</si>
  <si>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</si>
  <si>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</si>
  <si>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</si>
  <si>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</si>
  <si>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</si>
  <si>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</si>
  <si>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</si>
  <si>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</si>
  <si>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</si>
  <si>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</si>
  <si>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</si>
  <si>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</si>
  <si>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</si>
  <si>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</si>
  <si>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</si>
  <si>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</si>
  <si>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</si>
  <si>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</si>
  <si>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</si>
  <si>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</si>
  <si>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</si>
  <si>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</si>
  <si>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</si>
  <si>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</si>
  <si>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</si>
  <si>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</si>
  <si>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</si>
  <si>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</si>
  <si>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</si>
  <si>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</si>
  <si>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</si>
  <si>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</si>
  <si>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</si>
  <si>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</si>
  <si>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</si>
  <si>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</si>
  <si>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</si>
  <si>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</si>
  <si>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</si>
  <si>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</si>
  <si>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</si>
  <si>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</si>
  <si>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</si>
  <si>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</si>
  <si>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</si>
  <si>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</si>
  <si>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</si>
  <si>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</si>
  <si>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</si>
  <si>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</si>
  <si>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</si>
  <si>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</si>
  <si>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</si>
  <si>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</si>
  <si>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</si>
  <si>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</si>
  <si>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</si>
  <si>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</si>
  <si>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</si>
  <si>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</si>
  <si>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</si>
  <si>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</si>
  <si>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</si>
  <si>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</si>
  <si>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</si>
  <si>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</si>
  <si>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</si>
  <si>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</si>
  <si>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</si>
  <si>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</si>
  <si>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</si>
  <si>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</si>
  <si>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</si>
  <si>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</si>
  <si>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</si>
  <si>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</si>
  <si>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</si>
  <si>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</si>
  <si>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</si>
  <si>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</si>
  <si>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</si>
  <si>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</si>
  <si>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</si>
  <si>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</si>
  <si>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</si>
  <si>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</si>
  <si>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</si>
  <si>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</si>
  <si>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</si>
  <si>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</si>
  <si>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</si>
  <si>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</si>
  <si>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</si>
  <si>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</si>
  <si>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</si>
  <si>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</si>
  <si>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</si>
  <si>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</si>
  <si>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</si>
  <si>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</si>
  <si>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</si>
  <si>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</si>
  <si>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</si>
  <si>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</si>
  <si>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</si>
  <si>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</si>
  <si>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</si>
  <si>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</si>
  <si>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</si>
  <si>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</si>
  <si>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</si>
  <si>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</si>
  <si>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</si>
  <si>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</si>
  <si>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</si>
  <si>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</si>
  <si>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</si>
  <si>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</si>
  <si>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</si>
  <si>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</si>
  <si>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</si>
  <si>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</si>
  <si>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</si>
  <si>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</si>
  <si>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</si>
  <si>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</si>
  <si>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</si>
  <si>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</si>
  <si>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</si>
  <si>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</si>
  <si>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</si>
  <si>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</si>
  <si>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</si>
  <si>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</si>
  <si>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</si>
  <si>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</si>
  <si>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</si>
  <si>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</si>
  <si>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</si>
  <si>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</si>
  <si>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</si>
  <si>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</si>
  <si>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</si>
  <si>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</si>
  <si>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</si>
  <si>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</si>
  <si>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</si>
  <si>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</si>
  <si>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</si>
  <si>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</si>
  <si>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</si>
  <si>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</si>
  <si>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</si>
  <si>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</si>
  <si>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</si>
  <si>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</si>
  <si>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</si>
  <si>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</si>
  <si>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</si>
  <si>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</si>
  <si>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</si>
  <si>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</si>
  <si>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</si>
  <si>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</si>
  <si>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</si>
  <si>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</si>
  <si>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</si>
  <si>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</si>
  <si>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</si>
  <si>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</si>
  <si>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</si>
  <si>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</si>
  <si>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</si>
  <si>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</si>
  <si>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</si>
  <si>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</si>
  <si>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</si>
  <si>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</si>
  <si>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</si>
  <si>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</si>
  <si>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</si>
  <si>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</si>
  <si>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</si>
  <si>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</si>
  <si>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</si>
  <si>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</si>
  <si>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</si>
  <si>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</si>
  <si>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</si>
  <si>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</si>
  <si>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</si>
  <si>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</si>
  <si>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</si>
  <si>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</si>
  <si>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</si>
  <si>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</si>
  <si>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</si>
  <si>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</si>
  <si>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</si>
  <si>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</si>
  <si>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</si>
  <si>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</si>
  <si>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</si>
  <si>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</si>
  <si>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</si>
  <si>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</si>
  <si>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</si>
  <si>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</si>
  <si>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</si>
  <si>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</si>
  <si>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</si>
  <si>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</si>
  <si>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</si>
  <si>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</si>
  <si>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</si>
  <si>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</si>
  <si>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</si>
  <si>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</si>
  <si>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</si>
  <si>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</si>
  <si>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</si>
  <si>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</si>
  <si>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</si>
  <si>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</si>
  <si>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</si>
  <si>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</si>
  <si>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</si>
  <si>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</si>
  <si>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</si>
  <si>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</si>
  <si>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</si>
  <si>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</si>
  <si>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</si>
  <si>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</si>
  <si>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</si>
  <si>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</si>
  <si>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</si>
  <si>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</si>
  <si>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</si>
  <si>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</si>
  <si>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</si>
  <si>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</si>
  <si>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</si>
  <si>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</si>
  <si>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</si>
  <si>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</si>
  <si>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</si>
  <si>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</si>
  <si>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</si>
  <si>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</si>
  <si>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</si>
  <si>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</si>
  <si>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</si>
  <si>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</si>
  <si>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</si>
  <si>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</si>
  <si>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</si>
  <si>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</si>
  <si>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</si>
  <si>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</si>
  <si>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</si>
  <si>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</si>
  <si>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</si>
  <si>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</si>
  <si>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</si>
  <si>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</si>
  <si>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</si>
  <si>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</si>
  <si>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</si>
  <si>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</si>
  <si>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</si>
  <si>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</si>
  <si>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</si>
  <si>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</si>
  <si>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</si>
  <si>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</si>
  <si>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</si>
  <si>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</si>
  <si>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</si>
  <si>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</si>
  <si>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</si>
  <si>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</si>
  <si>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</si>
  <si>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</si>
  <si>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</si>
  <si>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</si>
  <si>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</si>
  <si>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</si>
  <si>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</si>
  <si>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</si>
  <si>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</si>
  <si>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</si>
  <si>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</si>
  <si>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</si>
  <si>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</si>
  <si>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</si>
  <si>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</si>
  <si>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</si>
  <si>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</si>
  <si>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</si>
  <si>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</si>
  <si>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</si>
  <si>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</si>
  <si>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</si>
  <si>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</si>
  <si>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</si>
  <si>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</si>
  <si>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</si>
  <si>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</si>
  <si>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</si>
  <si>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</si>
  <si>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</si>
  <si>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</si>
  <si>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</si>
  <si>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</si>
  <si>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</si>
  <si>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</si>
  <si>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</si>
  <si>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</si>
  <si>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</si>
  <si>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</si>
  <si>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</si>
  <si>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</si>
  <si>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</si>
  <si>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</si>
  <si>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</si>
  <si>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</si>
  <si>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</si>
  <si>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</si>
  <si>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</si>
  <si>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</si>
  <si>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</si>
  <si>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</si>
  <si>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</si>
  <si>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</si>
  <si>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</si>
  <si>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</si>
  <si>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</si>
  <si>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</si>
  <si>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</si>
  <si>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</si>
  <si>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</si>
  <si>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</si>
  <si>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</si>
  <si>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</si>
  <si>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</si>
  <si>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</si>
  <si>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</si>
  <si>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</si>
  <si>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</si>
  <si>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</si>
  <si>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</si>
  <si>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</si>
  <si>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</si>
  <si>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</si>
  <si>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</si>
  <si>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</si>
  <si>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</si>
  <si>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</si>
  <si>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</si>
  <si>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</si>
  <si>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</si>
  <si>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</si>
  <si>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</si>
  <si>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</si>
  <si>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</si>
  <si>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</si>
  <si>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</si>
  <si>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</si>
  <si>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</si>
  <si>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</si>
  <si>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</si>
  <si>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</si>
  <si>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</si>
  <si>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</si>
  <si>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</si>
  <si>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</si>
  <si>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</si>
  <si>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</si>
  <si>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</si>
  <si>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</si>
  <si>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</si>
  <si>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</si>
  <si>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</si>
  <si>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</si>
  <si>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</si>
  <si>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</si>
  <si>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</si>
  <si>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</si>
  <si>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</si>
  <si>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</si>
  <si>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</si>
  <si>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</si>
  <si>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</si>
  <si>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</si>
  <si>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</si>
  <si>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</si>
  <si>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</si>
  <si>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</si>
  <si>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</si>
  <si>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</si>
  <si>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</si>
  <si>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</si>
  <si>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</si>
  <si>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</si>
  <si>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</si>
  <si>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</si>
  <si>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</si>
  <si>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</si>
  <si>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</si>
  <si>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</si>
  <si>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</si>
  <si>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</si>
  <si>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</si>
  <si>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</si>
  <si>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</si>
  <si>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</si>
  <si>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</si>
  <si>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</si>
  <si>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</si>
  <si>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</si>
  <si>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</si>
  <si>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</si>
  <si>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</si>
  <si>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</si>
  <si>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</si>
  <si>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</si>
  <si>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</si>
  <si>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</si>
  <si>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</si>
  <si>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</si>
  <si>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</si>
  <si>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</si>
  <si>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</si>
  <si>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</si>
  <si>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</si>
  <si>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</si>
  <si>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</si>
  <si>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</si>
  <si>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</si>
  <si>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</si>
  <si>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</si>
  <si>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</si>
  <si>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</si>
  <si>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</si>
  <si>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</si>
  <si>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</si>
  <si>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</si>
  <si>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</si>
  <si>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</si>
  <si>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</si>
  <si>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</si>
  <si>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</si>
  <si>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</si>
  <si>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</si>
  <si>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</si>
  <si>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</si>
  <si>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</si>
  <si>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</si>
  <si>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</si>
  <si>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</si>
  <si>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</si>
  <si>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</si>
  <si>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</si>
  <si>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</si>
  <si>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</si>
  <si>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</si>
  <si>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</si>
  <si>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</si>
  <si>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</si>
  <si>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</si>
  <si>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</si>
  <si>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</si>
  <si>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</si>
  <si>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</si>
  <si>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</si>
  <si>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</si>
  <si>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</si>
  <si>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</si>
  <si>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</si>
  <si>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</si>
  <si>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</si>
  <si>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</si>
  <si>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</si>
  <si>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</si>
  <si>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</si>
  <si>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</si>
  <si>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</si>
  <si>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</si>
  <si>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</si>
  <si>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</si>
  <si>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</si>
  <si>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</si>
  <si>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</si>
  <si>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</si>
  <si>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</si>
  <si>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</si>
  <si>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</si>
  <si>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</si>
  <si>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</si>
  <si>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</si>
  <si>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</si>
  <si>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</si>
  <si>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</si>
  <si>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</si>
  <si>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</si>
  <si>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</si>
  <si>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</si>
  <si>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</si>
  <si>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</si>
  <si>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</si>
  <si>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</si>
  <si>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</si>
  <si>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</si>
  <si>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</si>
  <si>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</si>
  <si>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</si>
  <si>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</si>
  <si>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</si>
  <si>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</si>
  <si>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</si>
  <si>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</si>
  <si>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</si>
  <si>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</si>
  <si>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</si>
  <si>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</si>
  <si>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</si>
  <si>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</si>
  <si>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</si>
  <si>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</si>
  <si>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</si>
  <si>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</si>
  <si>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</si>
  <si>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</si>
  <si>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</si>
  <si>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</si>
  <si>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</si>
  <si>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</si>
  <si>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</si>
  <si>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</si>
  <si>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</si>
  <si>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</si>
  <si>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</si>
  <si>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</si>
  <si>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</si>
  <si>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</si>
  <si>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</si>
  <si>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</si>
  <si>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</si>
  <si>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</si>
  <si>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</si>
  <si>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</si>
  <si>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</si>
  <si>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</si>
  <si>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</si>
  <si>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</si>
  <si>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</si>
  <si>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</si>
  <si>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</si>
  <si>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</si>
  <si>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</si>
  <si>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</si>
  <si>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</si>
  <si>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</si>
  <si>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</si>
  <si>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</si>
  <si>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</si>
  <si>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</si>
  <si>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</si>
  <si>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</si>
  <si>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</si>
  <si>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</si>
  <si>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</si>
  <si>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</si>
  <si>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</si>
  <si>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</si>
  <si>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</si>
  <si>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</si>
  <si>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</si>
  <si>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</si>
  <si>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</si>
  <si>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</si>
  <si>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</si>
  <si>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</si>
  <si>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</si>
  <si>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</si>
  <si>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</si>
  <si>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</si>
  <si>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</si>
  <si>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</si>
  <si>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</si>
  <si>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</si>
  <si>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</si>
  <si>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</si>
  <si>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</si>
  <si>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</si>
  <si>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</si>
  <si>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</si>
  <si>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</si>
  <si>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</si>
  <si>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</si>
  <si>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</si>
  <si>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</si>
  <si>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</si>
  <si>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</si>
  <si>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</si>
  <si>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</si>
  <si>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</si>
  <si>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</si>
  <si>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</si>
  <si>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</si>
  <si>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</si>
  <si>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</si>
  <si>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</si>
  <si>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</si>
  <si>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</si>
  <si>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</si>
  <si>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</si>
  <si>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</si>
  <si>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</si>
  <si>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</si>
  <si>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</si>
  <si>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</si>
  <si>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</si>
  <si>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</si>
  <si>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</si>
  <si>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</si>
  <si>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</si>
  <si>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</si>
  <si>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</si>
  <si>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</si>
  <si>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</si>
  <si>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</si>
  <si>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</si>
  <si>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</si>
  <si>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</si>
  <si>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</si>
  <si>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</si>
  <si>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</si>
  <si>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</si>
  <si>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</si>
  <si>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</si>
  <si>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</si>
  <si>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</si>
  <si>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</si>
  <si>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</si>
  <si>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</si>
  <si>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</si>
  <si>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</si>
  <si>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</si>
  <si>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</si>
  <si>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</si>
  <si>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</si>
  <si>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</si>
  <si>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</si>
  <si>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</si>
  <si>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</si>
  <si>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</si>
  <si>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</si>
  <si>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</si>
  <si>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</si>
  <si>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</si>
  <si>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</si>
  <si>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</si>
  <si>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</si>
  <si>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</si>
  <si>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</si>
  <si>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</si>
  <si>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</si>
  <si>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</si>
  <si>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</si>
  <si>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</si>
  <si>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</si>
  <si>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</si>
  <si>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</si>
  <si>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</si>
  <si>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</si>
  <si>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</si>
  <si>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</si>
  <si>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</si>
  <si>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</si>
  <si>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</si>
  <si>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</si>
  <si>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</si>
  <si>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</si>
  <si>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</si>
  <si>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</si>
  <si>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</si>
  <si>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</si>
  <si>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</si>
  <si>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</si>
  <si>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</si>
  <si>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</si>
  <si>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</si>
  <si>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</si>
  <si>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</si>
  <si>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</si>
  <si>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</si>
  <si>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</si>
  <si>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</si>
  <si>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</si>
  <si>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</si>
  <si>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</si>
  <si>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</si>
  <si>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</si>
  <si>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</si>
  <si>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</si>
  <si>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</si>
  <si>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</si>
  <si>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</si>
  <si>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</si>
  <si>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</si>
  <si>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</si>
  <si>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</si>
  <si>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</si>
  <si>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</si>
  <si>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</si>
  <si>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</si>
  <si>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</si>
  <si>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</si>
  <si>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</si>
  <si>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</si>
  <si>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</si>
  <si>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</si>
  <si>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</si>
  <si>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</si>
  <si>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</si>
  <si>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</si>
  <si>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</si>
  <si>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</si>
  <si>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</si>
  <si>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</si>
  <si>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</si>
  <si>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</si>
  <si>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</si>
  <si>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</si>
  <si>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</si>
  <si>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</si>
  <si>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</si>
  <si>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</si>
  <si>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</si>
  <si>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</si>
  <si>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</si>
  <si>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</si>
  <si>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</si>
  <si>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</si>
  <si>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</si>
  <si>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</si>
  <si>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</si>
  <si>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</si>
  <si>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</si>
  <si>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</si>
  <si>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</si>
  <si>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</si>
  <si>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</si>
  <si>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</si>
  <si>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</si>
  <si>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</si>
  <si>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</si>
  <si>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</si>
  <si>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</si>
  <si>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</si>
  <si>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</si>
  <si>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</si>
  <si>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</si>
  <si>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</si>
  <si>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</si>
  <si>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</si>
  <si>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</si>
  <si>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</si>
  <si>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</si>
  <si>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</si>
  <si>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</si>
  <si>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</si>
  <si>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</si>
  <si>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</si>
  <si>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</si>
  <si>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</si>
  <si>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</si>
  <si>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</si>
  <si>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</si>
  <si>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</si>
  <si>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</si>
  <si>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</si>
  <si>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</si>
  <si>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</si>
  <si>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</si>
  <si>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</si>
  <si>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</si>
  <si>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</si>
  <si>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</si>
  <si>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</si>
  <si>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</si>
  <si>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</si>
  <si>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</si>
  <si>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</si>
  <si>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</si>
  <si>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</si>
  <si>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</si>
  <si>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</si>
  <si>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</si>
  <si>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</si>
  <si>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</si>
  <si>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</si>
  <si>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</si>
  <si>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</si>
  <si>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</si>
  <si>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</si>
  <si>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</si>
  <si>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</si>
  <si>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</si>
  <si>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</si>
  <si>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</si>
  <si>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</si>
  <si>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</si>
  <si>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</si>
  <si>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</si>
  <si>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</si>
  <si>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</si>
  <si>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</si>
  <si>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</si>
  <si>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</si>
  <si>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</si>
  <si>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</si>
  <si>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</si>
  <si>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</si>
  <si>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</si>
  <si>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</si>
  <si>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</si>
  <si>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</si>
  <si>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</si>
  <si>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</si>
  <si>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</si>
  <si>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</si>
  <si>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</si>
  <si>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</si>
  <si>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</si>
  <si>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</si>
  <si>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</si>
  <si>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</si>
  <si>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</si>
  <si>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</si>
  <si>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</si>
  <si>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</si>
  <si>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</si>
  <si>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</si>
  <si>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</si>
  <si>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</si>
  <si>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</si>
  <si>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</si>
  <si>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</si>
  <si>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</si>
  <si>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</si>
  <si>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</si>
  <si>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</si>
  <si>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</si>
  <si>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</si>
  <si>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</si>
  <si>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</si>
  <si>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</si>
  <si>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</si>
  <si>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</si>
  <si>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</si>
  <si>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</si>
  <si>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</si>
  <si>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</si>
  <si>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</si>
  <si>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</si>
  <si>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</si>
  <si>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</si>
  <si>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</si>
  <si>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</si>
  <si>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</si>
  <si>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</si>
  <si>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</si>
  <si>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</si>
  <si>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</si>
  <si>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</si>
  <si>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</si>
  <si>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</si>
  <si>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</si>
  <si>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</si>
  <si>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</si>
  <si>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</si>
  <si>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</si>
  <si>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</si>
  <si>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</si>
  <si>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</si>
  <si>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</si>
  <si>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</si>
  <si>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</si>
  <si>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</si>
  <si>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</si>
  <si>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</si>
  <si>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</si>
  <si>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</si>
  <si>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</si>
  <si>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</si>
  <si>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</si>
  <si>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</si>
  <si>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</si>
  <si>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</si>
  <si>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</si>
  <si>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</si>
  <si>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</si>
  <si>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</si>
  <si>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</si>
  <si>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</si>
  <si>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</si>
  <si>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</si>
  <si>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</si>
  <si>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</si>
  <si>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</si>
  <si>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</si>
  <si>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</si>
  <si>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</si>
  <si>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</si>
  <si>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</si>
  <si>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</si>
  <si>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</si>
  <si>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</si>
  <si>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</si>
  <si>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</si>
  <si>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</si>
  <si>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</si>
  <si>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</si>
  <si>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</si>
  <si>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</si>
  <si>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</si>
  <si>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</si>
  <si>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</si>
  <si>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</si>
  <si>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</si>
  <si>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</si>
  <si>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</si>
  <si>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</si>
  <si>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</si>
  <si>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</si>
  <si>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</si>
  <si>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</si>
  <si>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</si>
  <si>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</si>
  <si>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</si>
  <si>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</si>
  <si>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</si>
  <si>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</si>
  <si>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</si>
  <si>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</si>
  <si>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</si>
  <si>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</si>
  <si>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</si>
  <si>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</si>
  <si>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</si>
  <si>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</si>
  <si>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</si>
  <si>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</si>
  <si>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</si>
  <si>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</si>
  <si>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</si>
  <si>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</si>
  <si>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</si>
  <si>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</si>
  <si>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</si>
  <si>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</si>
  <si>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</si>
  <si>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</si>
  <si>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</si>
  <si>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</si>
  <si>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</si>
  <si>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</si>
  <si>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</si>
  <si>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</si>
  <si>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</si>
  <si>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</si>
  <si>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</si>
  <si>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</si>
  <si>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</si>
  <si>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</si>
  <si>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</si>
  <si>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</si>
  <si>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</si>
  <si>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</si>
  <si>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</si>
  <si>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</si>
  <si>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</si>
  <si>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</si>
  <si>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</si>
  <si>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</si>
  <si>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</si>
  <si>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</si>
  <si>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</si>
  <si>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</si>
  <si>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</si>
  <si>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</si>
  <si>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</si>
  <si>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</si>
  <si>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</si>
  <si>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</si>
  <si>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</si>
  <si>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</si>
  <si>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</si>
  <si>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</si>
  <si>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</si>
  <si>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</si>
  <si>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</si>
  <si>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</si>
  <si>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</si>
  <si>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</si>
  <si>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</si>
  <si>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</si>
  <si>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</si>
  <si>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</si>
  <si>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</si>
  <si>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</si>
  <si>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</si>
  <si>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</si>
  <si>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</si>
  <si>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</si>
  <si>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</si>
  <si>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</si>
  <si>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</si>
  <si>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</si>
  <si>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</si>
  <si>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</si>
  <si>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</si>
  <si>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</si>
  <si>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</si>
  <si>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</si>
  <si>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</si>
  <si>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</si>
  <si>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</si>
  <si>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</si>
  <si>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</si>
  <si>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</si>
  <si>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</si>
  <si>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</si>
  <si>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</si>
  <si>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</si>
  <si>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</si>
  <si>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</si>
  <si>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</si>
  <si>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</si>
  <si>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</si>
  <si>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</si>
  <si>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</si>
  <si>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</si>
  <si>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</si>
  <si>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</si>
  <si>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</si>
  <si>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</si>
  <si>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</si>
  <si>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</si>
  <si>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</si>
  <si>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</si>
  <si>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</si>
  <si>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</si>
  <si>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</si>
  <si>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</si>
  <si>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</si>
  <si>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</si>
  <si>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</si>
  <si>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</si>
  <si>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</si>
  <si>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</si>
  <si>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</si>
  <si>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</si>
  <si>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</si>
  <si>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</si>
  <si>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</si>
  <si>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</si>
  <si>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</si>
  <si>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</si>
  <si>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</si>
  <si>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</si>
  <si>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</si>
  <si>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</si>
  <si>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</si>
  <si>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</si>
  <si>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</si>
  <si>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</si>
  <si>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</si>
  <si>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</si>
  <si>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</si>
  <si>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</si>
  <si>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</si>
  <si>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</si>
  <si>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</si>
  <si>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</si>
  <si>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</si>
  <si>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</si>
  <si>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</si>
  <si>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</si>
  <si>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</si>
  <si>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</si>
  <si>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</si>
  <si>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</si>
  <si>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</si>
  <si>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</si>
  <si>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</si>
  <si>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</si>
  <si>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</si>
  <si>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</si>
  <si>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</si>
  <si>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</si>
  <si>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</si>
  <si>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</si>
  <si>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</si>
  <si>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</si>
  <si>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</si>
  <si>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</si>
  <si>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</si>
  <si>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</si>
  <si>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</si>
  <si>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</si>
  <si>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</si>
  <si>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</si>
  <si>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</si>
  <si>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</si>
  <si>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</si>
  <si>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</si>
  <si>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</si>
  <si>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</si>
  <si>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</si>
  <si>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</si>
  <si>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</si>
  <si>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</si>
  <si>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</si>
  <si>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</si>
  <si>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</si>
  <si>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</si>
  <si>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</si>
  <si>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</si>
  <si>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</si>
  <si>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</si>
  <si>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</si>
  <si>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</si>
  <si>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</si>
  <si>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</si>
  <si>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</si>
  <si>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</si>
  <si>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</si>
  <si>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</si>
  <si>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</si>
  <si>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</si>
  <si>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</si>
  <si>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</si>
  <si>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</si>
  <si>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</si>
  <si>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</si>
  <si>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</si>
  <si>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</si>
  <si>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</si>
  <si>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</si>
  <si>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</si>
  <si>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</si>
  <si>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</si>
  <si>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</si>
  <si>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</si>
  <si>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</si>
  <si>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</si>
  <si>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</si>
  <si>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</si>
  <si>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</si>
  <si>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</si>
  <si>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</si>
  <si>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</si>
  <si>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</si>
  <si>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</si>
  <si>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</si>
  <si>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</si>
  <si>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</si>
  <si>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</si>
  <si>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</si>
  <si>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</si>
  <si>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</si>
  <si>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</si>
  <si>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</si>
  <si>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</si>
  <si>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</si>
  <si>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</si>
  <si>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</si>
  <si>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</si>
  <si>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</si>
  <si>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</si>
  <si>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</si>
  <si>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</si>
  <si>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</si>
  <si>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</si>
  <si>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</si>
  <si>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</si>
  <si>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</si>
  <si>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</si>
  <si>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</si>
  <si>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</si>
  <si>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</si>
  <si>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</si>
  <si>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</si>
  <si>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</si>
  <si>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</si>
  <si>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</si>
  <si>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</si>
  <si>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</si>
  <si>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</si>
  <si>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</si>
  <si>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</si>
  <si>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</si>
  <si>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</si>
  <si>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</si>
  <si>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</si>
  <si>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</si>
  <si>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</si>
  <si>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</si>
  <si>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</si>
  <si>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</si>
  <si>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</si>
  <si>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</si>
  <si>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</si>
  <si>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</si>
  <si>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</si>
  <si>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</si>
  <si>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</si>
  <si>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</si>
  <si>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</si>
  <si>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</si>
  <si>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</si>
  <si>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</si>
  <si>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</si>
  <si>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</si>
  <si>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</si>
  <si>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</si>
  <si>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</si>
  <si>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</si>
  <si>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</si>
  <si>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</si>
  <si>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</si>
  <si>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</si>
  <si>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</si>
  <si>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</si>
  <si>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</si>
  <si>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</si>
  <si>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</si>
  <si>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</si>
  <si>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</si>
  <si>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</si>
  <si>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</si>
  <si>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</si>
  <si>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</si>
  <si>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</si>
  <si>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</si>
  <si>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</si>
  <si>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</si>
  <si>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</si>
  <si>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</si>
  <si>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</si>
  <si>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</si>
  <si>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</si>
  <si>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</si>
  <si>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</si>
  <si>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</si>
  <si>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</si>
  <si>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</si>
  <si>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</si>
  <si>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</si>
  <si>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</si>
  <si>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</si>
  <si>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</si>
  <si>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</si>
  <si>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</si>
  <si>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</si>
  <si>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</si>
  <si>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</si>
  <si>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</si>
  <si>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</si>
  <si>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</si>
  <si>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</si>
  <si>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</si>
  <si>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</si>
  <si>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</si>
  <si>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</si>
  <si>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</si>
  <si>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</si>
  <si>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</si>
  <si>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</si>
  <si>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</si>
  <si>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</si>
  <si>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</si>
  <si>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</si>
  <si>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</si>
  <si>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</si>
  <si>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</si>
  <si>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</si>
  <si>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</si>
  <si>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</si>
  <si>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</si>
  <si>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</si>
  <si>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</si>
  <si>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</si>
  <si>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</si>
  <si>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</si>
  <si>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</si>
  <si>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</si>
  <si>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</si>
  <si>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</si>
  <si>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</si>
  <si>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</si>
  <si>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</si>
  <si>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</si>
  <si>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</si>
  <si>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</si>
  <si>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</si>
  <si>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</si>
  <si>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</si>
  <si>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</si>
  <si>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</si>
  <si>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</si>
  <si>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</si>
  <si>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</si>
  <si>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</si>
  <si>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</si>
  <si>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</si>
  <si>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</si>
  <si>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</si>
  <si>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</si>
  <si>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</si>
  <si>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</si>
  <si>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</si>
  <si>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</si>
  <si>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</si>
  <si>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</si>
  <si>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</si>
  <si>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</si>
  <si>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</si>
  <si>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</si>
  <si>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</si>
  <si>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</si>
  <si>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</si>
  <si>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</si>
  <si>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</si>
  <si>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</si>
  <si>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</si>
  <si>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</si>
  <si>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</si>
  <si>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</si>
  <si>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</si>
  <si>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</si>
  <si>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</si>
  <si>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</si>
  <si>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</si>
  <si>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</si>
  <si>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</si>
  <si>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</si>
  <si>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</si>
  <si>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</si>
  <si>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</si>
  <si>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</si>
  <si>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</si>
  <si>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</si>
  <si>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</si>
  <si>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</si>
  <si>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</si>
  <si>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</si>
  <si>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</si>
  <si>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</si>
  <si>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</si>
  <si>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</si>
  <si>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</si>
  <si>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</si>
  <si>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</si>
  <si>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</si>
  <si>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</si>
  <si>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</si>
  <si>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</si>
  <si>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</si>
  <si>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</si>
  <si>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</si>
  <si>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</si>
  <si>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</si>
  <si>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</si>
  <si>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</si>
  <si>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</si>
  <si>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</si>
  <si>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</si>
  <si>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</si>
  <si>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</si>
  <si>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</si>
  <si>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</si>
  <si>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</si>
  <si>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</si>
  <si>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</si>
  <si>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</si>
  <si>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</si>
  <si>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</si>
  <si>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</si>
  <si>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</si>
  <si>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</si>
  <si>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</si>
  <si>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</si>
  <si>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</si>
  <si>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</si>
  <si>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</si>
  <si>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</si>
  <si>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</si>
  <si>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</si>
  <si>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</si>
  <si>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</si>
  <si>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</si>
  <si>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</si>
  <si>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</si>
  <si>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</si>
  <si>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</si>
  <si>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</si>
  <si>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</si>
  <si>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</si>
  <si>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</si>
  <si>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</si>
  <si>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</si>
  <si>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</si>
  <si>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</si>
  <si>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</si>
  <si>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</si>
  <si>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</si>
  <si>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</si>
  <si>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</si>
  <si>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</si>
  <si>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</si>
  <si>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</si>
  <si>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</si>
  <si>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</si>
  <si>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</si>
  <si>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</si>
  <si>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</si>
  <si>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</si>
  <si>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</si>
  <si>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</si>
  <si>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</si>
  <si>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</si>
  <si>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</si>
  <si>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</si>
  <si>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</si>
  <si>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</si>
  <si>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</si>
  <si>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</si>
  <si>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</si>
  <si>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</si>
  <si>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</si>
  <si>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</si>
  <si>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</si>
  <si>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</si>
  <si>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</si>
  <si>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</si>
  <si>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</si>
  <si>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</si>
  <si>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</si>
  <si>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</si>
  <si>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</si>
  <si>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</si>
  <si>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</si>
  <si>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</si>
  <si>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</si>
  <si>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</si>
  <si>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</si>
  <si>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</si>
  <si>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</si>
  <si>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</si>
  <si>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</si>
  <si>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</si>
  <si>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</si>
  <si>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</si>
  <si>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</si>
  <si>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</si>
  <si>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</si>
  <si>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</si>
  <si>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</si>
  <si>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</si>
  <si>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</si>
  <si>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</si>
  <si>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</si>
  <si>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</si>
  <si>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</si>
  <si>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</si>
  <si>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</si>
  <si>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</si>
  <si>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</si>
  <si>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</si>
  <si>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</si>
  <si>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</si>
  <si>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</si>
  <si>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</si>
  <si>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</si>
  <si>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</si>
  <si>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</si>
  <si>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</si>
  <si>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</si>
  <si>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</si>
  <si>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</si>
  <si>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</si>
  <si>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</si>
  <si>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</si>
  <si>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</si>
  <si>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</si>
  <si>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</si>
  <si>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</si>
  <si>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</si>
  <si>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</si>
  <si>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</si>
  <si>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</si>
  <si>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</si>
  <si>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</si>
  <si>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</si>
  <si>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</si>
  <si>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</si>
  <si>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</si>
  <si>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</si>
  <si>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</si>
  <si>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</si>
  <si>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</si>
  <si>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</si>
  <si>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</si>
  <si>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</si>
  <si>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</si>
  <si>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</si>
  <si>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</si>
  <si>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</si>
  <si>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</si>
  <si>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</si>
  <si>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</si>
  <si>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</si>
  <si>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</si>
  <si>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</si>
  <si>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</si>
  <si>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</si>
  <si>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</si>
  <si>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</si>
  <si>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</si>
  <si>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</si>
  <si>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</si>
  <si>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</si>
  <si>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</si>
  <si>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</si>
  <si>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</si>
  <si>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</si>
  <si>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</si>
  <si>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</si>
  <si>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</si>
  <si>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</si>
  <si>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</si>
  <si>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</si>
  <si>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</si>
  <si>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</si>
  <si>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</si>
  <si>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</si>
  <si>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</si>
  <si>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</si>
  <si>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</si>
  <si>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</si>
  <si>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</si>
  <si>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</si>
  <si>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</si>
  <si>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</si>
  <si>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</si>
  <si>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</si>
  <si>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</si>
  <si>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</si>
  <si>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</si>
  <si>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</si>
  <si>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</si>
  <si>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</si>
  <si>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</si>
  <si>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</si>
  <si>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</si>
  <si>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</si>
  <si>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</si>
  <si>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</si>
  <si>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</si>
  <si>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</si>
  <si>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</si>
  <si>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</si>
  <si>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</si>
  <si>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</si>
  <si>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</si>
  <si>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</si>
  <si>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</si>
  <si>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</si>
  <si>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</si>
  <si>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</si>
  <si>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</si>
  <si>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</si>
  <si>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</si>
  <si>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</si>
  <si>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</si>
  <si>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</si>
  <si>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</si>
  <si>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</si>
  <si>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</si>
  <si>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</si>
  <si>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</si>
  <si>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</si>
  <si>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</si>
  <si>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</si>
  <si>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</si>
  <si>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</si>
  <si>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</si>
  <si>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</si>
  <si>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</si>
  <si>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</si>
  <si>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</si>
  <si>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</si>
  <si>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</si>
  <si>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</si>
  <si>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</si>
  <si>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</si>
  <si>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</si>
  <si>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</si>
  <si>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</si>
  <si>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</si>
  <si>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</si>
  <si>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</si>
  <si>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</si>
  <si>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</si>
  <si>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</si>
  <si>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</si>
  <si>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</si>
  <si>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</si>
  <si>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</si>
  <si>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</si>
  <si>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</si>
  <si>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</si>
  <si>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</si>
  <si>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</si>
  <si>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</si>
  <si>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</si>
  <si>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</si>
  <si>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</si>
  <si>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</si>
  <si>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</si>
  <si>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</si>
  <si>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</si>
  <si>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</si>
  <si>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</si>
  <si>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</si>
  <si>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</si>
  <si>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</si>
  <si>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</si>
  <si>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</si>
  <si>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</si>
  <si>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</si>
  <si>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</si>
  <si>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</si>
  <si>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</si>
  <si>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</si>
  <si>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</si>
  <si>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</si>
  <si>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</si>
  <si>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</si>
  <si>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</si>
  <si>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</si>
  <si>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</si>
  <si>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</si>
  <si>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</si>
  <si>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</si>
  <si>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</si>
  <si>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</si>
  <si>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</si>
  <si>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</si>
  <si>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</si>
  <si>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</si>
  <si>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</si>
  <si>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</si>
  <si>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</si>
  <si>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</si>
  <si>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</si>
  <si>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</si>
  <si>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</si>
  <si>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</si>
  <si>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</si>
  <si>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</si>
  <si>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</si>
  <si>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</si>
  <si>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</si>
  <si>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</si>
  <si>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</si>
  <si>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</si>
  <si>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</si>
  <si>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</si>
  <si>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</si>
  <si>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</si>
  <si>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</si>
  <si>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</si>
  <si>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</si>
  <si>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</si>
  <si>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</si>
  <si>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</si>
  <si>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</si>
  <si>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</si>
  <si>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</si>
  <si>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</si>
  <si>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</si>
  <si>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</si>
  <si>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</si>
  <si>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</si>
  <si>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</si>
  <si>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</si>
  <si>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</si>
  <si>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</si>
  <si>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</si>
  <si>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</si>
  <si>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</si>
  <si>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</si>
  <si>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</si>
  <si>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</si>
  <si>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</si>
  <si>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</si>
  <si>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</si>
  <si>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</si>
  <si>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</si>
  <si>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</si>
  <si>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</si>
  <si>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</si>
  <si>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</si>
  <si>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</si>
  <si>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</si>
  <si>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</si>
  <si>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</si>
  <si>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</si>
  <si>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</si>
  <si>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</si>
  <si>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</si>
  <si>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</si>
  <si>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</si>
  <si>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</si>
  <si>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</si>
  <si>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</si>
  <si>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</si>
  <si>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</si>
  <si>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</si>
  <si>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</si>
  <si>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</si>
  <si>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</si>
  <si>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</si>
  <si>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</si>
  <si>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</si>
  <si>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</si>
  <si>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</si>
  <si>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</si>
  <si>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</si>
  <si>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</si>
  <si>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</si>
  <si>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</si>
  <si>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</si>
  <si>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</si>
  <si>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</si>
  <si>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</si>
  <si>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</si>
  <si>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</si>
  <si>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</si>
  <si>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</si>
  <si>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</si>
  <si>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</si>
  <si>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</si>
  <si>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</si>
  <si>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</si>
  <si>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</si>
  <si>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</si>
  <si>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</si>
  <si>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</si>
  <si>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</si>
  <si>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</si>
  <si>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</si>
  <si>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</si>
  <si>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</si>
  <si>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</si>
  <si>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</si>
  <si>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</si>
  <si>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</si>
  <si>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</si>
  <si>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</si>
  <si>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</si>
  <si>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</si>
  <si>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08/06</t>
  </si>
  <si>
    <t>11/10</t>
  </si>
  <si>
    <t>08/26</t>
  </si>
  <si>
    <t>7/25</t>
  </si>
  <si>
    <t>Overall Cost per pupil increased aproximatelty 5.3% from prior year. ADM was down .77% from prior year.</t>
  </si>
  <si>
    <t xml:space="preserve">General Fund expenditures were overall up 5.2% or $2,173,353 from prior year. </t>
  </si>
  <si>
    <t xml:space="preserve"> (Wages and Fringe make up 38.43% of the increase from prior year).</t>
  </si>
  <si>
    <t>Special Rev Fund expenditures were up 40.26% or $562,105 from prior year.</t>
  </si>
  <si>
    <t>Up 22.96% from Prior year in the amount of $551,734 in out of district tuition.</t>
  </si>
  <si>
    <t>Transportation was down 3.54% or ($77,469) from prior year.</t>
  </si>
  <si>
    <t>Capital Items were up 67.73% or $552,206 from prior year.</t>
  </si>
  <si>
    <t>Accrued voc ed tution for amounts owed to us by the State.</t>
  </si>
  <si>
    <t>Accrued voc ed transportation of $25,919.50 for amounts owed to us by the State. Recorded $13,050 in Voc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</si>
</sst>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
      <vertAlign val="superscript"/>
      <sz val="8"/>
      <color rgb="FFFF0000"/>
      <name val="Arial"/>
      <family val="2"/>
    </font>
    <font>
      <b/>
      <vertAlign val="superscript"/>
      <sz val="8"/>
      <color rgb="FFFF0000"/>
      <name val="Arial"/>
      <family val="2"/>
    </font>
    <font>
      <b/>
      <sz val="9"/>
      <color rgb="FFFF0000"/>
      <name val="Arial"/>
      <family val="2"/>
    </font>
    <font>
      <sz val="10"/>
      <name val="Arial"/>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2"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3" fillId="0" borderId="0" xfId="0" applyNumberFormat="1" applyFont="1"/>
    <xf numFmtId="39" fontId="83" fillId="0" borderId="0" xfId="0" applyNumberFormat="1" applyFont="1"/>
    <xf numFmtId="0" fontId="84" fillId="0" borderId="0" xfId="0" applyFont="1" applyAlignment="1">
      <alignment wrapText="1"/>
    </xf>
    <xf numFmtId="38" fontId="7" fillId="0" borderId="0" xfId="44" applyNumberFormat="1" applyFont="1" applyAlignment="1" applyProtection="1">
      <alignment horizontal="center"/>
      <protection locked="0"/>
    </xf>
    <xf numFmtId="49" fontId="7" fillId="0" borderId="0" xfId="44" applyNumberFormat="1" applyFont="1" applyAlignment="1" applyProtection="1">
      <alignment horizontal="center"/>
      <protection locked="0"/>
    </xf>
    <xf numFmtId="0" fontId="7" fillId="0" borderId="0" xfId="44" quotePrefix="1" applyFont="1" applyAlignment="1" applyProtection="1">
      <alignment horizontal="center"/>
      <protection locked="0"/>
    </xf>
    <xf numFmtId="49" fontId="7" fillId="0" borderId="0" xfId="44" quotePrefix="1" applyNumberFormat="1" applyFont="1" applyAlignment="1" applyProtection="1">
      <alignment horizontal="center"/>
      <protection locked="0"/>
    </xf>
    <xf numFmtId="40" fontId="7" fillId="0" borderId="0" xfId="44" applyNumberFormat="1" applyFont="1" applyProtection="1">
      <protection locked="0"/>
    </xf>
    <xf numFmtId="40" fontId="7" fillId="0" borderId="5" xfId="44" applyNumberFormat="1" applyFont="1" applyBorder="1" applyProtection="1">
      <protection locked="0"/>
    </xf>
    <xf numFmtId="0" fontId="15" fillId="0" borderId="0" xfId="0"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1142</v>
      </c>
      <c r="B2">
        <f>INDEX('School Tables'!$AH$3:$AH$209,MATCH('DOE25'!A2,'School Tables'!$AJ$3:$AJ$209,0))</f>
        <v>276</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768</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4742239.9800000004</v>
      </c>
      <c r="G9" s="18"/>
      <c r="H9" s="18"/>
      <c r="I9" s="18">
        <v>166833.5</v>
      </c>
      <c r="J9" s="13">
        <f>SUM(I440)</f>
        <v>0</v>
      </c>
      <c r="K9" s="23" t="s">
        <v>288</v>
      </c>
      <c r="L9" s="23" t="s">
        <v>288</v>
      </c>
      <c r="M9" s="8"/>
      <c r="N9" s="164"/>
    </row>
    <row r="10" spans="1:14" s="3" customFormat="1" ht="12.2" customHeight="1" x14ac:dyDescent="0.15">
      <c r="A10" s="1" t="s">
        <v>562</v>
      </c>
      <c r="B10" s="2" t="s">
        <v>289</v>
      </c>
      <c r="C10" s="6">
        <v>2</v>
      </c>
      <c r="D10" s="2" t="s">
        <v>428</v>
      </c>
      <c r="E10" s="6">
        <v>110</v>
      </c>
      <c r="F10" s="18">
        <v>1660770.51</v>
      </c>
      <c r="G10" s="18">
        <v>86823.52</v>
      </c>
      <c r="H10" s="18"/>
      <c r="I10" s="18"/>
      <c r="J10" s="13">
        <f>SUM(I441)</f>
        <v>2233497.81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634336.45+29251.68+45732</f>
        <v>709320.13</v>
      </c>
      <c r="G12" s="18">
        <f>30330.57+26285.64</f>
        <v>56616.21</v>
      </c>
      <c r="H12" s="18">
        <f>20648.69+17911.25+230364.26+48271.41</f>
        <v>317195.61</v>
      </c>
      <c r="I12" s="18"/>
      <c r="J12" s="13">
        <f>SUM(I442)</f>
        <v>2</v>
      </c>
      <c r="K12" s="23" t="s">
        <v>288</v>
      </c>
      <c r="L12" s="23" t="s">
        <v>288</v>
      </c>
      <c r="M12" s="8"/>
      <c r="N12" s="164"/>
    </row>
    <row r="13" spans="1:14" s="3" customFormat="1" ht="12.2" customHeight="1" x14ac:dyDescent="0.15">
      <c r="A13" s="1" t="s">
        <v>604</v>
      </c>
      <c r="B13" s="2" t="s">
        <v>289</v>
      </c>
      <c r="C13" s="6">
        <v>5</v>
      </c>
      <c r="D13" s="2" t="s">
        <v>428</v>
      </c>
      <c r="E13" s="6">
        <v>140</v>
      </c>
      <c r="F13" s="18">
        <v>166114.26</v>
      </c>
      <c r="G13" s="18">
        <f>54941.46+1183.53+808.2+1504.37+1640.6+2167.1+3056.78</f>
        <v>65302.039999999994</v>
      </c>
      <c r="H13" s="18">
        <f>315493.7+48347.78</f>
        <v>363841.48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f>16102.58+22799.07+26247.6+1507.33+12504.64+15642.21+9438.45</f>
        <v>104241.87999999999</v>
      </c>
      <c r="G16" s="18">
        <f>1358.24+771.85+818.19+627.92+3325.65+3586.86</f>
        <v>10488.710000000001</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17376</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7400062.7599999998</v>
      </c>
      <c r="G19" s="38">
        <f>SUM(G9:G18)</f>
        <v>219230.48</v>
      </c>
      <c r="H19" s="38">
        <f>SUM(H9:H18)</f>
        <v>681037.09</v>
      </c>
      <c r="I19" s="38">
        <f>SUM(I9:I18)</f>
        <v>166833.5</v>
      </c>
      <c r="J19" s="38">
        <f>SUM(J9:J18)</f>
        <v>2233499.81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443114.47+230364.26+2</f>
        <v>673480.73</v>
      </c>
      <c r="G22" s="18">
        <v>29251.68</v>
      </c>
      <c r="H22" s="18">
        <f>209133.23+33068.01+48271.41+17911.25+26285.64</f>
        <v>334669.54000000004</v>
      </c>
      <c r="I22" s="18">
        <v>45732</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280886.24</v>
      </c>
      <c r="G24" s="18">
        <v>70941.899999999994</v>
      </c>
      <c r="H24" s="18">
        <v>53178.32</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1595996.61</v>
      </c>
      <c r="G28" s="18"/>
      <c r="H28" s="18">
        <v>45669.74</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-1942.72+64.48+15.08+700+49270.73-736.4</f>
        <v>47371.17</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6815</v>
      </c>
      <c r="G30" s="18">
        <f>99.3+41037.05+16801.27+1868.74+1791.75+4618.37+1143.21+4956.12+7867.66</f>
        <v>80183.470000000016</v>
      </c>
      <c r="H30" s="18">
        <f>247519.49-56248.32</f>
        <v>191271.16999999998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2604549.75</v>
      </c>
      <c r="G32" s="38">
        <f>SUM(G22:G31)</f>
        <v>180377.05</v>
      </c>
      <c r="H32" s="38">
        <f>SUM(H22:H31)</f>
        <v>624788.77</v>
      </c>
      <c r="I32" s="38">
        <f>SUM(I22:I31)</f>
        <v>45732</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f>121617.88-17376</f>
        <v>104241.88</v>
      </c>
      <c r="G35" s="18">
        <v>10488.71</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17376</v>
      </c>
      <c r="G36" s="18"/>
      <c r="H36" s="18"/>
      <c r="I36" s="18"/>
      <c r="J36" s="23" t="s">
        <v>288</v>
      </c>
      <c r="K36" s="23" t="s">
        <v>288</v>
      </c>
      <c r="L36" s="23" t="s">
        <v>288</v>
      </c>
      <c r="M36" s="8"/>
      <c r="N36" s="164"/>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859</v>
      </c>
      <c r="B40" s="6">
        <v>1</v>
      </c>
      <c r="C40" s="6">
        <v>27</v>
      </c>
      <c r="D40" s="2"/>
      <c r="E40" s="6"/>
      <c r="F40" s="23" t="s">
        <v>288</v>
      </c>
      <c r="G40" s="18">
        <f>72702.67-44337.95</f>
        <v>28364.720000000001</v>
      </c>
      <c r="H40" s="23" t="s">
        <v>288</v>
      </c>
      <c r="I40" s="23" t="s">
        <v>288</v>
      </c>
      <c r="J40" s="23" t="s">
        <v>288</v>
      </c>
      <c r="K40" s="23" t="s">
        <v>288</v>
      </c>
      <c r="L40" s="23" t="s">
        <v>288</v>
      </c>
      <c r="M40" s="8"/>
      <c r="N40" s="164"/>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836</v>
      </c>
      <c r="B44" s="6">
        <v>1</v>
      </c>
      <c r="C44" s="6">
        <v>30</v>
      </c>
      <c r="D44" s="2" t="s">
        <v>653</v>
      </c>
      <c r="E44" s="6">
        <v>755</v>
      </c>
      <c r="F44" s="18">
        <v>112000</v>
      </c>
      <c r="G44" s="18"/>
      <c r="H44" s="18"/>
      <c r="I44" s="18"/>
      <c r="J44" s="23" t="s">
        <v>288</v>
      </c>
      <c r="K44" s="23" t="s">
        <v>288</v>
      </c>
      <c r="L44" s="23" t="s">
        <v>288</v>
      </c>
      <c r="M44" s="8"/>
      <c r="N44" s="164"/>
    </row>
    <row r="45" spans="1:14" s="3" customFormat="1" ht="12.2" customHeight="1" x14ac:dyDescent="0.15">
      <c r="A45" s="1" t="s">
        <v>837</v>
      </c>
      <c r="B45" s="6">
        <v>1</v>
      </c>
      <c r="C45" s="6">
        <v>31</v>
      </c>
      <c r="D45" s="2"/>
      <c r="E45" s="6">
        <v>753</v>
      </c>
      <c r="F45" s="18">
        <f>1036414.94-244002.95</f>
        <v>792411.99</v>
      </c>
      <c r="G45" s="18"/>
      <c r="H45" s="18">
        <v>56248.32</v>
      </c>
      <c r="I45" s="18"/>
      <c r="J45" s="13">
        <f>I456</f>
        <v>0</v>
      </c>
      <c r="K45" s="23" t="s">
        <v>288</v>
      </c>
      <c r="L45" s="23" t="s">
        <v>288</v>
      </c>
      <c r="M45" s="8"/>
      <c r="N45" s="164"/>
    </row>
    <row r="46" spans="1:14" s="3" customFormat="1" ht="12.2" customHeight="1" x14ac:dyDescent="0.15">
      <c r="A46" s="1" t="s">
        <v>873</v>
      </c>
      <c r="B46" s="6">
        <v>1</v>
      </c>
      <c r="C46" s="6">
        <v>32</v>
      </c>
      <c r="D46" s="2"/>
      <c r="E46" s="6"/>
      <c r="F46" s="18">
        <v>930358</v>
      </c>
      <c r="G46" s="23" t="s">
        <v>288</v>
      </c>
      <c r="H46" s="23" t="s">
        <v>288</v>
      </c>
      <c r="I46" s="23" t="s">
        <v>288</v>
      </c>
      <c r="J46" s="23" t="s">
        <v>288</v>
      </c>
      <c r="K46" s="23"/>
      <c r="L46" s="23"/>
      <c r="M46" s="8"/>
      <c r="N46" s="164"/>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838</v>
      </c>
      <c r="B48" s="2" t="s">
        <v>289</v>
      </c>
      <c r="C48" s="6">
        <v>33</v>
      </c>
      <c r="D48" s="2" t="s">
        <v>653</v>
      </c>
      <c r="E48" s="6">
        <v>760</v>
      </c>
      <c r="F48" s="18"/>
      <c r="G48" s="18"/>
      <c r="H48" s="18"/>
      <c r="I48" s="18">
        <f>114804.52+6296.98</f>
        <v>121101.5</v>
      </c>
      <c r="J48" s="13">
        <f>SUM(I460)</f>
        <v>2233499.81</v>
      </c>
      <c r="K48" s="23" t="s">
        <v>288</v>
      </c>
      <c r="L48" s="23" t="s">
        <v>288</v>
      </c>
      <c r="M48" s="8"/>
      <c r="N48" s="164"/>
    </row>
    <row r="49" spans="1:14" s="3" customFormat="1" ht="12.2" customHeight="1" x14ac:dyDescent="0.15">
      <c r="A49" s="1" t="s">
        <v>858</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839</v>
      </c>
      <c r="B50" s="2" t="s">
        <v>289</v>
      </c>
      <c r="C50" s="56">
        <v>35</v>
      </c>
      <c r="D50" s="2" t="s">
        <v>653</v>
      </c>
      <c r="E50" s="6">
        <v>770</v>
      </c>
      <c r="F50" s="18">
        <f>3378432.08+147048.11-930358+244002.95</f>
        <v>2839125.14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4795513.01</v>
      </c>
      <c r="G51" s="38">
        <f>SUM(G35:G50)</f>
        <v>38853.43</v>
      </c>
      <c r="H51" s="38">
        <f>SUM(H35:H50)</f>
        <v>56248.32</v>
      </c>
      <c r="I51" s="38">
        <f>SUM(I35:I50)</f>
        <v>121101.5</v>
      </c>
      <c r="J51" s="38">
        <f>SUM(J35:J50)</f>
        <v>2233499.81</v>
      </c>
      <c r="K51" s="42" t="s">
        <v>288</v>
      </c>
      <c r="L51" s="42" t="s">
        <v>288</v>
      </c>
      <c r="N51" s="130"/>
    </row>
    <row r="52" spans="1:14" s="3" customFormat="1" ht="12.2" customHeight="1" thickTop="1" x14ac:dyDescent="0.15">
      <c r="A52" s="35" t="s">
        <v>455</v>
      </c>
      <c r="B52" s="36" t="s">
        <v>289</v>
      </c>
      <c r="C52" s="6">
        <v>37</v>
      </c>
      <c r="D52" s="36" t="s">
        <v>653</v>
      </c>
      <c r="E52" s="36"/>
      <c r="F52" s="38">
        <f>F51+F32</f>
        <v>7400062.7599999998</v>
      </c>
      <c r="G52" s="38">
        <f>G51+G32</f>
        <v>219230.47999999998</v>
      </c>
      <c r="H52" s="38">
        <f>H51+H32</f>
        <v>681037.09</v>
      </c>
      <c r="I52" s="38">
        <f>I51+I32</f>
        <v>166833.5</v>
      </c>
      <c r="J52" s="38">
        <f>J51+J32</f>
        <v>2233499.81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768</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32565642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32565642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52202</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18460.87</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40655.910000000003</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38606.300000000003</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149925.08000000002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4"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205332.81</v>
      </c>
      <c r="G96" s="18">
        <v>30990.32</v>
      </c>
      <c r="H96" s="18"/>
      <c r="I96" s="18">
        <v>6296.98</v>
      </c>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359599.09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16280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600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70644.240000000005</v>
      </c>
      <c r="G110" s="18">
        <v>37320.9</v>
      </c>
      <c r="H110" s="18">
        <v>51785.14</v>
      </c>
      <c r="I110" s="18"/>
      <c r="J110" s="18">
        <f>I401</f>
        <v>99305.709999999992</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292257.05</v>
      </c>
      <c r="G111" s="38">
        <f>SUM(G96:G110)</f>
        <v>427910.31000000006</v>
      </c>
      <c r="H111" s="38">
        <f>SUM(H96:H110)</f>
        <v>52385.14</v>
      </c>
      <c r="I111" s="38">
        <f>SUM(I96:I110)</f>
        <v>6296.98</v>
      </c>
      <c r="J111" s="38">
        <f>SUM(J96:J110)</f>
        <v>99305.709999999992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33007824.129999999</v>
      </c>
      <c r="G112" s="38">
        <f>G60+G111</f>
        <v>427910.31000000006</v>
      </c>
      <c r="H112" s="38">
        <f>H60+H79+H94+H111</f>
        <v>52385.14</v>
      </c>
      <c r="I112" s="38">
        <f>I60+I111</f>
        <v>6296.98</v>
      </c>
      <c r="J112" s="38">
        <f>J60+J111</f>
        <v>99305.709999999992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768</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832</v>
      </c>
      <c r="B117" s="2" t="s">
        <v>321</v>
      </c>
      <c r="C117" s="6">
        <v>1</v>
      </c>
      <c r="D117" s="2" t="s">
        <v>430</v>
      </c>
      <c r="E117" s="6">
        <v>3111</v>
      </c>
      <c r="F117" s="18">
        <v>5221942.55</v>
      </c>
      <c r="G117" s="23" t="s">
        <v>288</v>
      </c>
      <c r="H117" s="23" t="s">
        <v>288</v>
      </c>
      <c r="I117" s="23" t="s">
        <v>288</v>
      </c>
      <c r="J117" s="23" t="s">
        <v>288</v>
      </c>
      <c r="K117" s="23" t="s">
        <v>288</v>
      </c>
      <c r="L117" s="23" t="s">
        <v>288</v>
      </c>
      <c r="M117" s="8"/>
      <c r="N117" s="164"/>
    </row>
    <row r="118" spans="1:14" s="3" customFormat="1" ht="12.2" customHeight="1" x14ac:dyDescent="0.15">
      <c r="A118" s="1" t="s">
        <v>769</v>
      </c>
      <c r="B118" s="2" t="s">
        <v>321</v>
      </c>
      <c r="C118" s="6">
        <v>2</v>
      </c>
      <c r="D118" s="2" t="s">
        <v>430</v>
      </c>
      <c r="E118" s="6">
        <v>3112</v>
      </c>
      <c r="F118" s="18">
        <v>4648681</v>
      </c>
      <c r="G118" s="23" t="s">
        <v>288</v>
      </c>
      <c r="H118" s="23" t="s">
        <v>288</v>
      </c>
      <c r="I118" s="23" t="s">
        <v>288</v>
      </c>
      <c r="J118" s="23" t="s">
        <v>288</v>
      </c>
      <c r="K118" s="23" t="s">
        <v>288</v>
      </c>
      <c r="L118" s="23" t="s">
        <v>288</v>
      </c>
      <c r="M118" s="8"/>
      <c r="N118" s="164"/>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238493.04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10109116.59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607489.21</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893</v>
      </c>
      <c r="B126" s="2" t="s">
        <v>321</v>
      </c>
      <c r="C126" s="6">
        <v>9</v>
      </c>
      <c r="D126" s="2" t="s">
        <v>430</v>
      </c>
      <c r="E126" s="6">
        <v>3230</v>
      </c>
      <c r="F126" s="18">
        <v>112118.33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19700</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38969.5</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5597.26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135283.35</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778277.03999999992</v>
      </c>
      <c r="G136" s="38">
        <f>SUM(G123:G135)</f>
        <v>5597.26</v>
      </c>
      <c r="H136" s="38">
        <f>SUM(H123:H135)</f>
        <v>135283.35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10887393.629999999</v>
      </c>
      <c r="G140" s="38">
        <f>G121+SUM(G136:G137)</f>
        <v>5597.26</v>
      </c>
      <c r="H140" s="38">
        <f>H121+SUM(H136:H139)</f>
        <v>135283.35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768</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220744.36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179673.51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204373.19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399090.64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143237.47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63594.82</v>
      </c>
      <c r="H161" s="18">
        <v>77762.03</v>
      </c>
      <c r="I161" s="18"/>
      <c r="J161" s="23" t="s">
        <v>288</v>
      </c>
      <c r="K161" s="23" t="s">
        <v>288</v>
      </c>
      <c r="L161" s="23" t="s">
        <v>288</v>
      </c>
      <c r="M161" s="8"/>
      <c r="N161" s="164"/>
    </row>
    <row r="162" spans="1:14" s="3" customFormat="1" ht="12.2" customHeight="1" thickBot="1" x14ac:dyDescent="0.2">
      <c r="A162" s="249" t="s">
        <v>1588</v>
      </c>
      <c r="B162" s="247">
        <v>5</v>
      </c>
      <c r="C162" s="247">
        <v>15</v>
      </c>
      <c r="D162" s="248"/>
      <c r="E162" s="247">
        <v>4595</v>
      </c>
      <c r="F162" s="18"/>
      <c r="G162" s="18"/>
      <c r="H162" s="18">
        <v>893448.97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143237.47</v>
      </c>
      <c r="G163" s="38">
        <f>SUM(G150:G162)</f>
        <v>267968.01</v>
      </c>
      <c r="H163" s="38">
        <f>SUM(H150:H162)</f>
        <v>1770719.51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143237.47</v>
      </c>
      <c r="G170" s="38">
        <f>G147+G163+SUM(G164:G169)</f>
        <v>267968.01</v>
      </c>
      <c r="H170" s="38">
        <f>H147+H163+SUM(H164:H169)</f>
        <v>1770719.51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768</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21489.73</v>
      </c>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21489.73</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60000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200000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200000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2" t="s">
        <v>430</v>
      </c>
      <c r="E193" s="47">
        <v>5000</v>
      </c>
      <c r="F193" s="38">
        <f>F178+F184+SUM(F189:F192)</f>
        <v>221489.73</v>
      </c>
      <c r="G193" s="38">
        <f>G184+SUM(G189:G192)</f>
        <v>0</v>
      </c>
      <c r="H193" s="38">
        <f>+H184+SUM(H189:H192)</f>
        <v>0</v>
      </c>
      <c r="I193" s="38">
        <f>I178+I184+SUM(I189:I192)</f>
        <v>0</v>
      </c>
      <c r="J193" s="38">
        <f>J184</f>
        <v>60000</v>
      </c>
      <c r="K193" s="42" t="s">
        <v>288</v>
      </c>
      <c r="L193" s="42" t="s">
        <v>288</v>
      </c>
      <c r="M193" s="8"/>
      <c r="N193" s="164"/>
    </row>
    <row r="194" spans="1:14" s="3" customFormat="1" ht="12.2" customHeight="1" thickTop="1" x14ac:dyDescent="0.2">
      <c r="A194" s="43" t="s">
        <v>457</v>
      </c>
      <c r="B194" s="36" t="s">
        <v>330</v>
      </c>
      <c r="C194" s="37">
        <v>19</v>
      </c>
      <c r="D194" s="113" t="s">
        <v>430</v>
      </c>
      <c r="E194" s="41"/>
      <c r="F194" s="38">
        <f>F112+F140+F170+F193</f>
        <v>44259944.959999993</v>
      </c>
      <c r="G194" s="38">
        <f>G112+G140+G170+G193</f>
        <v>701475.58000000007</v>
      </c>
      <c r="H194" s="38">
        <f>H112+H140+H170+H193</f>
        <v>1958388</v>
      </c>
      <c r="I194" s="38">
        <f>I112+I140+I170+I193</f>
        <v>6296.98</v>
      </c>
      <c r="J194" s="38">
        <f>J112+J140+J193</f>
        <v>159305.71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5331769.29</v>
      </c>
      <c r="G198" s="18">
        <v>2968885.03</v>
      </c>
      <c r="H198" s="18">
        <v>180136.09</v>
      </c>
      <c r="I198" s="18">
        <v>259873.59</v>
      </c>
      <c r="J198" s="18">
        <v>185816.78</v>
      </c>
      <c r="K198" s="18"/>
      <c r="L198" s="13">
        <f>SUM(F198:K198)</f>
        <v>8926480.7799999993</v>
      </c>
      <c r="M198" s="8"/>
      <c r="N198" s="164"/>
    </row>
    <row r="199" spans="1:14" s="3" customFormat="1" ht="12.2" customHeight="1" x14ac:dyDescent="0.15">
      <c r="A199" s="1" t="s">
        <v>439</v>
      </c>
      <c r="B199" s="2" t="s">
        <v>341</v>
      </c>
      <c r="C199" s="2" t="s">
        <v>291</v>
      </c>
      <c r="D199" s="2" t="s">
        <v>431</v>
      </c>
      <c r="E199" s="6">
        <v>1200</v>
      </c>
      <c r="F199" s="18">
        <v>2428163.52</v>
      </c>
      <c r="G199" s="18">
        <v>1204371.03</v>
      </c>
      <c r="H199" s="18">
        <f>293151</f>
        <v>293151</v>
      </c>
      <c r="I199" s="18">
        <v>50001.69</v>
      </c>
      <c r="J199" s="18">
        <v>6673.72</v>
      </c>
      <c r="K199" s="18"/>
      <c r="L199" s="13">
        <f>SUM(F199:K199)</f>
        <v>3982360.96</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15628.75</v>
      </c>
      <c r="G201" s="18">
        <v>3771</v>
      </c>
      <c r="H201" s="18"/>
      <c r="I201" s="18">
        <v>200</v>
      </c>
      <c r="J201" s="18"/>
      <c r="K201" s="18"/>
      <c r="L201" s="13">
        <f>SUM(F201:K201)</f>
        <v>19599.75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588423.97</v>
      </c>
      <c r="G203" s="18">
        <v>367768.3</v>
      </c>
      <c r="H203" s="18">
        <v>921.75</v>
      </c>
      <c r="I203" s="18">
        <v>10528.09</v>
      </c>
      <c r="J203" s="18"/>
      <c r="K203" s="18"/>
      <c r="L203" s="13">
        <f t="shared" ref="L203:L209" si="0">SUM(F203:K203)</f>
        <v>967642.11</v>
      </c>
      <c r="M203" s="8"/>
      <c r="N203" s="164"/>
    </row>
    <row r="204" spans="1:14" s="3" customFormat="1" ht="12.2" customHeight="1" x14ac:dyDescent="0.15">
      <c r="A204" s="1" t="s">
        <v>443</v>
      </c>
      <c r="B204" s="2" t="s">
        <v>341</v>
      </c>
      <c r="C204" s="2" t="s">
        <v>295</v>
      </c>
      <c r="D204" s="2" t="s">
        <v>431</v>
      </c>
      <c r="E204" s="6">
        <v>2200</v>
      </c>
      <c r="F204" s="18">
        <v>178853.85</v>
      </c>
      <c r="G204" s="18">
        <v>134028.59</v>
      </c>
      <c r="H204" s="18">
        <v>22979.69</v>
      </c>
      <c r="I204" s="18">
        <v>21765.46</v>
      </c>
      <c r="J204" s="18">
        <v>484.03</v>
      </c>
      <c r="K204" s="18"/>
      <c r="L204" s="13">
        <f t="shared" si="0"/>
        <v>358111.62000000005</v>
      </c>
      <c r="M204" s="8"/>
      <c r="N204" s="164"/>
    </row>
    <row r="205" spans="1:14" s="3" customFormat="1" ht="12.2" customHeight="1" x14ac:dyDescent="0.15">
      <c r="A205" s="1" t="s">
        <v>444</v>
      </c>
      <c r="B205" s="2" t="s">
        <v>341</v>
      </c>
      <c r="C205" s="2" t="s">
        <v>296</v>
      </c>
      <c r="D205" s="2" t="s">
        <v>431</v>
      </c>
      <c r="E205" s="6">
        <v>2300</v>
      </c>
      <c r="F205" s="18">
        <v>538271.39</v>
      </c>
      <c r="G205" s="18">
        <v>222672.89</v>
      </c>
      <c r="H205" s="18">
        <v>157922.03</v>
      </c>
      <c r="I205" s="18">
        <v>9350.39</v>
      </c>
      <c r="J205" s="18">
        <v>570.65</v>
      </c>
      <c r="K205" s="18">
        <v>6465.51</v>
      </c>
      <c r="L205" s="13">
        <f t="shared" si="0"/>
        <v>935252.8600000001</v>
      </c>
      <c r="M205" s="8"/>
      <c r="N205" s="164"/>
    </row>
    <row r="206" spans="1:14" s="3" customFormat="1" ht="12.2" customHeight="1" x14ac:dyDescent="0.15">
      <c r="A206" s="1" t="s">
        <v>445</v>
      </c>
      <c r="B206" s="2" t="s">
        <v>341</v>
      </c>
      <c r="C206" s="2" t="s">
        <v>297</v>
      </c>
      <c r="D206" s="2" t="s">
        <v>431</v>
      </c>
      <c r="E206" s="6">
        <v>2400</v>
      </c>
      <c r="F206" s="18">
        <v>668531.72</v>
      </c>
      <c r="G206" s="18">
        <v>357029.88</v>
      </c>
      <c r="H206" s="18">
        <v>54783.54</v>
      </c>
      <c r="I206" s="18">
        <v>12464.3</v>
      </c>
      <c r="J206" s="18">
        <v>1309.8800000000001</v>
      </c>
      <c r="K206" s="18">
        <v>3457</v>
      </c>
      <c r="L206" s="13">
        <f t="shared" si="0"/>
        <v>1097576.3199999998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406000.07</v>
      </c>
      <c r="G208" s="18">
        <v>230991.06</v>
      </c>
      <c r="H208" s="18">
        <v>991510.39</v>
      </c>
      <c r="I208" s="18">
        <v>385463.34</v>
      </c>
      <c r="J208" s="18">
        <v>25817.95</v>
      </c>
      <c r="K208" s="18"/>
      <c r="L208" s="13">
        <f t="shared" si="0"/>
        <v>2039782.81</v>
      </c>
      <c r="M208" s="8"/>
      <c r="N208" s="164"/>
    </row>
    <row r="209" spans="1:14" s="3" customFormat="1" ht="12.2" customHeight="1" x14ac:dyDescent="0.15">
      <c r="A209" s="1" t="s">
        <v>448</v>
      </c>
      <c r="B209" s="2" t="s">
        <v>341</v>
      </c>
      <c r="C209" s="2" t="s">
        <v>300</v>
      </c>
      <c r="D209" s="2" t="s">
        <v>431</v>
      </c>
      <c r="E209" s="6">
        <v>2700</v>
      </c>
      <c r="F209" s="18"/>
      <c r="G209" s="18"/>
      <c r="H209" s="18">
        <v>891524.15</v>
      </c>
      <c r="I209" s="18">
        <v>108143.03999999999</v>
      </c>
      <c r="J209" s="18"/>
      <c r="K209" s="18"/>
      <c r="L209" s="13">
        <f t="shared" si="0"/>
        <v>999667.19000000006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10155642.560000002</v>
      </c>
      <c r="G212" s="38">
        <f t="shared" si="1"/>
        <v>5489517.7799999984</v>
      </c>
      <c r="H212" s="38">
        <f t="shared" si="1"/>
        <v>2592928.64</v>
      </c>
      <c r="I212" s="38">
        <f t="shared" si="1"/>
        <v>857789.90000000014</v>
      </c>
      <c r="J212" s="38">
        <f t="shared" si="1"/>
        <v>220673.01</v>
      </c>
      <c r="K212" s="38">
        <f t="shared" si="1"/>
        <v>9922.51</v>
      </c>
      <c r="L212" s="38">
        <f t="shared" si="1"/>
        <v>19326474.399999999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2749143.13</v>
      </c>
      <c r="G216" s="18">
        <v>1570588.66</v>
      </c>
      <c r="H216" s="18">
        <v>140629.21</v>
      </c>
      <c r="I216" s="18">
        <v>98052.88</v>
      </c>
      <c r="J216" s="18">
        <v>101968.45</v>
      </c>
      <c r="K216" s="18">
        <v>3257.5</v>
      </c>
      <c r="L216" s="13">
        <f>SUM(F216:K216)</f>
        <v>4663639.83</v>
      </c>
      <c r="M216" s="8"/>
      <c r="N216" s="164"/>
    </row>
    <row r="217" spans="1:14" s="3" customFormat="1" ht="12.2" customHeight="1" x14ac:dyDescent="0.15">
      <c r="A217" s="1" t="s">
        <v>439</v>
      </c>
      <c r="B217" s="2" t="s">
        <v>346</v>
      </c>
      <c r="C217" s="2" t="s">
        <v>291</v>
      </c>
      <c r="D217" s="2" t="s">
        <v>431</v>
      </c>
      <c r="E217" s="6">
        <v>1200</v>
      </c>
      <c r="F217" s="18">
        <v>1071253.46</v>
      </c>
      <c r="G217" s="18">
        <v>498988.5</v>
      </c>
      <c r="H217" s="18">
        <f>350388.16</f>
        <v>350388.16</v>
      </c>
      <c r="I217" s="18">
        <v>17807.310000000001</v>
      </c>
      <c r="J217" s="18"/>
      <c r="K217" s="18">
        <v>6538.5</v>
      </c>
      <c r="L217" s="13">
        <f>SUM(F217:K217)</f>
        <v>1944975.93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99930.33</v>
      </c>
      <c r="G219" s="18">
        <v>23527.72</v>
      </c>
      <c r="H219" s="18">
        <v>9864</v>
      </c>
      <c r="I219" s="18">
        <v>6227.93</v>
      </c>
      <c r="J219" s="18">
        <v>11229.1</v>
      </c>
      <c r="K219" s="18">
        <v>5442</v>
      </c>
      <c r="L219" s="13">
        <f>SUM(F219:K219)</f>
        <v>156221.07999999999</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272112.81</v>
      </c>
      <c r="G221" s="18">
        <v>137070.39000000001</v>
      </c>
      <c r="H221" s="18"/>
      <c r="I221" s="18">
        <v>3835.74</v>
      </c>
      <c r="J221" s="18">
        <v>39.25</v>
      </c>
      <c r="K221" s="18"/>
      <c r="L221" s="13">
        <f t="shared" ref="L221:L227" si="2">SUM(F221:K221)</f>
        <v>413058.19</v>
      </c>
      <c r="M221" s="8"/>
      <c r="N221" s="164"/>
    </row>
    <row r="222" spans="1:14" s="3" customFormat="1" ht="12.2" customHeight="1" x14ac:dyDescent="0.15">
      <c r="A222" s="1" t="s">
        <v>443</v>
      </c>
      <c r="B222" s="2" t="s">
        <v>346</v>
      </c>
      <c r="C222" s="2" t="s">
        <v>295</v>
      </c>
      <c r="D222" s="2" t="s">
        <v>431</v>
      </c>
      <c r="E222" s="6">
        <v>2200</v>
      </c>
      <c r="F222" s="18">
        <v>107140.01</v>
      </c>
      <c r="G222" s="18">
        <v>54681.56</v>
      </c>
      <c r="H222" s="18">
        <v>12454.11</v>
      </c>
      <c r="I222" s="18">
        <v>4095.24</v>
      </c>
      <c r="J222" s="18"/>
      <c r="K222" s="18"/>
      <c r="L222" s="13">
        <f t="shared" si="2"/>
        <v>178370.91999999998</v>
      </c>
      <c r="M222" s="8"/>
      <c r="N222" s="164"/>
    </row>
    <row r="223" spans="1:14" s="3" customFormat="1" ht="12.2" customHeight="1" x14ac:dyDescent="0.15">
      <c r="A223" s="1" t="s">
        <v>444</v>
      </c>
      <c r="B223" s="2" t="s">
        <v>346</v>
      </c>
      <c r="C223" s="2" t="s">
        <v>296</v>
      </c>
      <c r="D223" s="2" t="s">
        <v>431</v>
      </c>
      <c r="E223" s="6">
        <v>2300</v>
      </c>
      <c r="F223" s="18">
        <v>293602.59000000003</v>
      </c>
      <c r="G223" s="18">
        <v>121457.94</v>
      </c>
      <c r="H223" s="18">
        <v>86139.26</v>
      </c>
      <c r="I223" s="18">
        <v>5100.2299999999996</v>
      </c>
      <c r="J223" s="18">
        <v>311.26</v>
      </c>
      <c r="K223" s="18">
        <v>3526.66</v>
      </c>
      <c r="L223" s="13">
        <f t="shared" si="2"/>
        <v>510137.94</v>
      </c>
      <c r="M223" s="8"/>
      <c r="N223" s="164"/>
    </row>
    <row r="224" spans="1:14" s="3" customFormat="1" ht="12.2" customHeight="1" x14ac:dyDescent="0.15">
      <c r="A224" s="1" t="s">
        <v>445</v>
      </c>
      <c r="B224" s="2" t="s">
        <v>346</v>
      </c>
      <c r="C224" s="2" t="s">
        <v>297</v>
      </c>
      <c r="D224" s="2" t="s">
        <v>431</v>
      </c>
      <c r="E224" s="6">
        <v>2400</v>
      </c>
      <c r="F224" s="18">
        <v>305637.3</v>
      </c>
      <c r="G224" s="18">
        <v>178841.86</v>
      </c>
      <c r="H224" s="18">
        <v>35576.17</v>
      </c>
      <c r="I224" s="18"/>
      <c r="J224" s="18"/>
      <c r="K224" s="18">
        <v>1749</v>
      </c>
      <c r="L224" s="13">
        <f t="shared" si="2"/>
        <v>521804.32999999996</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267640.26</v>
      </c>
      <c r="G226" s="18">
        <v>145786.32999999999</v>
      </c>
      <c r="H226" s="18">
        <v>727227.28</v>
      </c>
      <c r="I226" s="18">
        <v>378018.83</v>
      </c>
      <c r="J226" s="18">
        <v>3985.74</v>
      </c>
      <c r="K226" s="18"/>
      <c r="L226" s="13">
        <f t="shared" si="2"/>
        <v>1522658.4400000002</v>
      </c>
      <c r="M226" s="8"/>
      <c r="N226" s="164"/>
    </row>
    <row r="227" spans="1:14" s="3" customFormat="1" ht="12.2" customHeight="1" x14ac:dyDescent="0.15">
      <c r="A227" s="1" t="s">
        <v>448</v>
      </c>
      <c r="B227" s="2" t="s">
        <v>346</v>
      </c>
      <c r="C227" s="2" t="s">
        <v>300</v>
      </c>
      <c r="D227" s="2" t="s">
        <v>431</v>
      </c>
      <c r="E227" s="6">
        <v>2700</v>
      </c>
      <c r="F227" s="18"/>
      <c r="G227" s="18"/>
      <c r="H227" s="18">
        <v>352322.39</v>
      </c>
      <c r="I227" s="18">
        <v>58987.11</v>
      </c>
      <c r="J227" s="18"/>
      <c r="K227" s="18"/>
      <c r="L227" s="13">
        <f t="shared" si="2"/>
        <v>411309.5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5166459.8899999997</v>
      </c>
      <c r="G230" s="38">
        <f>SUM(G216:G229)</f>
        <v>2730942.96</v>
      </c>
      <c r="H230" s="38">
        <f>SUM(H216:H229)</f>
        <v>1714600.58</v>
      </c>
      <c r="I230" s="38">
        <f>SUM(I216:I229)</f>
        <v>572125.27</v>
      </c>
      <c r="J230" s="38">
        <f>SUM(J216:J229)</f>
        <v>117533.8</v>
      </c>
      <c r="K230" s="38">
        <f t="shared" si="3"/>
        <v>20513.66</v>
      </c>
      <c r="L230" s="38">
        <f t="shared" si="3"/>
        <v>10322176.16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3293176.75</v>
      </c>
      <c r="G234" s="18">
        <v>1859732.65</v>
      </c>
      <c r="H234" s="18">
        <v>156889.37</v>
      </c>
      <c r="I234" s="18">
        <v>172103.23</v>
      </c>
      <c r="J234" s="18">
        <v>208822.5</v>
      </c>
      <c r="K234" s="18">
        <v>22326.86</v>
      </c>
      <c r="L234" s="13">
        <f>SUM(F234:K234)</f>
        <v>5713051.3600000013</v>
      </c>
      <c r="M234" s="8"/>
      <c r="N234" s="164"/>
    </row>
    <row r="235" spans="1:14" s="3" customFormat="1" ht="12.2" customHeight="1" x14ac:dyDescent="0.15">
      <c r="A235" s="1" t="s">
        <v>439</v>
      </c>
      <c r="B235" s="2" t="s">
        <v>350</v>
      </c>
      <c r="C235" s="2" t="s">
        <v>291</v>
      </c>
      <c r="D235" s="2" t="s">
        <v>431</v>
      </c>
      <c r="E235" s="6">
        <v>1200</v>
      </c>
      <c r="F235" s="18">
        <v>683520.07</v>
      </c>
      <c r="G235" s="18">
        <v>396431.1</v>
      </c>
      <c r="H235" s="18">
        <f>342097.57</f>
        <v>342097.57</v>
      </c>
      <c r="I235" s="18">
        <v>26323.08</v>
      </c>
      <c r="J235" s="18">
        <v>3366.28</v>
      </c>
      <c r="K235" s="18"/>
      <c r="L235" s="13">
        <f>SUM(F235:K235)</f>
        <v>1451738.1</v>
      </c>
      <c r="M235" s="8"/>
      <c r="N235" s="164"/>
    </row>
    <row r="236" spans="1:14" s="3" customFormat="1" ht="12.2" customHeight="1" x14ac:dyDescent="0.15">
      <c r="A236" s="1" t="s">
        <v>440</v>
      </c>
      <c r="B236" s="2" t="s">
        <v>350</v>
      </c>
      <c r="C236" s="2" t="s">
        <v>292</v>
      </c>
      <c r="D236" s="2" t="s">
        <v>431</v>
      </c>
      <c r="E236" s="6">
        <v>1300</v>
      </c>
      <c r="F236" s="18"/>
      <c r="G236" s="18"/>
      <c r="H236" s="18">
        <v>62986.82</v>
      </c>
      <c r="I236" s="18"/>
      <c r="J236" s="18"/>
      <c r="K236" s="18"/>
      <c r="L236" s="13">
        <f>SUM(F236:K236)</f>
        <v>62986.82</v>
      </c>
      <c r="M236" s="8"/>
      <c r="N236" s="164"/>
    </row>
    <row r="237" spans="1:14" s="3" customFormat="1" ht="12.2" customHeight="1" x14ac:dyDescent="0.15">
      <c r="A237" s="1" t="s">
        <v>441</v>
      </c>
      <c r="B237" s="2" t="s">
        <v>350</v>
      </c>
      <c r="C237" s="2" t="s">
        <v>293</v>
      </c>
      <c r="D237" s="2" t="s">
        <v>431</v>
      </c>
      <c r="E237" s="6">
        <v>1400</v>
      </c>
      <c r="F237" s="18">
        <v>217436.05</v>
      </c>
      <c r="G237" s="18">
        <v>37398.39</v>
      </c>
      <c r="H237" s="18">
        <v>51335.42</v>
      </c>
      <c r="I237" s="18">
        <v>23692.25</v>
      </c>
      <c r="J237" s="18">
        <v>34258.800000000003</v>
      </c>
      <c r="K237" s="18">
        <v>30931.68</v>
      </c>
      <c r="L237" s="13">
        <f>SUM(F237:K237)</f>
        <v>395052.58999999997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355331.18</v>
      </c>
      <c r="G239" s="18">
        <v>214776.85</v>
      </c>
      <c r="H239" s="18">
        <v>2468.52</v>
      </c>
      <c r="I239" s="18">
        <v>11183.51</v>
      </c>
      <c r="J239" s="18">
        <v>192.44</v>
      </c>
      <c r="K239" s="18">
        <v>116</v>
      </c>
      <c r="L239" s="13">
        <f t="shared" ref="L239:L245" si="4">SUM(F239:K239)</f>
        <v>584068.5</v>
      </c>
      <c r="M239" s="8"/>
      <c r="N239" s="164"/>
    </row>
    <row r="240" spans="1:14" s="3" customFormat="1" ht="12.2" customHeight="1" x14ac:dyDescent="0.15">
      <c r="A240" s="1" t="s">
        <v>443</v>
      </c>
      <c r="B240" s="2" t="s">
        <v>350</v>
      </c>
      <c r="C240" s="2" t="s">
        <v>295</v>
      </c>
      <c r="D240" s="2" t="s">
        <v>431</v>
      </c>
      <c r="E240" s="6">
        <v>2200</v>
      </c>
      <c r="F240" s="18">
        <v>78443.44</v>
      </c>
      <c r="G240" s="18">
        <v>57875.48</v>
      </c>
      <c r="H240" s="18">
        <v>16605.5</v>
      </c>
      <c r="I240" s="18">
        <v>16945.14</v>
      </c>
      <c r="J240" s="18">
        <v>3226.58</v>
      </c>
      <c r="K240" s="18"/>
      <c r="L240" s="13">
        <f t="shared" si="4"/>
        <v>173096.13999999998</v>
      </c>
      <c r="M240" s="8"/>
      <c r="N240" s="164"/>
    </row>
    <row r="241" spans="1:14" s="3" customFormat="1" ht="12.2" customHeight="1" x14ac:dyDescent="0.15">
      <c r="A241" s="1" t="s">
        <v>444</v>
      </c>
      <c r="B241" s="2" t="s">
        <v>350</v>
      </c>
      <c r="C241" s="2" t="s">
        <v>296</v>
      </c>
      <c r="D241" s="2" t="s">
        <v>431</v>
      </c>
      <c r="E241" s="6">
        <v>2300</v>
      </c>
      <c r="F241" s="18">
        <v>391470.1</v>
      </c>
      <c r="G241" s="18">
        <v>161943.91</v>
      </c>
      <c r="H241" s="18">
        <v>114852.39</v>
      </c>
      <c r="I241" s="18">
        <v>6800.28</v>
      </c>
      <c r="J241" s="18">
        <v>415.02</v>
      </c>
      <c r="K241" s="18">
        <v>4702.1899999999996</v>
      </c>
      <c r="L241" s="13">
        <f t="shared" si="4"/>
        <v>680183.89</v>
      </c>
      <c r="M241" s="8"/>
      <c r="N241" s="164"/>
    </row>
    <row r="242" spans="1:14" s="3" customFormat="1" ht="12.2" customHeight="1" x14ac:dyDescent="0.15">
      <c r="A242" s="1" t="s">
        <v>445</v>
      </c>
      <c r="B242" s="2" t="s">
        <v>350</v>
      </c>
      <c r="C242" s="2" t="s">
        <v>297</v>
      </c>
      <c r="D242" s="2" t="s">
        <v>431</v>
      </c>
      <c r="E242" s="6">
        <v>2400</v>
      </c>
      <c r="F242" s="18">
        <v>599415.65</v>
      </c>
      <c r="G242" s="18">
        <v>356385.46</v>
      </c>
      <c r="H242" s="18">
        <v>39101.699999999997</v>
      </c>
      <c r="I242" s="18">
        <v>48781.66</v>
      </c>
      <c r="J242" s="18"/>
      <c r="K242" s="18">
        <v>7925</v>
      </c>
      <c r="L242" s="13">
        <f t="shared" si="4"/>
        <v>1051609.4700000002</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306853.43</v>
      </c>
      <c r="G244" s="18">
        <v>151701.16</v>
      </c>
      <c r="H244" s="18">
        <v>709293.86</v>
      </c>
      <c r="I244" s="18">
        <v>404989.25</v>
      </c>
      <c r="J244" s="18">
        <v>6398.31</v>
      </c>
      <c r="K244" s="18"/>
      <c r="L244" s="13">
        <f t="shared" si="4"/>
        <v>1579236.01</v>
      </c>
      <c r="M244" s="8"/>
      <c r="N244" s="164"/>
    </row>
    <row r="245" spans="1:14" s="3" customFormat="1" ht="12.2" customHeight="1" x14ac:dyDescent="0.15">
      <c r="A245" s="1" t="s">
        <v>448</v>
      </c>
      <c r="B245" s="2" t="s">
        <v>350</v>
      </c>
      <c r="C245" s="2" t="s">
        <v>300</v>
      </c>
      <c r="D245" s="2" t="s">
        <v>431</v>
      </c>
      <c r="E245" s="6">
        <v>2700</v>
      </c>
      <c r="F245" s="18"/>
      <c r="G245" s="18"/>
      <c r="H245" s="18">
        <v>620516.42000000004</v>
      </c>
      <c r="I245" s="18">
        <v>78649.48</v>
      </c>
      <c r="J245" s="18"/>
      <c r="K245" s="18"/>
      <c r="L245" s="13">
        <f t="shared" si="4"/>
        <v>699165.9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5925646.6699999999</v>
      </c>
      <c r="G248" s="38">
        <f t="shared" si="5"/>
        <v>3236245.0000000005</v>
      </c>
      <c r="H248" s="38">
        <f t="shared" si="5"/>
        <v>2116147.5699999998</v>
      </c>
      <c r="I248" s="38">
        <f t="shared" si="5"/>
        <v>789467.88</v>
      </c>
      <c r="J248" s="38">
        <f t="shared" si="5"/>
        <v>256679.93</v>
      </c>
      <c r="K248" s="38">
        <f t="shared" si="5"/>
        <v>66001.73000000001</v>
      </c>
      <c r="L248" s="38">
        <f t="shared" si="5"/>
        <v>12390188.780000001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53400</v>
      </c>
      <c r="G252" s="18">
        <v>17936.650000000001</v>
      </c>
      <c r="H252" s="18"/>
      <c r="I252" s="18"/>
      <c r="J252" s="18"/>
      <c r="K252" s="18"/>
      <c r="L252" s="13">
        <f t="shared" si="6"/>
        <v>71336.649999999994</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53400</v>
      </c>
      <c r="G257" s="38">
        <f t="shared" si="7"/>
        <v>17936.650000000001</v>
      </c>
      <c r="H257" s="38">
        <f t="shared" si="7"/>
        <v>0</v>
      </c>
      <c r="I257" s="38">
        <f t="shared" si="7"/>
        <v>0</v>
      </c>
      <c r="J257" s="38">
        <f t="shared" si="7"/>
        <v>0</v>
      </c>
      <c r="K257" s="38">
        <f t="shared" si="7"/>
        <v>0</v>
      </c>
      <c r="L257" s="38">
        <f>SUM(F257:K257)</f>
        <v>71336.649999999994</v>
      </c>
      <c r="M257" s="8"/>
      <c r="N257" s="164"/>
    </row>
    <row r="258" spans="1:14" s="3" customFormat="1" ht="12.2" customHeight="1" thickTop="1" x14ac:dyDescent="0.15">
      <c r="A258" s="35" t="s">
        <v>462</v>
      </c>
      <c r="B258" s="37">
        <v>10</v>
      </c>
      <c r="C258" s="37">
        <v>8</v>
      </c>
      <c r="D258" s="36" t="s">
        <v>431</v>
      </c>
      <c r="E258" s="37"/>
      <c r="F258" s="38">
        <f t="shared" ref="F258:L258" si="8">F212+F230+F248+F257</f>
        <v>21301149.120000005</v>
      </c>
      <c r="G258" s="38">
        <f t="shared" si="8"/>
        <v>11474642.389999999</v>
      </c>
      <c r="H258" s="38">
        <f t="shared" si="8"/>
        <v>6423676.790000001</v>
      </c>
      <c r="I258" s="38">
        <f t="shared" si="8"/>
        <v>2219383.0500000003</v>
      </c>
      <c r="J258" s="38">
        <f t="shared" si="8"/>
        <v>594886.74</v>
      </c>
      <c r="K258" s="38">
        <f t="shared" si="8"/>
        <v>96437.900000000009</v>
      </c>
      <c r="L258" s="38">
        <f t="shared" si="8"/>
        <v>42110175.990000002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1037719.55</v>
      </c>
      <c r="L261" s="13">
        <f>SUM(F261:K261)</f>
        <v>1037719.55</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905001.31</v>
      </c>
      <c r="L262" s="13">
        <f>SUM(F262:K262)</f>
        <v>905001.31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v>
      </c>
      <c r="L267" s="13">
        <f t="shared" si="9"/>
        <v>60000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2002720.86</v>
      </c>
      <c r="L271" s="38">
        <f t="shared" si="9"/>
        <v>2002720.86</v>
      </c>
      <c r="M271" s="8"/>
      <c r="N271" s="164"/>
    </row>
    <row r="272" spans="1:14" s="33" customFormat="1" ht="12.2" customHeight="1" thickTop="1" x14ac:dyDescent="0.2">
      <c r="A272" s="40" t="s">
        <v>464</v>
      </c>
      <c r="B272" s="37">
        <v>10</v>
      </c>
      <c r="C272" s="37">
        <v>18</v>
      </c>
      <c r="D272" s="36" t="s">
        <v>431</v>
      </c>
      <c r="E272" s="37"/>
      <c r="F272" s="39">
        <f t="shared" ref="F272:L272" si="11">F258+F271</f>
        <v>21301149.120000005</v>
      </c>
      <c r="G272" s="39">
        <f t="shared" si="11"/>
        <v>11474642.389999999</v>
      </c>
      <c r="H272" s="39">
        <f t="shared" si="11"/>
        <v>6423676.790000001</v>
      </c>
      <c r="I272" s="39">
        <f t="shared" si="11"/>
        <v>2219383.0500000003</v>
      </c>
      <c r="J272" s="39">
        <f t="shared" si="11"/>
        <v>594886.74</v>
      </c>
      <c r="K272" s="39">
        <f t="shared" si="11"/>
        <v>2099158.7600000002</v>
      </c>
      <c r="L272" s="39">
        <f t="shared" si="11"/>
        <v>44112896.850000001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56224.65</v>
      </c>
      <c r="G277" s="18">
        <v>38799.050000000003</v>
      </c>
      <c r="H277" s="18">
        <v>21235.5</v>
      </c>
      <c r="I277" s="18">
        <v>104723.78</v>
      </c>
      <c r="J277" s="18">
        <v>1730</v>
      </c>
      <c r="K277" s="18"/>
      <c r="L277" s="13">
        <f>SUM(F277:K277)</f>
        <v>222712.98</v>
      </c>
      <c r="M277" s="8"/>
      <c r="N277" s="164"/>
    </row>
    <row r="278" spans="1:14" s="3" customFormat="1" ht="12.2" customHeight="1" x14ac:dyDescent="0.15">
      <c r="A278" s="1" t="s">
        <v>439</v>
      </c>
      <c r="B278" s="2" t="s">
        <v>357</v>
      </c>
      <c r="C278" s="2" t="s">
        <v>291</v>
      </c>
      <c r="D278" s="2" t="s">
        <v>431</v>
      </c>
      <c r="E278" s="6">
        <v>1200</v>
      </c>
      <c r="F278" s="18"/>
      <c r="G278" s="18"/>
      <c r="H278" s="18"/>
      <c r="I278" s="18">
        <v>11814.87</v>
      </c>
      <c r="J278" s="18">
        <v>40691.86</v>
      </c>
      <c r="K278" s="18"/>
      <c r="L278" s="13">
        <f>SUM(F278:K278)</f>
        <v>52506.73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5428.5</v>
      </c>
      <c r="G280" s="18">
        <v>641.16999999999996</v>
      </c>
      <c r="H280" s="18"/>
      <c r="I280" s="18">
        <v>289.44</v>
      </c>
      <c r="J280" s="18"/>
      <c r="K280" s="18"/>
      <c r="L280" s="13">
        <f>SUM(F280:K280)</f>
        <v>6359.11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1726.62</v>
      </c>
      <c r="G282" s="18">
        <v>135.18</v>
      </c>
      <c r="H282" s="18">
        <v>360</v>
      </c>
      <c r="I282" s="18">
        <v>3795.97</v>
      </c>
      <c r="J282" s="18"/>
      <c r="K282" s="18"/>
      <c r="L282" s="13">
        <f t="shared" ref="L282:L288" si="12">SUM(F282:K282)</f>
        <v>6017.77</v>
      </c>
      <c r="M282" s="8"/>
      <c r="N282" s="164"/>
    </row>
    <row r="283" spans="1:14" s="3" customFormat="1" ht="12.2" customHeight="1" x14ac:dyDescent="0.15">
      <c r="A283" s="1" t="s">
        <v>443</v>
      </c>
      <c r="B283" s="2" t="s">
        <v>357</v>
      </c>
      <c r="C283" s="2" t="s">
        <v>295</v>
      </c>
      <c r="D283" s="2" t="s">
        <v>431</v>
      </c>
      <c r="E283" s="6">
        <v>2200</v>
      </c>
      <c r="F283" s="18">
        <v>144126.47</v>
      </c>
      <c r="G283" s="18">
        <v>66974.98</v>
      </c>
      <c r="H283" s="18">
        <v>13622.56</v>
      </c>
      <c r="I283" s="18">
        <v>677.88</v>
      </c>
      <c r="J283" s="18"/>
      <c r="K283" s="18">
        <v>620.4</v>
      </c>
      <c r="L283" s="13">
        <f t="shared" si="12"/>
        <v>226022.29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v>43720</v>
      </c>
      <c r="G285" s="18">
        <v>25838.69</v>
      </c>
      <c r="H285" s="18"/>
      <c r="I285" s="18"/>
      <c r="J285" s="18"/>
      <c r="K285" s="18"/>
      <c r="L285" s="13">
        <f t="shared" si="12"/>
        <v>69558.69</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65323</v>
      </c>
      <c r="I287" s="18"/>
      <c r="J287" s="18">
        <v>688250</v>
      </c>
      <c r="K287" s="18"/>
      <c r="L287" s="13">
        <f t="shared" si="12"/>
        <v>753573</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v>15076.43</v>
      </c>
      <c r="L289" s="13">
        <f>SUM(F289:K289)</f>
        <v>15076.43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251226.23999999999</v>
      </c>
      <c r="G291" s="39">
        <f t="shared" si="13"/>
        <v>132389.07</v>
      </c>
      <c r="H291" s="39">
        <f t="shared" si="13"/>
        <v>100541.06</v>
      </c>
      <c r="I291" s="39">
        <f t="shared" si="13"/>
        <v>121301.94</v>
      </c>
      <c r="J291" s="39">
        <f t="shared" si="13"/>
        <v>730671.86</v>
      </c>
      <c r="K291" s="39">
        <f t="shared" si="13"/>
        <v>15696.83</v>
      </c>
      <c r="L291" s="38">
        <f t="shared" si="13"/>
        <v>1351827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1000</v>
      </c>
      <c r="G296" s="18">
        <v>292.64</v>
      </c>
      <c r="H296" s="18">
        <v>11583</v>
      </c>
      <c r="I296" s="18"/>
      <c r="J296" s="18">
        <v>600</v>
      </c>
      <c r="K296" s="18"/>
      <c r="L296" s="13">
        <f>SUM(F296:K296)</f>
        <v>13475.64</v>
      </c>
      <c r="M296" s="8"/>
      <c r="N296" s="164"/>
    </row>
    <row r="297" spans="1:14" s="3" customFormat="1" ht="12.2" customHeight="1" x14ac:dyDescent="0.15">
      <c r="A297" s="1" t="s">
        <v>439</v>
      </c>
      <c r="B297" s="2" t="s">
        <v>358</v>
      </c>
      <c r="C297" s="2" t="s">
        <v>291</v>
      </c>
      <c r="D297" s="2" t="s">
        <v>431</v>
      </c>
      <c r="E297" s="6">
        <v>1200</v>
      </c>
      <c r="F297" s="18"/>
      <c r="G297" s="18"/>
      <c r="H297" s="18"/>
      <c r="I297" s="18">
        <v>5530.37</v>
      </c>
      <c r="J297" s="18">
        <v>17366.330000000002</v>
      </c>
      <c r="K297" s="18"/>
      <c r="L297" s="13">
        <f>SUM(F297:K297)</f>
        <v>22896.7</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616</v>
      </c>
      <c r="G299" s="18"/>
      <c r="H299" s="18"/>
      <c r="I299" s="18"/>
      <c r="J299" s="18"/>
      <c r="K299" s="18"/>
      <c r="L299" s="13">
        <f>SUM(F299:K299)</f>
        <v>616</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33291.81</v>
      </c>
      <c r="G302" s="18">
        <v>9344.3700000000008</v>
      </c>
      <c r="H302" s="18">
        <v>10926.52</v>
      </c>
      <c r="I302" s="18">
        <v>346.14</v>
      </c>
      <c r="J302" s="18"/>
      <c r="K302" s="18">
        <v>290.39999999999998</v>
      </c>
      <c r="L302" s="13">
        <f t="shared" si="14"/>
        <v>54199.24</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32990</v>
      </c>
      <c r="I306" s="18"/>
      <c r="J306" s="18"/>
      <c r="K306" s="18"/>
      <c r="L306" s="13">
        <f t="shared" si="14"/>
        <v>32990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v>3971.28</v>
      </c>
      <c r="L308" s="13">
        <f>SUM(F308:K308)</f>
        <v>3971.28</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34907.81</v>
      </c>
      <c r="G310" s="39">
        <f t="shared" si="15"/>
        <v>9637.01</v>
      </c>
      <c r="H310" s="39">
        <f t="shared" si="15"/>
        <v>55499.520000000004</v>
      </c>
      <c r="I310" s="39">
        <f t="shared" si="15"/>
        <v>5876.51</v>
      </c>
      <c r="J310" s="39">
        <f t="shared" si="15"/>
        <v>17966.330000000002</v>
      </c>
      <c r="K310" s="39">
        <f t="shared" si="15"/>
        <v>4261.68</v>
      </c>
      <c r="L310" s="38">
        <f t="shared" si="15"/>
        <v>128148.85999999999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v>15444</v>
      </c>
      <c r="I315" s="18"/>
      <c r="J315" s="18"/>
      <c r="K315" s="18"/>
      <c r="L315" s="13">
        <f>SUM(F315:K315)</f>
        <v>15444</v>
      </c>
      <c r="M315" s="8"/>
      <c r="N315" s="164"/>
    </row>
    <row r="316" spans="1:14" s="3" customFormat="1" ht="12.2" customHeight="1" x14ac:dyDescent="0.15">
      <c r="A316" s="1" t="s">
        <v>439</v>
      </c>
      <c r="B316" s="2" t="s">
        <v>359</v>
      </c>
      <c r="C316" s="2" t="s">
        <v>291</v>
      </c>
      <c r="D316" s="2" t="s">
        <v>431</v>
      </c>
      <c r="E316" s="6">
        <v>1200</v>
      </c>
      <c r="F316" s="18">
        <v>244738.95</v>
      </c>
      <c r="G316" s="18">
        <v>70661.47</v>
      </c>
      <c r="H316" s="18">
        <v>2273</v>
      </c>
      <c r="I316" s="18">
        <v>17004.400000000001</v>
      </c>
      <c r="J316" s="18">
        <v>23994.75</v>
      </c>
      <c r="K316" s="18"/>
      <c r="L316" s="13">
        <f>SUM(F316:K316)</f>
        <v>358672.57000000007</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868</v>
      </c>
      <c r="G318" s="18"/>
      <c r="H318" s="18"/>
      <c r="I318" s="18"/>
      <c r="J318" s="18"/>
      <c r="K318" s="18"/>
      <c r="L318" s="13">
        <f>SUM(F318:K318)</f>
        <v>868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44139.32</v>
      </c>
      <c r="G321" s="18">
        <v>12391.59</v>
      </c>
      <c r="H321" s="18">
        <v>13535.09</v>
      </c>
      <c r="I321" s="18">
        <v>472.33</v>
      </c>
      <c r="J321" s="18"/>
      <c r="K321" s="18">
        <v>409.2</v>
      </c>
      <c r="L321" s="13">
        <f t="shared" si="16"/>
        <v>70947.53</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v>2245</v>
      </c>
      <c r="J324" s="18"/>
      <c r="K324" s="18"/>
      <c r="L324" s="13">
        <f t="shared" si="16"/>
        <v>2245</v>
      </c>
      <c r="M324" s="8"/>
      <c r="N324" s="164"/>
    </row>
    <row r="325" spans="1:14" s="3" customFormat="1" ht="12.2" customHeight="1" x14ac:dyDescent="0.15">
      <c r="A325" s="1" t="s">
        <v>447</v>
      </c>
      <c r="B325" s="2" t="s">
        <v>359</v>
      </c>
      <c r="C325" s="2" t="s">
        <v>299</v>
      </c>
      <c r="D325" s="2" t="s">
        <v>431</v>
      </c>
      <c r="E325" s="6">
        <v>2600</v>
      </c>
      <c r="F325" s="18"/>
      <c r="G325" s="18"/>
      <c r="H325" s="18">
        <v>24940</v>
      </c>
      <c r="I325" s="18"/>
      <c r="J325" s="18"/>
      <c r="K325" s="18"/>
      <c r="L325" s="13">
        <f t="shared" si="16"/>
        <v>24940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v>5295.04</v>
      </c>
      <c r="L327" s="13">
        <f>SUM(F327:K327)</f>
        <v>5295.04</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289746.27</v>
      </c>
      <c r="G329" s="39">
        <f t="shared" si="17"/>
        <v>83053.06</v>
      </c>
      <c r="H329" s="39">
        <f t="shared" si="17"/>
        <v>56192.09</v>
      </c>
      <c r="I329" s="39">
        <f t="shared" si="17"/>
        <v>19721.730000000003</v>
      </c>
      <c r="J329" s="39">
        <f t="shared" si="17"/>
        <v>23994.75</v>
      </c>
      <c r="K329" s="39">
        <f t="shared" si="17"/>
        <v>5704.24</v>
      </c>
      <c r="L329" s="38">
        <f t="shared" si="17"/>
        <v>478412.14000000007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575880.32000000007</v>
      </c>
      <c r="G339" s="38">
        <f t="shared" si="20"/>
        <v>225079.14</v>
      </c>
      <c r="H339" s="38">
        <f t="shared" si="20"/>
        <v>212232.67</v>
      </c>
      <c r="I339" s="38">
        <f t="shared" si="20"/>
        <v>146900.18</v>
      </c>
      <c r="J339" s="38">
        <f t="shared" si="20"/>
        <v>772632.94</v>
      </c>
      <c r="K339" s="38">
        <f t="shared" si="20"/>
        <v>25662.75</v>
      </c>
      <c r="L339" s="38">
        <f t="shared" si="20"/>
        <v>1958388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575880.32000000007</v>
      </c>
      <c r="G353" s="38">
        <f>G339</f>
        <v>225079.14</v>
      </c>
      <c r="H353" s="38">
        <f>H339</f>
        <v>212232.67</v>
      </c>
      <c r="I353" s="38">
        <f>I339</f>
        <v>146900.18</v>
      </c>
      <c r="J353" s="38">
        <f>J339</f>
        <v>772632.94</v>
      </c>
      <c r="K353" s="38">
        <f>K339+K352</f>
        <v>25662.75</v>
      </c>
      <c r="L353" s="38">
        <f>L339+L352</f>
        <v>1958388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293246.53999999998</v>
      </c>
      <c r="I359" s="18">
        <v>16417.72</v>
      </c>
      <c r="J359" s="18"/>
      <c r="K359" s="18"/>
      <c r="L359" s="13">
        <f>SUM(F359:K359)</f>
        <v>309664.26</v>
      </c>
      <c r="M359" s="8"/>
      <c r="N359" s="164"/>
    </row>
    <row r="360" spans="1:22" s="3" customFormat="1" ht="12.2" customHeight="1" x14ac:dyDescent="0.15">
      <c r="A360" s="1" t="s">
        <v>542</v>
      </c>
      <c r="B360" s="2" t="s">
        <v>366</v>
      </c>
      <c r="C360" s="6">
        <v>2</v>
      </c>
      <c r="D360" s="2" t="s">
        <v>431</v>
      </c>
      <c r="E360" s="6"/>
      <c r="F360" s="18"/>
      <c r="G360" s="18"/>
      <c r="H360" s="18">
        <v>162076.70000000001</v>
      </c>
      <c r="I360" s="18">
        <v>8955.1200000000008</v>
      </c>
      <c r="J360" s="18">
        <v>840.3</v>
      </c>
      <c r="K360" s="18"/>
      <c r="L360" s="13">
        <f>SUM(F360:K360)</f>
        <v>171872.12</v>
      </c>
      <c r="M360" s="8"/>
      <c r="N360" s="164"/>
    </row>
    <row r="361" spans="1:22" s="3" customFormat="1" ht="12.2" customHeight="1" x14ac:dyDescent="0.15">
      <c r="A361" s="3" t="s">
        <v>543</v>
      </c>
      <c r="B361" s="2" t="s">
        <v>366</v>
      </c>
      <c r="C361" s="6">
        <v>3</v>
      </c>
      <c r="D361" s="2" t="s">
        <v>431</v>
      </c>
      <c r="E361" s="6"/>
      <c r="F361" s="18"/>
      <c r="G361" s="18"/>
      <c r="H361" s="18">
        <v>217584.8</v>
      </c>
      <c r="I361" s="18">
        <v>11940.16</v>
      </c>
      <c r="J361" s="18">
        <v>34752.19</v>
      </c>
      <c r="K361" s="18"/>
      <c r="L361" s="13">
        <f>SUM(F361:K361)</f>
        <v>264277.15000000002</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672908.04</v>
      </c>
      <c r="I363" s="38">
        <f t="shared" si="22"/>
        <v>37313</v>
      </c>
      <c r="J363" s="38">
        <f t="shared" si="22"/>
        <v>35592.490000000005</v>
      </c>
      <c r="K363" s="38">
        <f t="shared" si="22"/>
        <v>0</v>
      </c>
      <c r="L363" s="38">
        <f t="shared" si="22"/>
        <v>745813.53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I359</f>
        <v>16417.72</v>
      </c>
      <c r="G368" s="18">
        <f>I360</f>
        <v>8955.1200000000008</v>
      </c>
      <c r="H368" s="18">
        <f>I361</f>
        <v>11940.16</v>
      </c>
      <c r="I368" s="13">
        <f>SUM(F368:H368)</f>
        <v>37313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16417.72</v>
      </c>
      <c r="G370" s="38">
        <f>SUM(G368:G369)</f>
        <v>8955.1200000000008</v>
      </c>
      <c r="H370" s="38">
        <f>SUM(H368:H369)</f>
        <v>11940.16</v>
      </c>
      <c r="I370" s="38">
        <f>SUM(I368:I369)</f>
        <v>37313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35000</v>
      </c>
      <c r="H397" s="18"/>
      <c r="I397" s="18"/>
      <c r="J397" s="23" t="s">
        <v>288</v>
      </c>
      <c r="K397" s="23" t="s">
        <v>288</v>
      </c>
      <c r="L397" s="13">
        <f t="shared" si="26"/>
        <v>35000</v>
      </c>
      <c r="M397" s="8"/>
      <c r="N397" s="164"/>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f>159305.71-60000</f>
        <v>99305.709999999992</v>
      </c>
      <c r="J401" s="23" t="s">
        <v>288</v>
      </c>
      <c r="K401" s="23" t="s">
        <v>288</v>
      </c>
      <c r="L401" s="13">
        <f t="shared" si="26"/>
        <v>99305.709999999992</v>
      </c>
      <c r="M401" s="8"/>
      <c r="N401" s="164"/>
    </row>
    <row r="402" spans="1:21" s="3" customFormat="1" ht="12.2" customHeight="1" thickTop="1" x14ac:dyDescent="0.15">
      <c r="A402" s="115" t="s">
        <v>470</v>
      </c>
      <c r="B402" s="2" t="s">
        <v>381</v>
      </c>
      <c r="C402" s="6">
        <v>14</v>
      </c>
      <c r="D402" s="2" t="s">
        <v>432</v>
      </c>
      <c r="E402" s="37">
        <v>5252</v>
      </c>
      <c r="F402" s="38">
        <f>SUM(F396:F401)</f>
        <v>0</v>
      </c>
      <c r="G402" s="38">
        <f>SUM(G396:G401)</f>
        <v>60000</v>
      </c>
      <c r="H402" s="38">
        <f>SUM(H396:H401)</f>
        <v>0</v>
      </c>
      <c r="I402" s="38">
        <f>SUM(I396:I401)</f>
        <v>99305.709999999992</v>
      </c>
      <c r="J402" s="42" t="s">
        <v>288</v>
      </c>
      <c r="K402" s="42" t="s">
        <v>288</v>
      </c>
      <c r="L402" s="38">
        <f>SUM(L396:L401)</f>
        <v>159305.71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60000</v>
      </c>
      <c r="H409" s="38">
        <f>H394+H402+H408</f>
        <v>0</v>
      </c>
      <c r="I409" s="38">
        <f>I394+I402+I408</f>
        <v>99305.709999999992</v>
      </c>
      <c r="J409" s="23" t="s">
        <v>288</v>
      </c>
      <c r="K409" s="23" t="s">
        <v>288</v>
      </c>
      <c r="L409" s="38">
        <f>L394+L402+L408</f>
        <v>159305.71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v>200000</v>
      </c>
      <c r="L423" s="13">
        <f t="shared" si="29"/>
        <v>200000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29684.959999999999</v>
      </c>
      <c r="L427" s="13">
        <f t="shared" si="29"/>
        <v>29684.959999999999</v>
      </c>
      <c r="M427" s="8"/>
      <c r="N427" s="164"/>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229684.96</v>
      </c>
      <c r="L428" s="38">
        <f t="shared" si="30"/>
        <v>229684.96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229684.96</v>
      </c>
      <c r="L435" s="38">
        <f t="shared" si="32"/>
        <v>229684.96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2233497.81</v>
      </c>
      <c r="G441" s="18"/>
      <c r="H441" s="18"/>
      <c r="I441" s="13">
        <f t="shared" si="33"/>
        <v>2233497.81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2</v>
      </c>
      <c r="G442" s="18"/>
      <c r="H442" s="18"/>
      <c r="I442" s="13">
        <f t="shared" si="33"/>
        <v>2</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2233499.81</v>
      </c>
      <c r="G447" s="13">
        <f>SUM(G440:G446)</f>
        <v>0</v>
      </c>
      <c r="H447" s="13">
        <f>SUM(H440:H446)</f>
        <v>0</v>
      </c>
      <c r="I447" s="13">
        <f>SUM(I440:I446)</f>
        <v>2233499.81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2303879.06-70379.25</f>
        <v>2233499.81</v>
      </c>
      <c r="G460" s="18"/>
      <c r="H460" s="18"/>
      <c r="I460" s="13">
        <f t="shared" si="34"/>
        <v>2233499.81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2233499.81</v>
      </c>
      <c r="G461" s="65">
        <f>SUM(G455:G460)</f>
        <v>0</v>
      </c>
      <c r="H461" s="65">
        <f>SUM(H455:H460)</f>
        <v>0</v>
      </c>
      <c r="I461" s="65">
        <f>SUM(I455:I460)</f>
        <v>2233499.81</v>
      </c>
      <c r="J461" s="23" t="s">
        <v>288</v>
      </c>
      <c r="K461" s="23" t="s">
        <v>288</v>
      </c>
      <c r="L461" s="23" t="s">
        <v>288</v>
      </c>
      <c r="N461" s="130"/>
    </row>
    <row r="462" spans="1:86" ht="12.2" customHeight="1" thickTop="1" x14ac:dyDescent="0.2">
      <c r="A462" s="40" t="s">
        <v>424</v>
      </c>
      <c r="B462" s="41">
        <v>18</v>
      </c>
      <c r="C462" s="64">
        <v>21</v>
      </c>
      <c r="D462" s="113" t="s">
        <v>432</v>
      </c>
      <c r="E462" s="64"/>
      <c r="F462" s="39">
        <f>F453+F461</f>
        <v>2233499.81</v>
      </c>
      <c r="G462" s="39">
        <f>G453+G461</f>
        <v>0</v>
      </c>
      <c r="H462" s="39">
        <f>H453+H461</f>
        <v>0</v>
      </c>
      <c r="I462" s="39">
        <f>I453+I461</f>
        <v>2233499.81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1792</v>
      </c>
      <c r="B466" s="22">
        <v>19</v>
      </c>
      <c r="C466" s="31">
        <v>1</v>
      </c>
      <c r="D466" s="2" t="s">
        <v>432</v>
      </c>
      <c r="E466" s="31"/>
      <c r="F466" s="18">
        <f>F51-F469+F473</f>
        <v>4648464.900000006</v>
      </c>
      <c r="G466" s="18">
        <f t="shared" ref="G466:J466" si="35">G51-G469+G473</f>
        <v>83191.38</v>
      </c>
      <c r="H466" s="18">
        <f t="shared" si="35"/>
        <v>56248.320000000065</v>
      </c>
      <c r="I466" s="18">
        <f t="shared" si="35"/>
        <v>114804.52</v>
      </c>
      <c r="J466" s="18">
        <f t="shared" si="35"/>
        <v>2303879.06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44259944.959999993</v>
      </c>
      <c r="G469" s="18">
        <f t="shared" ref="G469:J469" si="36">G194</f>
        <v>701475.58000000007</v>
      </c>
      <c r="H469" s="18">
        <f t="shared" si="36"/>
        <v>1958388</v>
      </c>
      <c r="I469" s="18">
        <f t="shared" si="36"/>
        <v>6296.98</v>
      </c>
      <c r="J469" s="18">
        <f t="shared" si="36"/>
        <v>159305.71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44259944.959999993</v>
      </c>
      <c r="G471" s="19">
        <f>SUM(G469:G470)</f>
        <v>701475.58000000007</v>
      </c>
      <c r="H471" s="19">
        <f>SUM(H469:H470)</f>
        <v>1958388</v>
      </c>
      <c r="I471" s="19">
        <f>SUM(I469:I470)</f>
        <v>6296.98</v>
      </c>
      <c r="J471" s="19">
        <f>SUM(J469:J470)</f>
        <v>159305.71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44112896.850000001</v>
      </c>
      <c r="G473" s="18">
        <f>L363</f>
        <v>745813.53</v>
      </c>
      <c r="H473" s="18">
        <f>L353</f>
        <v>1958388</v>
      </c>
      <c r="I473" s="18">
        <f>L383</f>
        <v>0</v>
      </c>
      <c r="J473" s="18">
        <f>L435</f>
        <v>229684.96</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44112896.850000001</v>
      </c>
      <c r="G475" s="19">
        <f>SUM(G473:G474)</f>
        <v>745813.53</v>
      </c>
      <c r="H475" s="19">
        <f>SUM(H473:H474)</f>
        <v>1958388</v>
      </c>
      <c r="I475" s="19">
        <f>SUM(I473:I474)</f>
        <v>0</v>
      </c>
      <c r="J475" s="19">
        <f>SUM(J473:J474)</f>
        <v>229684.96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1793</v>
      </c>
      <c r="B477" s="22">
        <v>19</v>
      </c>
      <c r="C477" s="22">
        <v>8</v>
      </c>
      <c r="D477" s="2" t="s">
        <v>432</v>
      </c>
      <c r="E477" s="22"/>
      <c r="F477" s="19">
        <f>(F466+F471)- F475</f>
        <v>4795513.0099999979</v>
      </c>
      <c r="G477" s="19">
        <f>(G466+G471)- G475</f>
        <v>38853.430000000051</v>
      </c>
      <c r="H477" s="19">
        <f>(H466+H471)- H475</f>
        <v>56248.320000000065</v>
      </c>
      <c r="I477" s="19">
        <f>(I466+I471)- I475</f>
        <v>121101.5</v>
      </c>
      <c r="J477" s="19">
        <f>(J466+J471)- J475</f>
        <v>2233499.81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313">
        <v>20</v>
      </c>
      <c r="G491" s="313">
        <v>15</v>
      </c>
      <c r="H491" s="111"/>
      <c r="I491" s="111"/>
      <c r="J491" s="111"/>
      <c r="K491" s="23" t="s">
        <v>288</v>
      </c>
      <c r="L491" s="23" t="s">
        <v>288</v>
      </c>
      <c r="N491" s="130"/>
    </row>
    <row r="492" spans="1:14" ht="12.2" customHeight="1" x14ac:dyDescent="0.2">
      <c r="A492" s="21" t="s">
        <v>615</v>
      </c>
      <c r="B492" s="22">
        <v>20</v>
      </c>
      <c r="C492" s="22">
        <v>2</v>
      </c>
      <c r="D492" s="2" t="s">
        <v>432</v>
      </c>
      <c r="E492" s="22"/>
      <c r="F492" s="314" t="s">
        <v>1812</v>
      </c>
      <c r="G492" s="315" t="s">
        <v>1813</v>
      </c>
      <c r="H492" s="111"/>
      <c r="I492" s="111"/>
      <c r="J492" s="111"/>
      <c r="K492" s="23" t="s">
        <v>288</v>
      </c>
      <c r="L492" s="23" t="s">
        <v>288</v>
      </c>
      <c r="N492" s="130"/>
    </row>
    <row r="493" spans="1:14" ht="12.2" customHeight="1" x14ac:dyDescent="0.2">
      <c r="A493" s="21" t="s">
        <v>616</v>
      </c>
      <c r="B493" s="22">
        <v>20</v>
      </c>
      <c r="C493" s="22">
        <v>3</v>
      </c>
      <c r="D493" s="2" t="s">
        <v>432</v>
      </c>
      <c r="E493" s="22"/>
      <c r="F493" s="314" t="s">
        <v>1814</v>
      </c>
      <c r="G493" s="316" t="s">
        <v>1815</v>
      </c>
      <c r="H493" s="111"/>
      <c r="I493" s="111"/>
      <c r="J493" s="111"/>
      <c r="K493" s="23" t="s">
        <v>288</v>
      </c>
      <c r="L493" s="23" t="s">
        <v>288</v>
      </c>
      <c r="N493" s="130"/>
    </row>
    <row r="494" spans="1:14" ht="12.2" customHeight="1" x14ac:dyDescent="0.2">
      <c r="A494" s="21" t="s">
        <v>617</v>
      </c>
      <c r="B494" s="22">
        <v>20</v>
      </c>
      <c r="C494" s="22">
        <v>4</v>
      </c>
      <c r="D494" s="2" t="s">
        <v>432</v>
      </c>
      <c r="E494" s="22"/>
      <c r="F494" s="317">
        <v>24450150</v>
      </c>
      <c r="G494" s="317">
        <v>2231283</v>
      </c>
      <c r="H494" s="18"/>
      <c r="I494" s="18"/>
      <c r="J494" s="18"/>
      <c r="K494" s="23" t="s">
        <v>288</v>
      </c>
      <c r="L494" s="23" t="s">
        <v>288</v>
      </c>
      <c r="N494" s="130"/>
    </row>
    <row r="495" spans="1:14" ht="12.2" customHeight="1" x14ac:dyDescent="0.2">
      <c r="A495" s="21" t="s">
        <v>618</v>
      </c>
      <c r="B495" s="22">
        <v>20</v>
      </c>
      <c r="C495" s="22">
        <v>5</v>
      </c>
      <c r="D495" s="2" t="s">
        <v>432</v>
      </c>
      <c r="E495" s="22"/>
      <c r="F495" s="317">
        <v>4.6100000000000003</v>
      </c>
      <c r="G495" s="317">
        <v>4.375</v>
      </c>
      <c r="H495" s="18"/>
      <c r="I495" s="18"/>
      <c r="J495" s="18"/>
      <c r="K495" s="23" t="s">
        <v>288</v>
      </c>
      <c r="L495" s="23" t="s">
        <v>288</v>
      </c>
      <c r="N495" s="130"/>
    </row>
    <row r="496" spans="1:14" ht="12.2" customHeight="1" x14ac:dyDescent="0.2">
      <c r="A496" s="21" t="s">
        <v>619</v>
      </c>
      <c r="B496" s="22">
        <v>20</v>
      </c>
      <c r="C496" s="22">
        <v>6</v>
      </c>
      <c r="D496" s="2" t="s">
        <v>432</v>
      </c>
      <c r="E496" s="22"/>
      <c r="F496" s="18">
        <v>4061192.5799999996</v>
      </c>
      <c r="G496" s="18">
        <v>595008.80000000028</v>
      </c>
      <c r="H496" s="18"/>
      <c r="I496" s="18"/>
      <c r="J496" s="18"/>
      <c r="K496" s="19">
        <f>SUM(F496:J496)</f>
        <v>4656201.38</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7">SUM(F497:J497)</f>
        <v>0</v>
      </c>
      <c r="L497" s="23" t="s">
        <v>288</v>
      </c>
      <c r="N497" s="130"/>
    </row>
    <row r="498" spans="1:14" ht="12.2" customHeight="1" x14ac:dyDescent="0.2">
      <c r="A498" s="21" t="s">
        <v>621</v>
      </c>
      <c r="B498" s="22">
        <v>20</v>
      </c>
      <c r="C498" s="22">
        <v>8</v>
      </c>
      <c r="D498" s="2" t="s">
        <v>432</v>
      </c>
      <c r="E498" s="22"/>
      <c r="F498" s="18">
        <v>888967.35</v>
      </c>
      <c r="G498" s="18">
        <v>148752.20000000001</v>
      </c>
      <c r="H498" s="18"/>
      <c r="I498" s="18"/>
      <c r="J498" s="18"/>
      <c r="K498" s="19">
        <f t="shared" si="37"/>
        <v>1037719.55</v>
      </c>
      <c r="L498" s="23" t="s">
        <v>288</v>
      </c>
      <c r="N498" s="130"/>
    </row>
    <row r="499" spans="1:14" ht="12.2" customHeight="1" x14ac:dyDescent="0.2">
      <c r="A499" s="143" t="s">
        <v>622</v>
      </c>
      <c r="B499" s="144">
        <v>20</v>
      </c>
      <c r="C499" s="144">
        <v>9</v>
      </c>
      <c r="D499" s="145" t="s">
        <v>432</v>
      </c>
      <c r="E499" s="144"/>
      <c r="F499" s="318">
        <f>F496-F498</f>
        <v>3172225.2299999995</v>
      </c>
      <c r="G499" s="318">
        <f>G496-G498</f>
        <v>446256.60000000027</v>
      </c>
      <c r="H499" s="146"/>
      <c r="I499" s="146"/>
      <c r="J499" s="146"/>
      <c r="K499" s="147">
        <f t="shared" si="37"/>
        <v>3618481.8299999996</v>
      </c>
      <c r="L499" s="148" t="s">
        <v>288</v>
      </c>
      <c r="N499" s="130"/>
    </row>
    <row r="500" spans="1:14" ht="12.2" customHeight="1" thickBot="1" x14ac:dyDescent="0.25">
      <c r="A500" s="21" t="s">
        <v>623</v>
      </c>
      <c r="B500" s="22">
        <v>20</v>
      </c>
      <c r="C500" s="22">
        <v>10</v>
      </c>
      <c r="D500" s="2" t="s">
        <v>432</v>
      </c>
      <c r="E500" s="22"/>
      <c r="F500" s="18">
        <v>4057892.9</v>
      </c>
      <c r="G500" s="18">
        <v>29241.02</v>
      </c>
      <c r="H500" s="18"/>
      <c r="I500" s="18"/>
      <c r="J500" s="18"/>
      <c r="K500" s="19">
        <f t="shared" si="37"/>
        <v>4087133.92</v>
      </c>
      <c r="L500" s="23" t="s">
        <v>288</v>
      </c>
      <c r="N500" s="130"/>
    </row>
    <row r="501" spans="1:14" ht="12.2" customHeight="1" thickTop="1" x14ac:dyDescent="0.2">
      <c r="A501" s="97" t="s">
        <v>624</v>
      </c>
      <c r="B501" s="41">
        <v>20</v>
      </c>
      <c r="C501" s="41">
        <v>11</v>
      </c>
      <c r="D501" s="36" t="s">
        <v>432</v>
      </c>
      <c r="E501" s="41"/>
      <c r="F501" s="39">
        <f>SUM(F499:F500)</f>
        <v>7230118.129999999</v>
      </c>
      <c r="G501" s="39">
        <f>SUM(G499:G500)</f>
        <v>475497.62000000029</v>
      </c>
      <c r="H501" s="39">
        <f>SUM(H499:H500)</f>
        <v>0</v>
      </c>
      <c r="I501" s="39">
        <f>SUM(I499:I500)</f>
        <v>0</v>
      </c>
      <c r="J501" s="39">
        <f>SUM(J499:J500)</f>
        <v>0</v>
      </c>
      <c r="K501" s="39">
        <f t="shared" si="37"/>
        <v>7705615.7499999991</v>
      </c>
      <c r="L501" s="42" t="s">
        <v>288</v>
      </c>
      <c r="N501" s="130"/>
    </row>
    <row r="502" spans="1:14" ht="12.2" customHeight="1" x14ac:dyDescent="0.2">
      <c r="A502" s="143" t="s">
        <v>651</v>
      </c>
      <c r="B502" s="144">
        <v>20</v>
      </c>
      <c r="C502" s="144">
        <v>12</v>
      </c>
      <c r="D502" s="145" t="s">
        <v>432</v>
      </c>
      <c r="E502" s="144"/>
      <c r="F502" s="146">
        <v>849360.15</v>
      </c>
      <c r="G502" s="146">
        <v>148752.20000000001</v>
      </c>
      <c r="H502" s="146"/>
      <c r="I502" s="146"/>
      <c r="J502" s="146"/>
      <c r="K502" s="147">
        <f t="shared" si="37"/>
        <v>998112.35000000009</v>
      </c>
      <c r="L502" s="148" t="s">
        <v>288</v>
      </c>
      <c r="N502" s="130"/>
    </row>
    <row r="503" spans="1:14" ht="12.2" customHeight="1" thickBot="1" x14ac:dyDescent="0.25">
      <c r="A503" s="21" t="s">
        <v>625</v>
      </c>
      <c r="B503" s="22">
        <v>20</v>
      </c>
      <c r="C503" s="22">
        <v>13</v>
      </c>
      <c r="D503" s="2" t="s">
        <v>432</v>
      </c>
      <c r="E503" s="22"/>
      <c r="F503" s="18">
        <v>918190.48</v>
      </c>
      <c r="G503" s="18">
        <v>16243.03</v>
      </c>
      <c r="H503" s="18"/>
      <c r="I503" s="18"/>
      <c r="J503" s="18"/>
      <c r="K503" s="19">
        <f t="shared" si="37"/>
        <v>934433.51</v>
      </c>
      <c r="L503" s="23" t="s">
        <v>288</v>
      </c>
      <c r="N503" s="130"/>
    </row>
    <row r="504" spans="1:14" ht="12.2" customHeight="1" thickTop="1" x14ac:dyDescent="0.2">
      <c r="A504" s="97" t="s">
        <v>626</v>
      </c>
      <c r="B504" s="41">
        <v>20</v>
      </c>
      <c r="C504" s="41">
        <v>14</v>
      </c>
      <c r="D504" s="36" t="s">
        <v>432</v>
      </c>
      <c r="E504" s="41"/>
      <c r="F504" s="39">
        <f>SUM(F502:F503)</f>
        <v>1767550.63</v>
      </c>
      <c r="G504" s="39">
        <f>SUM(G502:G503)</f>
        <v>164995.23000000001</v>
      </c>
      <c r="H504" s="39">
        <f>SUM(H502:H503)</f>
        <v>0</v>
      </c>
      <c r="I504" s="39">
        <f>SUM(I502:I503)</f>
        <v>0</v>
      </c>
      <c r="J504" s="39">
        <f>SUM(J502:J503)</f>
        <v>0</v>
      </c>
      <c r="K504" s="39">
        <f t="shared" si="37"/>
        <v>1932545.8599999999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1795</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317">
        <f>F199-F568</f>
        <v>2357441.12</v>
      </c>
      <c r="G522" s="317">
        <f t="shared" ref="G522:K522" si="38">G199-G568</f>
        <v>1158596.9000000001</v>
      </c>
      <c r="H522" s="317">
        <f t="shared" si="38"/>
        <v>290026</v>
      </c>
      <c r="I522" s="317">
        <f>I199-I568+11814.87</f>
        <v>49634.240000000005</v>
      </c>
      <c r="J522" s="317">
        <f>J199-J568+40691.86</f>
        <v>47365.58</v>
      </c>
      <c r="K522" s="317">
        <f t="shared" si="38"/>
        <v>0</v>
      </c>
      <c r="L522" s="69">
        <f>SUM(F522:K522)</f>
        <v>3903063.8400000008</v>
      </c>
      <c r="N522" s="130"/>
    </row>
    <row r="523" spans="1:14" ht="12.2" customHeight="1" x14ac:dyDescent="0.2">
      <c r="A523" s="21" t="s">
        <v>634</v>
      </c>
      <c r="B523" s="22">
        <v>21</v>
      </c>
      <c r="C523" s="22">
        <v>2</v>
      </c>
      <c r="D523" s="2" t="s">
        <v>432</v>
      </c>
      <c r="E523" s="22"/>
      <c r="F523" s="317">
        <f>F217-F569</f>
        <v>1071253.46</v>
      </c>
      <c r="G523" s="317">
        <f t="shared" ref="G523:K523" si="39">G217-G569</f>
        <v>498988.5</v>
      </c>
      <c r="H523" s="317">
        <f t="shared" si="39"/>
        <v>350388.16</v>
      </c>
      <c r="I523" s="317">
        <f>I217-I569+5530.37</f>
        <v>23337.68</v>
      </c>
      <c r="J523" s="317">
        <f>J217-J569+17366.33</f>
        <v>17366.330000000002</v>
      </c>
      <c r="K523" s="317">
        <f t="shared" si="39"/>
        <v>6538.5</v>
      </c>
      <c r="L523" s="69">
        <f>SUM(F523:K523)</f>
        <v>1967872.63</v>
      </c>
      <c r="N523" s="130"/>
    </row>
    <row r="524" spans="1:14" ht="12.2" customHeight="1" thickBot="1" x14ac:dyDescent="0.25">
      <c r="A524" s="21" t="s">
        <v>635</v>
      </c>
      <c r="B524" s="22">
        <v>21</v>
      </c>
      <c r="C524" s="22">
        <v>3</v>
      </c>
      <c r="D524" s="2" t="s">
        <v>432</v>
      </c>
      <c r="E524" s="22"/>
      <c r="F524" s="317">
        <f>F235-F570+244738.95</f>
        <v>928259.02</v>
      </c>
      <c r="G524" s="317">
        <f>G235-G570+70661.47</f>
        <v>467092.56999999995</v>
      </c>
      <c r="H524" s="317">
        <f>H235-H570+2273</f>
        <v>344370.57</v>
      </c>
      <c r="I524" s="317">
        <f>I235-I570+17004.4</f>
        <v>43327.48</v>
      </c>
      <c r="J524" s="317">
        <f>J235-J570+23994.75</f>
        <v>27361.03</v>
      </c>
      <c r="K524" s="317">
        <f t="shared" ref="K524" si="40">K235-K570</f>
        <v>0</v>
      </c>
      <c r="L524" s="69">
        <f>SUM(F524:K524)</f>
        <v>1810410.67</v>
      </c>
      <c r="N524" s="130"/>
    </row>
    <row r="525" spans="1:14" ht="12.2" customHeight="1" thickTop="1" x14ac:dyDescent="0.2">
      <c r="A525" s="97" t="s">
        <v>63</v>
      </c>
      <c r="B525" s="41">
        <v>21</v>
      </c>
      <c r="C525" s="41">
        <v>4</v>
      </c>
      <c r="D525" s="114" t="s">
        <v>432</v>
      </c>
      <c r="E525" s="41"/>
      <c r="F525" s="81">
        <f>SUM(F522:F524)</f>
        <v>4356953.5999999996</v>
      </c>
      <c r="G525" s="81">
        <f t="shared" ref="G525:L525" si="41">SUM(G522:G524)</f>
        <v>2124677.9700000002</v>
      </c>
      <c r="H525" s="81">
        <f t="shared" si="41"/>
        <v>984784.73</v>
      </c>
      <c r="I525" s="81">
        <f t="shared" si="41"/>
        <v>116299.40000000002</v>
      </c>
      <c r="J525" s="81">
        <f t="shared" si="41"/>
        <v>92092.94</v>
      </c>
      <c r="K525" s="81">
        <f t="shared" si="41"/>
        <v>6538.5</v>
      </c>
      <c r="L525" s="70">
        <f t="shared" si="41"/>
        <v>7681347.1400000006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12447.56</f>
        <v>12447.56</v>
      </c>
      <c r="I527" s="18">
        <f>305.38</f>
        <v>305.38</v>
      </c>
      <c r="J527" s="18"/>
      <c r="K527" s="18">
        <f>5984.47</f>
        <v>5984.47</v>
      </c>
      <c r="L527" s="69">
        <f>SUM(F527:K527)</f>
        <v>18737.41</v>
      </c>
      <c r="M527" s="8"/>
      <c r="N527" s="164"/>
    </row>
    <row r="528" spans="1:14" s="3" customFormat="1" ht="12.2" customHeight="1" x14ac:dyDescent="0.15">
      <c r="A528" s="21" t="s">
        <v>634</v>
      </c>
      <c r="B528" s="22">
        <v>21</v>
      </c>
      <c r="C528" s="22">
        <v>6</v>
      </c>
      <c r="D528" s="2" t="s">
        <v>432</v>
      </c>
      <c r="E528" s="22"/>
      <c r="F528" s="18"/>
      <c r="G528" s="18"/>
      <c r="H528" s="18">
        <f>5826.52</f>
        <v>5826.52</v>
      </c>
      <c r="I528" s="18">
        <f>142.95</f>
        <v>142.94999999999999</v>
      </c>
      <c r="J528" s="18"/>
      <c r="K528" s="18">
        <v>3177.12</v>
      </c>
      <c r="L528" s="69">
        <f>SUM(F528:K528)</f>
        <v>9146.59</v>
      </c>
      <c r="M528" s="8"/>
      <c r="N528" s="164"/>
    </row>
    <row r="529" spans="1:14" s="3" customFormat="1" ht="12.2" customHeight="1" thickBot="1" x14ac:dyDescent="0.2">
      <c r="A529" s="21" t="s">
        <v>635</v>
      </c>
      <c r="B529" s="22">
        <v>21</v>
      </c>
      <c r="C529" s="22">
        <v>7</v>
      </c>
      <c r="D529" s="2" t="s">
        <v>432</v>
      </c>
      <c r="E529" s="22"/>
      <c r="F529" s="18"/>
      <c r="G529" s="18"/>
      <c r="H529" s="18">
        <f>8210.09</f>
        <v>8210.09</v>
      </c>
      <c r="I529" s="18">
        <f>201.42</f>
        <v>201.42</v>
      </c>
      <c r="J529" s="18"/>
      <c r="K529" s="18">
        <v>4236.16</v>
      </c>
      <c r="L529" s="69">
        <f>SUM(F529:K529)</f>
        <v>12647.67</v>
      </c>
      <c r="M529" s="8"/>
      <c r="N529" s="164"/>
    </row>
    <row r="530" spans="1:14" s="3" customFormat="1" ht="12.2" customHeight="1" thickTop="1" x14ac:dyDescent="0.15">
      <c r="A530" s="97" t="s">
        <v>65</v>
      </c>
      <c r="B530" s="41">
        <v>21</v>
      </c>
      <c r="C530" s="41">
        <v>8</v>
      </c>
      <c r="D530" s="114" t="s">
        <v>432</v>
      </c>
      <c r="E530" s="41"/>
      <c r="F530" s="70">
        <f>SUM(F527:F529)</f>
        <v>0</v>
      </c>
      <c r="G530" s="70">
        <f t="shared" ref="G530:L530" si="42">SUM(G527:G529)</f>
        <v>0</v>
      </c>
      <c r="H530" s="70">
        <f t="shared" si="42"/>
        <v>26484.170000000002</v>
      </c>
      <c r="I530" s="70">
        <f t="shared" si="42"/>
        <v>649.75</v>
      </c>
      <c r="J530" s="70">
        <f t="shared" si="42"/>
        <v>0</v>
      </c>
      <c r="K530" s="70">
        <f t="shared" si="42"/>
        <v>13397.75</v>
      </c>
      <c r="L530" s="70">
        <f t="shared" si="42"/>
        <v>40531.67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250798.99</v>
      </c>
      <c r="G532" s="18">
        <v>121855.67</v>
      </c>
      <c r="H532" s="18"/>
      <c r="I532" s="18"/>
      <c r="J532" s="18"/>
      <c r="K532" s="18"/>
      <c r="L532" s="69">
        <f>SUM(F532:K532)</f>
        <v>372654.66</v>
      </c>
      <c r="M532" s="8"/>
      <c r="N532" s="164"/>
    </row>
    <row r="533" spans="1:14" s="3" customFormat="1" ht="12.2" customHeight="1" x14ac:dyDescent="0.15">
      <c r="A533" s="21" t="s">
        <v>634</v>
      </c>
      <c r="B533" s="22">
        <v>21</v>
      </c>
      <c r="C533" s="22">
        <v>10</v>
      </c>
      <c r="D533" s="2" t="s">
        <v>432</v>
      </c>
      <c r="E533" s="22"/>
      <c r="F533" s="18">
        <v>109241.97</v>
      </c>
      <c r="G533" s="18">
        <v>53899.37</v>
      </c>
      <c r="H533" s="18"/>
      <c r="I533" s="18"/>
      <c r="J533" s="18"/>
      <c r="K533" s="18"/>
      <c r="L533" s="69">
        <f>SUM(F533:K533)</f>
        <v>163141.34</v>
      </c>
      <c r="M533" s="8"/>
      <c r="N533" s="164"/>
    </row>
    <row r="534" spans="1:14" s="3" customFormat="1" ht="12.2" customHeight="1" thickBot="1" x14ac:dyDescent="0.2">
      <c r="A534" s="21" t="s">
        <v>635</v>
      </c>
      <c r="B534" s="22">
        <v>21</v>
      </c>
      <c r="C534" s="22">
        <v>11</v>
      </c>
      <c r="D534" s="2" t="s">
        <v>432</v>
      </c>
      <c r="E534" s="22"/>
      <c r="F534" s="18">
        <v>143159.07999999999</v>
      </c>
      <c r="G534" s="18">
        <v>66281.56</v>
      </c>
      <c r="H534" s="18"/>
      <c r="I534" s="18"/>
      <c r="J534" s="18"/>
      <c r="K534" s="18"/>
      <c r="L534" s="69">
        <f>SUM(F534:K534)</f>
        <v>209440.63999999998</v>
      </c>
      <c r="M534" s="8"/>
      <c r="N534" s="164"/>
    </row>
    <row r="535" spans="1:14" s="3" customFormat="1" ht="12.2" customHeight="1" thickTop="1" x14ac:dyDescent="0.15">
      <c r="A535" s="97" t="s">
        <v>67</v>
      </c>
      <c r="B535" s="41">
        <v>21</v>
      </c>
      <c r="C535" s="41">
        <v>12</v>
      </c>
      <c r="D535" s="114" t="s">
        <v>432</v>
      </c>
      <c r="E535" s="41"/>
      <c r="F535" s="70">
        <f>SUM(F532:F534)</f>
        <v>503200.03999999992</v>
      </c>
      <c r="G535" s="70">
        <f t="shared" ref="G535:L535" si="43">SUM(G532:G534)</f>
        <v>242036.6</v>
      </c>
      <c r="H535" s="70">
        <f t="shared" si="43"/>
        <v>0</v>
      </c>
      <c r="I535" s="70">
        <f t="shared" si="43"/>
        <v>0</v>
      </c>
      <c r="J535" s="70">
        <f t="shared" si="43"/>
        <v>0</v>
      </c>
      <c r="K535" s="70">
        <f t="shared" si="43"/>
        <v>0</v>
      </c>
      <c r="L535" s="70">
        <f t="shared" si="43"/>
        <v>745236.64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5417.7640000000001</v>
      </c>
      <c r="I537" s="18"/>
      <c r="J537" s="18"/>
      <c r="K537" s="18"/>
      <c r="L537" s="69">
        <f>SUM(F537:K537)</f>
        <v>5417.7640000000001</v>
      </c>
      <c r="M537" s="8"/>
      <c r="N537" s="164"/>
    </row>
    <row r="538" spans="1:14" s="3" customFormat="1" ht="12.2" customHeight="1" x14ac:dyDescent="0.15">
      <c r="A538" s="21" t="s">
        <v>634</v>
      </c>
      <c r="B538" s="22">
        <v>21</v>
      </c>
      <c r="C538" s="22">
        <v>14</v>
      </c>
      <c r="D538" s="2" t="s">
        <v>432</v>
      </c>
      <c r="E538" s="22"/>
      <c r="F538" s="18"/>
      <c r="G538" s="18"/>
      <c r="H538" s="18">
        <v>2955.1439999999998</v>
      </c>
      <c r="I538" s="18"/>
      <c r="J538" s="18"/>
      <c r="K538" s="18"/>
      <c r="L538" s="69">
        <f>SUM(F538:K538)</f>
        <v>2955.1439999999998</v>
      </c>
      <c r="M538" s="8"/>
      <c r="N538" s="164"/>
    </row>
    <row r="539" spans="1:14" s="3" customFormat="1" ht="12.2" customHeight="1" thickBot="1" x14ac:dyDescent="0.2">
      <c r="A539" s="21" t="s">
        <v>635</v>
      </c>
      <c r="B539" s="22">
        <v>21</v>
      </c>
      <c r="C539" s="22">
        <v>15</v>
      </c>
      <c r="D539" s="2" t="s">
        <v>432</v>
      </c>
      <c r="E539" s="22"/>
      <c r="F539" s="18"/>
      <c r="G539" s="18"/>
      <c r="H539" s="18">
        <v>3940.1920000000005</v>
      </c>
      <c r="I539" s="18"/>
      <c r="J539" s="18"/>
      <c r="K539" s="18"/>
      <c r="L539" s="69">
        <f>SUM(F539:K539)</f>
        <v>3940.1920000000005</v>
      </c>
      <c r="M539" s="8"/>
      <c r="N539" s="164"/>
    </row>
    <row r="540" spans="1:14" s="3" customFormat="1" ht="12.2" customHeight="1" thickTop="1" x14ac:dyDescent="0.15">
      <c r="A540" s="97" t="s">
        <v>69</v>
      </c>
      <c r="B540" s="41">
        <v>21</v>
      </c>
      <c r="C540" s="41">
        <v>16</v>
      </c>
      <c r="D540" s="114" t="s">
        <v>432</v>
      </c>
      <c r="E540" s="41"/>
      <c r="F540" s="70">
        <f>SUM(F537:F539)</f>
        <v>0</v>
      </c>
      <c r="G540" s="70">
        <f t="shared" ref="G540:L540" si="44">SUM(G537:G539)</f>
        <v>0</v>
      </c>
      <c r="H540" s="70">
        <f t="shared" si="44"/>
        <v>12313.1</v>
      </c>
      <c r="I540" s="70">
        <f t="shared" si="44"/>
        <v>0</v>
      </c>
      <c r="J540" s="70">
        <f t="shared" si="44"/>
        <v>0</v>
      </c>
      <c r="K540" s="70">
        <f t="shared" si="44"/>
        <v>0</v>
      </c>
      <c r="L540" s="70">
        <f t="shared" si="44"/>
        <v>12313.1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H593</f>
        <v>63396.39</v>
      </c>
      <c r="I542" s="18"/>
      <c r="J542" s="18"/>
      <c r="K542" s="18"/>
      <c r="L542" s="69">
        <f>SUM(F542:K542)</f>
        <v>63396.39</v>
      </c>
      <c r="M542" s="8"/>
      <c r="N542" s="164"/>
    </row>
    <row r="543" spans="1:14" s="3" customFormat="1" ht="12.2" customHeight="1" x14ac:dyDescent="0.15">
      <c r="A543" s="21" t="s">
        <v>634</v>
      </c>
      <c r="B543" s="22">
        <v>21</v>
      </c>
      <c r="C543" s="22">
        <v>18</v>
      </c>
      <c r="D543" s="2" t="s">
        <v>432</v>
      </c>
      <c r="E543" s="22"/>
      <c r="F543" s="18"/>
      <c r="G543" s="18"/>
      <c r="H543" s="18">
        <f>I593</f>
        <v>34579.85</v>
      </c>
      <c r="I543" s="18"/>
      <c r="J543" s="18"/>
      <c r="K543" s="18"/>
      <c r="L543" s="69">
        <f>SUM(F543:K543)</f>
        <v>34579.85</v>
      </c>
      <c r="M543" s="8"/>
      <c r="N543" s="164"/>
    </row>
    <row r="544" spans="1:14" s="3" customFormat="1" ht="12.2" customHeight="1" thickBot="1" x14ac:dyDescent="0.2">
      <c r="A544" s="21" t="s">
        <v>635</v>
      </c>
      <c r="B544" s="22">
        <v>21</v>
      </c>
      <c r="C544" s="22">
        <v>19</v>
      </c>
      <c r="D544" s="2" t="s">
        <v>432</v>
      </c>
      <c r="E544" s="22"/>
      <c r="F544" s="18"/>
      <c r="G544" s="18"/>
      <c r="H544" s="18">
        <f>J593</f>
        <v>46106.46</v>
      </c>
      <c r="I544" s="18"/>
      <c r="J544" s="18"/>
      <c r="K544" s="18"/>
      <c r="L544" s="69">
        <f>SUM(F544:K544)</f>
        <v>46106.46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5">SUM(G542:G544)</f>
        <v>0</v>
      </c>
      <c r="H545" s="140">
        <f t="shared" si="45"/>
        <v>144082.69999999998</v>
      </c>
      <c r="I545" s="140">
        <f t="shared" si="45"/>
        <v>0</v>
      </c>
      <c r="J545" s="140">
        <f t="shared" si="45"/>
        <v>0</v>
      </c>
      <c r="K545" s="140">
        <f t="shared" si="45"/>
        <v>0</v>
      </c>
      <c r="L545" s="140">
        <f t="shared" si="45"/>
        <v>144082.69999999998</v>
      </c>
      <c r="M545" s="8"/>
      <c r="N545" s="164"/>
    </row>
    <row r="546" spans="1:14" s="3" customFormat="1" ht="12.2" customHeight="1" thickTop="1" x14ac:dyDescent="0.15">
      <c r="A546" s="75" t="s">
        <v>72</v>
      </c>
      <c r="B546" s="41">
        <v>21</v>
      </c>
      <c r="C546" s="41">
        <v>21</v>
      </c>
      <c r="D546" s="114" t="s">
        <v>432</v>
      </c>
      <c r="E546" s="41"/>
      <c r="F546" s="70">
        <f>F525+F530+F535+F540+F545</f>
        <v>4860153.6399999997</v>
      </c>
      <c r="G546" s="70">
        <f t="shared" ref="G546:L546" si="46">G525+G530+G535+G540+G545</f>
        <v>2366714.5700000003</v>
      </c>
      <c r="H546" s="70">
        <f t="shared" si="46"/>
        <v>1167664.7</v>
      </c>
      <c r="I546" s="70">
        <f t="shared" si="46"/>
        <v>116949.15000000002</v>
      </c>
      <c r="J546" s="70">
        <f t="shared" si="46"/>
        <v>92092.94</v>
      </c>
      <c r="K546" s="70">
        <f t="shared" si="46"/>
        <v>19936.25</v>
      </c>
      <c r="L546" s="70">
        <f t="shared" si="46"/>
        <v>8623511.25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3903063.8400000008</v>
      </c>
      <c r="G550" s="69">
        <f>L527</f>
        <v>18737.41</v>
      </c>
      <c r="H550" s="69">
        <f>L532</f>
        <v>372654.66</v>
      </c>
      <c r="I550" s="69">
        <f>L537</f>
        <v>5417.7640000000001</v>
      </c>
      <c r="J550" s="69">
        <f>L542</f>
        <v>63396.39</v>
      </c>
      <c r="K550" s="69">
        <f>SUM(F550:J550)</f>
        <v>4363270.0640000012</v>
      </c>
      <c r="L550" s="23" t="s">
        <v>288</v>
      </c>
      <c r="M550" s="8"/>
      <c r="N550" s="164"/>
    </row>
    <row r="551" spans="1:14" s="3" customFormat="1" ht="12.2" customHeight="1" x14ac:dyDescent="0.15">
      <c r="A551" s="21" t="s">
        <v>634</v>
      </c>
      <c r="B551" s="22">
        <v>21</v>
      </c>
      <c r="C551" s="22">
        <v>23</v>
      </c>
      <c r="D551" s="2" t="s">
        <v>432</v>
      </c>
      <c r="E551" s="22"/>
      <c r="F551" s="69">
        <f>L523</f>
        <v>1967872.63</v>
      </c>
      <c r="G551" s="69">
        <f>L528</f>
        <v>9146.59</v>
      </c>
      <c r="H551" s="69">
        <f>L533</f>
        <v>163141.34</v>
      </c>
      <c r="I551" s="69">
        <f>L538</f>
        <v>2955.1439999999998</v>
      </c>
      <c r="J551" s="69">
        <f>L543</f>
        <v>34579.85</v>
      </c>
      <c r="K551" s="69">
        <f>SUM(F551:J551)</f>
        <v>2177695.554</v>
      </c>
      <c r="L551" s="23" t="s">
        <v>288</v>
      </c>
      <c r="M551" s="8"/>
      <c r="N551" s="164"/>
    </row>
    <row r="552" spans="1:14" s="3" customFormat="1" ht="12.2" customHeight="1" thickBot="1" x14ac:dyDescent="0.2">
      <c r="A552" s="21" t="s">
        <v>635</v>
      </c>
      <c r="B552" s="22">
        <v>21</v>
      </c>
      <c r="C552" s="22">
        <v>24</v>
      </c>
      <c r="D552" s="2" t="s">
        <v>432</v>
      </c>
      <c r="E552" s="22"/>
      <c r="F552" s="69">
        <f>L524</f>
        <v>1810410.67</v>
      </c>
      <c r="G552" s="69">
        <f>L529</f>
        <v>12647.67</v>
      </c>
      <c r="H552" s="69">
        <f>L534</f>
        <v>209440.63999999998</v>
      </c>
      <c r="I552" s="69">
        <f>L539</f>
        <v>3940.1920000000005</v>
      </c>
      <c r="J552" s="69">
        <f>L544</f>
        <v>46106.46</v>
      </c>
      <c r="K552" s="69">
        <f>SUM(F552:J552)</f>
        <v>2082545.6319999998</v>
      </c>
      <c r="L552" s="23" t="s">
        <v>288</v>
      </c>
      <c r="M552" s="8"/>
      <c r="N552" s="164"/>
    </row>
    <row r="553" spans="1:14" s="3" customFormat="1" ht="12.2" customHeight="1" thickTop="1" x14ac:dyDescent="0.15">
      <c r="A553" s="125" t="s">
        <v>340</v>
      </c>
      <c r="B553" s="41">
        <v>21</v>
      </c>
      <c r="C553" s="41">
        <v>25</v>
      </c>
      <c r="D553" s="36" t="s">
        <v>432</v>
      </c>
      <c r="E553" s="41"/>
      <c r="F553" s="70">
        <f t="shared" ref="F553:K553" si="47">SUM(F550:F552)</f>
        <v>7681347.1400000006</v>
      </c>
      <c r="G553" s="70">
        <f t="shared" si="47"/>
        <v>40531.67</v>
      </c>
      <c r="H553" s="70">
        <f t="shared" si="47"/>
        <v>745236.64</v>
      </c>
      <c r="I553" s="70">
        <f t="shared" si="47"/>
        <v>12313.1</v>
      </c>
      <c r="J553" s="70">
        <f t="shared" si="47"/>
        <v>144082.69999999998</v>
      </c>
      <c r="K553" s="70">
        <f t="shared" si="47"/>
        <v>8623511.25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4" t="s">
        <v>432</v>
      </c>
      <c r="E561" s="41"/>
      <c r="F561" s="81">
        <f t="shared" ref="F561:L561" si="48">SUM(F558:F560)</f>
        <v>0</v>
      </c>
      <c r="G561" s="81">
        <f t="shared" si="48"/>
        <v>0</v>
      </c>
      <c r="H561" s="81">
        <f t="shared" si="48"/>
        <v>0</v>
      </c>
      <c r="I561" s="81">
        <f t="shared" si="48"/>
        <v>0</v>
      </c>
      <c r="J561" s="81">
        <f t="shared" si="48"/>
        <v>0</v>
      </c>
      <c r="K561" s="81">
        <f t="shared" si="48"/>
        <v>0</v>
      </c>
      <c r="L561" s="70">
        <f t="shared" si="48"/>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4" t="s">
        <v>432</v>
      </c>
      <c r="E566" s="41"/>
      <c r="F566" s="70">
        <f t="shared" ref="F566:L566" si="49">SUM(F563:F565)</f>
        <v>0</v>
      </c>
      <c r="G566" s="70">
        <f t="shared" si="49"/>
        <v>0</v>
      </c>
      <c r="H566" s="70">
        <f t="shared" si="49"/>
        <v>0</v>
      </c>
      <c r="I566" s="70">
        <f t="shared" si="49"/>
        <v>0</v>
      </c>
      <c r="J566" s="70">
        <f t="shared" si="49"/>
        <v>0</v>
      </c>
      <c r="K566" s="70">
        <f t="shared" si="49"/>
        <v>0</v>
      </c>
      <c r="L566" s="70">
        <f t="shared" si="49"/>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70722.399999999994</v>
      </c>
      <c r="G568" s="18">
        <v>45774.13</v>
      </c>
      <c r="H568" s="18">
        <v>3125</v>
      </c>
      <c r="I568" s="18">
        <v>12182.32</v>
      </c>
      <c r="J568" s="18"/>
      <c r="K568" s="18"/>
      <c r="L568" s="69">
        <f>SUM(F568:K568)</f>
        <v>131803.85</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70722.399999999994</v>
      </c>
      <c r="G571" s="140">
        <f t="shared" ref="G571:L571" si="50">SUM(G568:G570)</f>
        <v>45774.13</v>
      </c>
      <c r="H571" s="140">
        <f t="shared" si="50"/>
        <v>3125</v>
      </c>
      <c r="I571" s="140">
        <f t="shared" si="50"/>
        <v>12182.32</v>
      </c>
      <c r="J571" s="140">
        <f t="shared" si="50"/>
        <v>0</v>
      </c>
      <c r="K571" s="140">
        <f t="shared" si="50"/>
        <v>0</v>
      </c>
      <c r="L571" s="140">
        <f t="shared" si="50"/>
        <v>131803.85</v>
      </c>
      <c r="M571" s="8"/>
      <c r="N571" s="164"/>
    </row>
    <row r="572" spans="1:14" s="3" customFormat="1" ht="12.2" customHeight="1" thickTop="1" x14ac:dyDescent="0.15">
      <c r="A572" s="75" t="s">
        <v>88</v>
      </c>
      <c r="B572" s="41">
        <v>22</v>
      </c>
      <c r="C572" s="41">
        <v>13</v>
      </c>
      <c r="D572" s="114" t="s">
        <v>432</v>
      </c>
      <c r="E572" s="41"/>
      <c r="F572" s="70">
        <f>F561+F566+F571</f>
        <v>70722.399999999994</v>
      </c>
      <c r="G572" s="70">
        <f t="shared" ref="G572:L572" si="51">G561+G566+G571</f>
        <v>45774.13</v>
      </c>
      <c r="H572" s="70">
        <f t="shared" si="51"/>
        <v>3125</v>
      </c>
      <c r="I572" s="70">
        <f t="shared" si="51"/>
        <v>12182.32</v>
      </c>
      <c r="J572" s="70">
        <f t="shared" si="51"/>
        <v>0</v>
      </c>
      <c r="K572" s="70">
        <f t="shared" si="51"/>
        <v>0</v>
      </c>
      <c r="L572" s="70">
        <f t="shared" si="51"/>
        <v>131803.85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771</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52">SUM(F577:H577)</f>
        <v>0</v>
      </c>
      <c r="J577" s="23" t="s">
        <v>288</v>
      </c>
      <c r="K577" s="23" t="s">
        <v>288</v>
      </c>
      <c r="L577" s="23" t="s">
        <v>288</v>
      </c>
      <c r="M577" s="8"/>
      <c r="N577" s="164"/>
    </row>
    <row r="578" spans="1:14" s="3" customFormat="1" ht="12.2" customHeight="1" x14ac:dyDescent="0.15">
      <c r="A578" s="21" t="s">
        <v>740</v>
      </c>
      <c r="B578" s="22">
        <v>22</v>
      </c>
      <c r="C578" s="22">
        <v>16</v>
      </c>
      <c r="D578" s="2" t="s">
        <v>432</v>
      </c>
      <c r="E578" s="22">
        <v>563</v>
      </c>
      <c r="F578" s="23" t="s">
        <v>288</v>
      </c>
      <c r="G578" s="23" t="s">
        <v>288</v>
      </c>
      <c r="H578" s="18"/>
      <c r="I578" s="69">
        <f t="shared" si="52"/>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52"/>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52"/>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52"/>
        <v>0</v>
      </c>
      <c r="J581" s="23" t="s">
        <v>288</v>
      </c>
      <c r="K581" s="23" t="s">
        <v>288</v>
      </c>
      <c r="L581" s="23" t="s">
        <v>288</v>
      </c>
      <c r="M581" s="8"/>
      <c r="N581" s="164"/>
    </row>
    <row r="582" spans="1:14" s="3" customFormat="1" ht="12.2" customHeight="1" x14ac:dyDescent="0.15">
      <c r="A582" s="103" t="s">
        <v>741</v>
      </c>
      <c r="B582" s="22">
        <v>22</v>
      </c>
      <c r="C582" s="22">
        <v>20</v>
      </c>
      <c r="D582" s="2" t="s">
        <v>432</v>
      </c>
      <c r="E582" s="22">
        <v>563</v>
      </c>
      <c r="F582" s="23" t="s">
        <v>288</v>
      </c>
      <c r="G582" s="23" t="s">
        <v>288</v>
      </c>
      <c r="H582" s="18"/>
      <c r="I582" s="69">
        <f t="shared" si="52"/>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103609.14</v>
      </c>
      <c r="G583" s="18">
        <v>244326.69</v>
      </c>
      <c r="H583" s="18">
        <v>203798.94</v>
      </c>
      <c r="I583" s="69">
        <f t="shared" si="52"/>
        <v>551734.77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52"/>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62986.82</v>
      </c>
      <c r="I585" s="69">
        <f t="shared" si="52"/>
        <v>62986.82</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52"/>
        <v>0</v>
      </c>
      <c r="J586" s="23" t="s">
        <v>288</v>
      </c>
      <c r="K586" s="23" t="s">
        <v>288</v>
      </c>
      <c r="L586" s="23" t="s">
        <v>288</v>
      </c>
      <c r="M586" s="8"/>
      <c r="N586" s="164"/>
    </row>
    <row r="587" spans="1:14" s="3" customFormat="1" ht="12.2" customHeight="1" x14ac:dyDescent="0.15">
      <c r="A587" s="21" t="s">
        <v>742</v>
      </c>
      <c r="B587" s="22">
        <v>22</v>
      </c>
      <c r="C587" s="22">
        <v>25</v>
      </c>
      <c r="D587" s="2" t="s">
        <v>432</v>
      </c>
      <c r="E587" s="22">
        <v>563</v>
      </c>
      <c r="F587" s="23" t="s">
        <v>288</v>
      </c>
      <c r="G587" s="23" t="s">
        <v>288</v>
      </c>
      <c r="H587" s="18"/>
      <c r="I587" s="69">
        <f t="shared" si="52"/>
        <v>0</v>
      </c>
      <c r="J587" s="23" t="s">
        <v>288</v>
      </c>
      <c r="K587" s="23" t="s">
        <v>288</v>
      </c>
      <c r="L587" s="23" t="s">
        <v>288</v>
      </c>
      <c r="M587" s="8"/>
      <c r="N587" s="164"/>
    </row>
    <row r="588" spans="1:14" s="3" customFormat="1" ht="12.2" customHeight="1" x14ac:dyDescent="0.15">
      <c r="A588" s="21" t="s">
        <v>677</v>
      </c>
      <c r="B588" s="22">
        <v>22</v>
      </c>
      <c r="C588" s="22">
        <v>26</v>
      </c>
      <c r="D588" s="2" t="s">
        <v>432</v>
      </c>
      <c r="E588" s="22">
        <v>564</v>
      </c>
      <c r="F588" s="18"/>
      <c r="G588" s="18"/>
      <c r="H588" s="18"/>
      <c r="I588" s="69">
        <f t="shared" si="52"/>
        <v>0</v>
      </c>
      <c r="J588" s="23" t="s">
        <v>288</v>
      </c>
      <c r="K588" s="23" t="s">
        <v>288</v>
      </c>
      <c r="L588" s="23" t="s">
        <v>288</v>
      </c>
      <c r="M588" s="8"/>
      <c r="N588" s="164"/>
    </row>
    <row r="589" spans="1:14" s="3" customFormat="1" ht="12.2" customHeight="1" x14ac:dyDescent="0.15">
      <c r="A589" s="126" t="s">
        <v>743</v>
      </c>
      <c r="B589" s="22"/>
      <c r="C589" s="22"/>
      <c r="D589" s="22"/>
      <c r="E589" s="22"/>
      <c r="F589" s="79"/>
      <c r="G589" s="79"/>
      <c r="H589" s="79"/>
      <c r="I589" s="79"/>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899520.64000000013</v>
      </c>
      <c r="I592" s="18">
        <v>352804.61</v>
      </c>
      <c r="J592" s="18">
        <v>535425.03</v>
      </c>
      <c r="K592" s="80">
        <f t="shared" ref="K592:K598" si="53">SUM(H592:J592)</f>
        <v>1787750.28</v>
      </c>
      <c r="L592" s="23" t="s">
        <v>288</v>
      </c>
      <c r="M592" s="8"/>
      <c r="N592" s="164"/>
    </row>
    <row r="593" spans="1:14" s="3" customFormat="1" ht="12.2" customHeight="1" x14ac:dyDescent="0.15">
      <c r="A593" s="3" t="s">
        <v>638</v>
      </c>
      <c r="B593" s="22">
        <v>23</v>
      </c>
      <c r="C593" s="22">
        <v>2</v>
      </c>
      <c r="D593" s="2" t="s">
        <v>432</v>
      </c>
      <c r="E593" s="22"/>
      <c r="F593" s="78">
        <v>2722</v>
      </c>
      <c r="G593" s="79" t="s">
        <v>97</v>
      </c>
      <c r="H593" s="18">
        <v>63396.39</v>
      </c>
      <c r="I593" s="18">
        <v>34579.85</v>
      </c>
      <c r="J593" s="18">
        <v>46106.46</v>
      </c>
      <c r="K593" s="80">
        <f t="shared" si="53"/>
        <v>144082.69999999998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36364.26</v>
      </c>
      <c r="K594" s="80">
        <f t="shared" si="53"/>
        <v>36364.26</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1182.26</v>
      </c>
      <c r="J595" s="18">
        <v>57951.38</v>
      </c>
      <c r="K595" s="80">
        <f t="shared" si="53"/>
        <v>59133.64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36750.160000000003</v>
      </c>
      <c r="I596" s="18">
        <v>22742.78</v>
      </c>
      <c r="J596" s="18">
        <v>23318.77</v>
      </c>
      <c r="K596" s="80">
        <f t="shared" si="53"/>
        <v>82811.710000000006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3"/>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3"/>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999667.19000000018</v>
      </c>
      <c r="I599" s="81">
        <f>SUM(I592:I598)</f>
        <v>411309.5</v>
      </c>
      <c r="J599" s="81">
        <f>SUM(J592:J598)</f>
        <v>699165.9</v>
      </c>
      <c r="K599" s="81">
        <f>SUM(K592:K598)</f>
        <v>2110142.59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951344.87</v>
      </c>
      <c r="I605" s="18">
        <f>J230+J310</f>
        <v>135500.13</v>
      </c>
      <c r="J605" s="18">
        <f>J248+J329</f>
        <v>280674.68</v>
      </c>
      <c r="K605" s="80">
        <f>SUM(H605:J605)</f>
        <v>1367519.68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951344.87</v>
      </c>
      <c r="I606" s="81">
        <f>SUM(I603:I605)</f>
        <v>135500.13</v>
      </c>
      <c r="J606" s="81">
        <f>SUM(J603:J605)</f>
        <v>280674.68</v>
      </c>
      <c r="K606" s="81">
        <f>SUM(K603:K605)</f>
        <v>1367519.68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21620.5</v>
      </c>
      <c r="G612" s="18">
        <v>5112.1000000000004</v>
      </c>
      <c r="H612" s="18">
        <v>37346.85</v>
      </c>
      <c r="I612" s="18">
        <v>2558.7199999999998</v>
      </c>
      <c r="J612" s="18"/>
      <c r="K612" s="18"/>
      <c r="L612" s="69">
        <f>SUM(F612:K612)</f>
        <v>66638.17</v>
      </c>
      <c r="M612" s="8"/>
      <c r="N612" s="164"/>
    </row>
    <row r="613" spans="1:14" s="3" customFormat="1" ht="12.2" customHeight="1" x14ac:dyDescent="0.15">
      <c r="A613" s="21" t="s">
        <v>634</v>
      </c>
      <c r="B613" s="22">
        <v>23</v>
      </c>
      <c r="C613" s="22">
        <v>14</v>
      </c>
      <c r="D613" s="2" t="s">
        <v>432</v>
      </c>
      <c r="E613" s="22"/>
      <c r="F613" s="18">
        <v>35294.35</v>
      </c>
      <c r="G613" s="18">
        <v>8095.43</v>
      </c>
      <c r="H613" s="18">
        <v>20371.009999999998</v>
      </c>
      <c r="I613" s="18">
        <v>221.59</v>
      </c>
      <c r="J613" s="18"/>
      <c r="K613" s="18"/>
      <c r="L613" s="69">
        <f>SUM(F613:K613)</f>
        <v>63982.37999999999</v>
      </c>
      <c r="M613" s="8"/>
      <c r="N613" s="164"/>
    </row>
    <row r="614" spans="1:14" s="3" customFormat="1" ht="12.2" customHeight="1" thickBot="1" x14ac:dyDescent="0.2">
      <c r="A614" s="21" t="s">
        <v>645</v>
      </c>
      <c r="B614" s="22">
        <v>23</v>
      </c>
      <c r="C614" s="22">
        <v>15</v>
      </c>
      <c r="D614" s="2" t="s">
        <v>432</v>
      </c>
      <c r="E614" s="22"/>
      <c r="F614" s="18">
        <v>48739.81</v>
      </c>
      <c r="G614" s="18">
        <v>11179.4</v>
      </c>
      <c r="H614" s="18">
        <v>27161.34</v>
      </c>
      <c r="I614" s="18">
        <v>295.45999999999998</v>
      </c>
      <c r="J614" s="18"/>
      <c r="K614" s="18"/>
      <c r="L614" s="69">
        <f>SUM(F614:K614)</f>
        <v>87376.010000000009</v>
      </c>
      <c r="M614" s="8"/>
      <c r="N614" s="164"/>
    </row>
    <row r="615" spans="1:14" s="3" customFormat="1" ht="12.2" customHeight="1" thickTop="1" x14ac:dyDescent="0.15">
      <c r="A615" s="75" t="s">
        <v>340</v>
      </c>
      <c r="B615" s="41">
        <v>23</v>
      </c>
      <c r="C615" s="41">
        <v>16</v>
      </c>
      <c r="D615" s="36" t="s">
        <v>432</v>
      </c>
      <c r="E615" s="41"/>
      <c r="F615" s="81">
        <f t="shared" ref="F615:L615" si="54">SUM(F612:F614)</f>
        <v>105654.66</v>
      </c>
      <c r="G615" s="81">
        <f t="shared" si="54"/>
        <v>24386.93</v>
      </c>
      <c r="H615" s="81">
        <f t="shared" si="54"/>
        <v>84879.2</v>
      </c>
      <c r="I615" s="81">
        <f t="shared" si="54"/>
        <v>3075.77</v>
      </c>
      <c r="J615" s="81">
        <f t="shared" si="54"/>
        <v>0</v>
      </c>
      <c r="K615" s="81">
        <f t="shared" si="54"/>
        <v>0</v>
      </c>
      <c r="L615" s="70">
        <f t="shared" si="54"/>
        <v>217996.56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7400062.7599999998</v>
      </c>
      <c r="H618" s="80">
        <f>SUM(F52)</f>
        <v>7400062.7599999998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219230.48</v>
      </c>
      <c r="H619" s="80">
        <f>SUM(G52)</f>
        <v>219230.47999999998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681037.09</v>
      </c>
      <c r="H620" s="80">
        <f>SUM(H52)</f>
        <v>681037.09</v>
      </c>
      <c r="I620" s="87" t="s">
        <v>876</v>
      </c>
      <c r="J620" s="80">
        <f>G620-H620</f>
        <v>0</v>
      </c>
      <c r="K620" s="80"/>
      <c r="L620" s="80"/>
      <c r="M620" s="8"/>
    </row>
    <row r="621" spans="1:14" s="3" customFormat="1" ht="12.2" customHeight="1" x14ac:dyDescent="0.15">
      <c r="A621" s="74"/>
      <c r="B621" s="22"/>
      <c r="C621" s="22"/>
      <c r="D621" s="22"/>
      <c r="E621" s="22"/>
      <c r="F621" s="87" t="s">
        <v>686</v>
      </c>
      <c r="G621" s="80">
        <f>SUM(I19)</f>
        <v>166833.5</v>
      </c>
      <c r="H621" s="80">
        <f>SUM(I52)</f>
        <v>166833.5</v>
      </c>
      <c r="I621" s="87" t="s">
        <v>877</v>
      </c>
      <c r="J621" s="80">
        <f>G621-H621</f>
        <v>0</v>
      </c>
      <c r="K621" s="80"/>
      <c r="L621" s="80"/>
      <c r="M621" s="8"/>
    </row>
    <row r="622" spans="1:14" s="3" customFormat="1" ht="12.2" customHeight="1" x14ac:dyDescent="0.15">
      <c r="A622" s="74"/>
      <c r="B622" s="22"/>
      <c r="C622" s="22"/>
      <c r="D622" s="22"/>
      <c r="E622" s="22"/>
      <c r="F622" s="87" t="s">
        <v>687</v>
      </c>
      <c r="G622" s="80">
        <f>SUM(J19)</f>
        <v>2233499.81</v>
      </c>
      <c r="H622" s="80">
        <f>SUM(J52)</f>
        <v>2233499.81</v>
      </c>
      <c r="I622" s="87" t="s">
        <v>878</v>
      </c>
      <c r="J622" s="80">
        <f>G622-H622</f>
        <v>0</v>
      </c>
      <c r="K622" s="80"/>
      <c r="L622" s="80"/>
      <c r="M622" s="8"/>
    </row>
    <row r="623" spans="1:14" s="3" customFormat="1" ht="12.2" customHeight="1" x14ac:dyDescent="0.15">
      <c r="A623" s="74"/>
      <c r="B623" s="22"/>
      <c r="C623" s="22"/>
      <c r="D623" s="22"/>
      <c r="E623" s="22"/>
      <c r="F623" s="87" t="s">
        <v>864</v>
      </c>
      <c r="G623" s="80">
        <f>F51</f>
        <v>4795513.01</v>
      </c>
      <c r="H623" s="80">
        <f>F477</f>
        <v>4795513.0099999979</v>
      </c>
      <c r="I623" s="87" t="s">
        <v>101</v>
      </c>
      <c r="J623" s="80">
        <f t="shared" ref="J623:J656" si="55">G623-H623</f>
        <v>0</v>
      </c>
      <c r="K623" s="80"/>
      <c r="L623" s="80"/>
      <c r="M623" s="8"/>
    </row>
    <row r="624" spans="1:14" s="3" customFormat="1" ht="12.2" customHeight="1" x14ac:dyDescent="0.15">
      <c r="A624" s="74"/>
      <c r="B624" s="22"/>
      <c r="C624" s="85"/>
      <c r="D624" s="85"/>
      <c r="E624" s="85"/>
      <c r="F624" s="85" t="s">
        <v>865</v>
      </c>
      <c r="G624" s="80">
        <f>G51</f>
        <v>38853.43</v>
      </c>
      <c r="H624" s="80">
        <f>G477</f>
        <v>38853.430000000051</v>
      </c>
      <c r="I624" s="87" t="s">
        <v>102</v>
      </c>
      <c r="J624" s="80">
        <f t="shared" si="55"/>
        <v>0</v>
      </c>
      <c r="K624" s="80"/>
      <c r="L624" s="80"/>
      <c r="M624" s="8"/>
    </row>
    <row r="625" spans="1:13" s="3" customFormat="1" ht="12.2" customHeight="1" x14ac:dyDescent="0.15">
      <c r="A625" s="74"/>
      <c r="B625" s="22"/>
      <c r="C625" s="22"/>
      <c r="D625" s="22"/>
      <c r="E625" s="22"/>
      <c r="F625" s="86" t="s">
        <v>866</v>
      </c>
      <c r="G625" s="80">
        <f>H51</f>
        <v>56248.32</v>
      </c>
      <c r="H625" s="80">
        <f>H477</f>
        <v>56248.320000000065</v>
      </c>
      <c r="I625" s="87" t="s">
        <v>103</v>
      </c>
      <c r="J625" s="80">
        <f t="shared" si="55"/>
        <v>-6.5483618527650833E-11</v>
      </c>
      <c r="K625" s="80"/>
      <c r="L625" s="80"/>
      <c r="M625" s="8"/>
    </row>
    <row r="626" spans="1:13" s="3" customFormat="1" ht="12.2" customHeight="1" x14ac:dyDescent="0.15">
      <c r="A626" s="74"/>
      <c r="B626" s="22"/>
      <c r="C626" s="22"/>
      <c r="D626" s="22"/>
      <c r="E626" s="22"/>
      <c r="F626" s="86" t="s">
        <v>867</v>
      </c>
      <c r="G626" s="80">
        <f>I51</f>
        <v>121101.5</v>
      </c>
      <c r="H626" s="80">
        <f>I477</f>
        <v>121101.5</v>
      </c>
      <c r="I626" s="87" t="s">
        <v>104</v>
      </c>
      <c r="J626" s="80">
        <f t="shared" si="55"/>
        <v>0</v>
      </c>
      <c r="K626" s="80"/>
      <c r="L626" s="80"/>
      <c r="M626" s="8"/>
    </row>
    <row r="627" spans="1:13" s="3" customFormat="1" ht="12.2" customHeight="1" x14ac:dyDescent="0.15">
      <c r="A627" s="21"/>
      <c r="B627" s="22"/>
      <c r="C627" s="22"/>
      <c r="D627" s="22"/>
      <c r="E627" s="22"/>
      <c r="F627" s="86" t="s">
        <v>868</v>
      </c>
      <c r="G627" s="80">
        <f>J51</f>
        <v>2233499.81</v>
      </c>
      <c r="H627" s="80">
        <f>J477</f>
        <v>2233499.81</v>
      </c>
      <c r="I627" s="87" t="s">
        <v>105</v>
      </c>
      <c r="J627" s="80">
        <f t="shared" si="55"/>
        <v>0</v>
      </c>
      <c r="K627" s="67"/>
      <c r="L627" s="69"/>
      <c r="M627" s="8"/>
    </row>
    <row r="628" spans="1:13" s="3" customFormat="1" ht="12.2" customHeight="1" x14ac:dyDescent="0.15">
      <c r="A628" s="21"/>
      <c r="B628" s="22"/>
      <c r="C628" s="22"/>
      <c r="D628" s="22"/>
      <c r="E628" s="22"/>
      <c r="F628" s="86" t="s">
        <v>658</v>
      </c>
      <c r="G628" s="80">
        <f>F194</f>
        <v>44259944.959999993</v>
      </c>
      <c r="H628" s="80">
        <f>SUM(F469)</f>
        <v>44259944.959999993</v>
      </c>
      <c r="I628" s="87" t="s">
        <v>106</v>
      </c>
      <c r="J628" s="80">
        <f>G628-H628</f>
        <v>0</v>
      </c>
      <c r="K628" s="67"/>
      <c r="L628" s="69"/>
      <c r="M628" s="8"/>
    </row>
    <row r="629" spans="1:13" s="3" customFormat="1" ht="12.2" customHeight="1" x14ac:dyDescent="0.15">
      <c r="A629" s="21"/>
      <c r="B629" s="22"/>
      <c r="C629" s="22"/>
      <c r="D629" s="22"/>
      <c r="E629" s="22"/>
      <c r="F629" s="86" t="s">
        <v>659</v>
      </c>
      <c r="G629" s="80">
        <f>G194</f>
        <v>701475.58000000007</v>
      </c>
      <c r="H629" s="80">
        <f>SUM(G469)</f>
        <v>701475.58000000007</v>
      </c>
      <c r="I629" s="87" t="s">
        <v>107</v>
      </c>
      <c r="J629" s="80">
        <f>G629-H629</f>
        <v>0</v>
      </c>
      <c r="K629" s="67"/>
      <c r="L629" s="69"/>
      <c r="M629" s="8"/>
    </row>
    <row r="630" spans="1:13" s="3" customFormat="1" ht="12.2" customHeight="1" x14ac:dyDescent="0.15">
      <c r="A630" s="21"/>
      <c r="B630" s="22"/>
      <c r="C630" s="22"/>
      <c r="D630" s="22"/>
      <c r="E630" s="22"/>
      <c r="F630" s="86" t="s">
        <v>660</v>
      </c>
      <c r="G630" s="80">
        <f>H194</f>
        <v>1958388</v>
      </c>
      <c r="H630" s="80">
        <f>SUM(H469)</f>
        <v>1958388</v>
      </c>
      <c r="I630" s="87" t="s">
        <v>108</v>
      </c>
      <c r="J630" s="80">
        <f>G630-H630</f>
        <v>0</v>
      </c>
      <c r="K630" s="67"/>
      <c r="L630" s="69"/>
      <c r="M630" s="8"/>
    </row>
    <row r="631" spans="1:13" s="3" customFormat="1" ht="12.2" customHeight="1" x14ac:dyDescent="0.15">
      <c r="A631" s="21"/>
      <c r="B631" s="22"/>
      <c r="C631" s="22"/>
      <c r="D631" s="22"/>
      <c r="E631" s="22"/>
      <c r="F631" s="86" t="s">
        <v>661</v>
      </c>
      <c r="G631" s="80">
        <f>I194</f>
        <v>6296.98</v>
      </c>
      <c r="H631" s="80">
        <f>SUM(I469)</f>
        <v>6296.98</v>
      </c>
      <c r="I631" s="87" t="s">
        <v>109</v>
      </c>
      <c r="J631" s="80">
        <f>G631-H631</f>
        <v>0</v>
      </c>
      <c r="K631" s="67"/>
      <c r="L631" s="69"/>
      <c r="M631" s="8"/>
    </row>
    <row r="632" spans="1:13" s="3" customFormat="1" ht="12.2" customHeight="1" x14ac:dyDescent="0.15">
      <c r="A632" s="21"/>
      <c r="B632" s="22"/>
      <c r="C632" s="22"/>
      <c r="D632" s="22"/>
      <c r="E632" s="22"/>
      <c r="F632" s="86" t="s">
        <v>662</v>
      </c>
      <c r="G632" s="80">
        <f>J194</f>
        <v>159305.71</v>
      </c>
      <c r="H632" s="80">
        <f>SUM(J469)</f>
        <v>159305.71</v>
      </c>
      <c r="I632" s="87" t="s">
        <v>110</v>
      </c>
      <c r="J632" s="80">
        <f>G632-H632</f>
        <v>0</v>
      </c>
      <c r="K632" s="67"/>
      <c r="L632" s="69"/>
      <c r="M632" s="8"/>
    </row>
    <row r="633" spans="1:13" s="3" customFormat="1" ht="12.2" customHeight="1" x14ac:dyDescent="0.15">
      <c r="A633" s="21"/>
      <c r="B633" s="22"/>
      <c r="C633" s="22"/>
      <c r="D633" s="22"/>
      <c r="E633" s="22"/>
      <c r="F633" s="86" t="s">
        <v>394</v>
      </c>
      <c r="G633" s="80">
        <f>SUM(L272)</f>
        <v>44112896.850000001</v>
      </c>
      <c r="H633" s="80">
        <f>SUM(F473)</f>
        <v>44112896.850000001</v>
      </c>
      <c r="I633" s="87" t="s">
        <v>111</v>
      </c>
      <c r="J633" s="80">
        <f t="shared" si="55"/>
        <v>0</v>
      </c>
      <c r="K633" s="67"/>
      <c r="L633" s="69"/>
      <c r="M633" s="8"/>
    </row>
    <row r="634" spans="1:13" s="3" customFormat="1" ht="12.2" customHeight="1" x14ac:dyDescent="0.15">
      <c r="A634" s="21"/>
      <c r="B634" s="22"/>
      <c r="C634" s="22"/>
      <c r="D634" s="22"/>
      <c r="E634" s="22"/>
      <c r="F634" s="86" t="s">
        <v>395</v>
      </c>
      <c r="G634" s="80">
        <f>SUM(L353)</f>
        <v>1958388</v>
      </c>
      <c r="H634" s="80">
        <f>SUM(H473)</f>
        <v>1958388</v>
      </c>
      <c r="I634" s="87" t="s">
        <v>112</v>
      </c>
      <c r="J634" s="80">
        <f>G634-H634</f>
        <v>0</v>
      </c>
      <c r="K634" s="67"/>
      <c r="L634" s="69"/>
      <c r="M634" s="8"/>
    </row>
    <row r="635" spans="1:13" s="123" customFormat="1" ht="12.2" customHeight="1" x14ac:dyDescent="0.15">
      <c r="A635" s="21"/>
      <c r="B635" s="22"/>
      <c r="C635" s="22"/>
      <c r="D635" s="22"/>
      <c r="E635" s="22"/>
      <c r="F635" s="99" t="s">
        <v>247</v>
      </c>
      <c r="G635" s="80">
        <f>I363</f>
        <v>37313</v>
      </c>
      <c r="H635" s="80">
        <f>I370</f>
        <v>37313</v>
      </c>
      <c r="I635" s="100" t="s">
        <v>248</v>
      </c>
      <c r="J635" s="80">
        <f>G635-H635</f>
        <v>0</v>
      </c>
      <c r="K635" s="67"/>
      <c r="L635" s="69"/>
      <c r="M635" s="122"/>
    </row>
    <row r="636" spans="1:13" s="123" customFormat="1" ht="12.2" customHeight="1" x14ac:dyDescent="0.15">
      <c r="A636" s="21"/>
      <c r="B636" s="22"/>
      <c r="C636" s="22"/>
      <c r="D636" s="22"/>
      <c r="E636" s="22"/>
      <c r="F636" s="86" t="s">
        <v>113</v>
      </c>
      <c r="G636" s="80">
        <f>SUM(L363)</f>
        <v>745813.53</v>
      </c>
      <c r="H636" s="80">
        <f>SUM(G473)</f>
        <v>745813.53</v>
      </c>
      <c r="I636" s="87" t="s">
        <v>114</v>
      </c>
      <c r="J636" s="80">
        <f t="shared" si="55"/>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5"/>
        <v>0</v>
      </c>
      <c r="K637" s="67"/>
      <c r="L637" s="69"/>
      <c r="M637" s="8"/>
    </row>
    <row r="638" spans="1:13" s="3" customFormat="1" ht="12.2" customHeight="1" x14ac:dyDescent="0.15">
      <c r="A638" s="116"/>
      <c r="B638" s="117"/>
      <c r="C638" s="117"/>
      <c r="D638" s="117"/>
      <c r="E638" s="117"/>
      <c r="F638" s="118" t="s">
        <v>477</v>
      </c>
      <c r="G638" s="108">
        <f>SUM(L409)</f>
        <v>159305.71</v>
      </c>
      <c r="H638" s="108">
        <f>SUM(J469)</f>
        <v>159305.71</v>
      </c>
      <c r="I638" s="119" t="s">
        <v>110</v>
      </c>
      <c r="J638" s="108">
        <f t="shared" si="55"/>
        <v>0</v>
      </c>
      <c r="K638" s="120"/>
      <c r="L638" s="121"/>
      <c r="M638" s="8"/>
    </row>
    <row r="639" spans="1:13" s="3" customFormat="1" ht="12.2" customHeight="1" x14ac:dyDescent="0.15">
      <c r="A639" s="116"/>
      <c r="B639" s="117"/>
      <c r="C639" s="117"/>
      <c r="D639" s="117"/>
      <c r="E639" s="117"/>
      <c r="F639" s="118" t="s">
        <v>478</v>
      </c>
      <c r="G639" s="108">
        <f>SUM(L435)</f>
        <v>229684.96</v>
      </c>
      <c r="H639" s="108">
        <f>SUM(J473)</f>
        <v>229684.96</v>
      </c>
      <c r="I639" s="119" t="s">
        <v>117</v>
      </c>
      <c r="J639" s="108">
        <f t="shared" si="55"/>
        <v>0</v>
      </c>
      <c r="K639" s="120"/>
      <c r="L639" s="121"/>
      <c r="M639" s="8"/>
    </row>
    <row r="640" spans="1:13" s="3" customFormat="1" ht="12.2" customHeight="1" x14ac:dyDescent="0.15">
      <c r="A640" s="21"/>
      <c r="B640" s="22"/>
      <c r="C640" s="22"/>
      <c r="D640" s="22"/>
      <c r="E640" s="22"/>
      <c r="F640" s="86" t="s">
        <v>118</v>
      </c>
      <c r="G640" s="80">
        <f>SUM(F447)</f>
        <v>2233499.81</v>
      </c>
      <c r="H640" s="80">
        <f>SUM(F462)</f>
        <v>2233499.81</v>
      </c>
      <c r="I640" s="87" t="s">
        <v>840</v>
      </c>
      <c r="J640" s="80">
        <f t="shared" si="55"/>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5"/>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5"/>
        <v>0</v>
      </c>
      <c r="K642" s="67"/>
      <c r="L642" s="69"/>
      <c r="M642" s="8"/>
    </row>
    <row r="643" spans="1:13" s="3" customFormat="1" ht="12.2" customHeight="1" x14ac:dyDescent="0.15">
      <c r="A643" s="21"/>
      <c r="B643" s="22"/>
      <c r="C643" s="22"/>
      <c r="D643" s="22"/>
      <c r="E643" s="22"/>
      <c r="F643" s="86" t="s">
        <v>121</v>
      </c>
      <c r="G643" s="80">
        <f>SUM(I447)</f>
        <v>2233499.81</v>
      </c>
      <c r="H643" s="80">
        <f>SUM(I462)</f>
        <v>2233499.81</v>
      </c>
      <c r="I643" s="87" t="s">
        <v>843</v>
      </c>
      <c r="J643" s="80">
        <f t="shared" si="55"/>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5"/>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5"/>
        <v>0</v>
      </c>
      <c r="K645" s="67"/>
      <c r="L645" s="69"/>
      <c r="M645" s="8"/>
    </row>
    <row r="646" spans="1:13" s="3" customFormat="1" ht="12.2" customHeight="1" x14ac:dyDescent="0.15">
      <c r="A646" s="21"/>
      <c r="B646" s="22"/>
      <c r="C646" s="22"/>
      <c r="D646" s="22"/>
      <c r="E646" s="22"/>
      <c r="F646" s="86" t="s">
        <v>664</v>
      </c>
      <c r="G646" s="80">
        <f>J184</f>
        <v>60000</v>
      </c>
      <c r="H646" s="80">
        <f>G409</f>
        <v>60000</v>
      </c>
      <c r="I646" s="87" t="s">
        <v>481</v>
      </c>
      <c r="J646" s="80">
        <f t="shared" si="55"/>
        <v>0</v>
      </c>
      <c r="K646" s="67"/>
      <c r="L646" s="69"/>
      <c r="M646" s="8"/>
    </row>
    <row r="647" spans="1:13" s="3" customFormat="1" ht="12.2" customHeight="1" x14ac:dyDescent="0.15">
      <c r="A647" s="21"/>
      <c r="B647" s="22"/>
      <c r="C647" s="22"/>
      <c r="D647" s="22"/>
      <c r="E647" s="22"/>
      <c r="F647" s="86" t="s">
        <v>662</v>
      </c>
      <c r="G647" s="80">
        <f>J194</f>
        <v>159305.71</v>
      </c>
      <c r="H647" s="80">
        <f>L409</f>
        <v>159305.71</v>
      </c>
      <c r="I647" s="87" t="s">
        <v>477</v>
      </c>
      <c r="J647" s="80">
        <f t="shared" si="55"/>
        <v>0</v>
      </c>
      <c r="K647" s="67"/>
      <c r="L647" s="69"/>
      <c r="M647" s="8"/>
    </row>
    <row r="648" spans="1:13" s="3" customFormat="1" ht="12.2" customHeight="1" x14ac:dyDescent="0.15">
      <c r="A648" s="21"/>
      <c r="B648" s="22"/>
      <c r="C648" s="22"/>
      <c r="D648" s="22"/>
      <c r="E648" s="22"/>
      <c r="F648" s="86" t="s">
        <v>51</v>
      </c>
      <c r="G648" s="80">
        <f>K599</f>
        <v>2110142.59</v>
      </c>
      <c r="H648" s="80">
        <f>L209+L227+L245</f>
        <v>2110142.59</v>
      </c>
      <c r="I648" s="87" t="s">
        <v>396</v>
      </c>
      <c r="J648" s="80">
        <f t="shared" si="55"/>
        <v>0</v>
      </c>
      <c r="K648" s="67"/>
      <c r="L648" s="69"/>
      <c r="M648" s="8"/>
    </row>
    <row r="649" spans="1:13" s="3" customFormat="1" ht="12.2" customHeight="1" x14ac:dyDescent="0.15">
      <c r="A649" s="21"/>
      <c r="B649" s="22"/>
      <c r="C649" s="22"/>
      <c r="D649" s="22"/>
      <c r="E649" s="22"/>
      <c r="F649" s="86" t="s">
        <v>52</v>
      </c>
      <c r="G649" s="80">
        <f>K606</f>
        <v>1367519.68</v>
      </c>
      <c r="H649" s="80">
        <f>(J258+J339)-(J256+J337)</f>
        <v>1367519.68</v>
      </c>
      <c r="I649" s="87" t="s">
        <v>699</v>
      </c>
      <c r="J649" s="80">
        <f t="shared" si="55"/>
        <v>0</v>
      </c>
      <c r="K649" s="67"/>
      <c r="L649" s="69"/>
      <c r="M649" s="8"/>
    </row>
    <row r="650" spans="1:13" s="3" customFormat="1" ht="12.2" customHeight="1" x14ac:dyDescent="0.15">
      <c r="A650" s="21"/>
      <c r="B650" s="22"/>
      <c r="C650" s="22"/>
      <c r="D650" s="22"/>
      <c r="E650" s="22"/>
      <c r="F650" s="86" t="s">
        <v>387</v>
      </c>
      <c r="G650" s="80">
        <f>L209</f>
        <v>999667.19000000006</v>
      </c>
      <c r="H650" s="80">
        <f>H599</f>
        <v>999667.19000000018</v>
      </c>
      <c r="I650" s="87" t="s">
        <v>388</v>
      </c>
      <c r="J650" s="80">
        <f t="shared" si="55"/>
        <v>0</v>
      </c>
      <c r="K650" s="67"/>
      <c r="L650" s="69"/>
      <c r="M650" s="8"/>
    </row>
    <row r="651" spans="1:13" s="3" customFormat="1" ht="12.2" customHeight="1" x14ac:dyDescent="0.15">
      <c r="A651" s="21"/>
      <c r="B651" s="22"/>
      <c r="C651" s="22"/>
      <c r="D651" s="22"/>
      <c r="E651" s="22"/>
      <c r="F651" s="86" t="s">
        <v>392</v>
      </c>
      <c r="G651" s="80">
        <f>L227</f>
        <v>411309.5</v>
      </c>
      <c r="H651" s="80">
        <f>I599</f>
        <v>411309.5</v>
      </c>
      <c r="I651" s="87" t="s">
        <v>389</v>
      </c>
      <c r="J651" s="80">
        <f t="shared" si="55"/>
        <v>0</v>
      </c>
      <c r="K651" s="67"/>
      <c r="L651" s="69"/>
      <c r="M651" s="8"/>
    </row>
    <row r="652" spans="1:13" s="3" customFormat="1" ht="12.2" customHeight="1" x14ac:dyDescent="0.15">
      <c r="A652" s="21"/>
      <c r="B652" s="22"/>
      <c r="C652" s="22"/>
      <c r="D652" s="22"/>
      <c r="E652" s="22"/>
      <c r="F652" s="86" t="s">
        <v>393</v>
      </c>
      <c r="G652" s="80">
        <f>L245</f>
        <v>699165.9</v>
      </c>
      <c r="H652" s="80">
        <f>J599</f>
        <v>699165.9</v>
      </c>
      <c r="I652" s="87" t="s">
        <v>390</v>
      </c>
      <c r="J652" s="80">
        <f t="shared" si="55"/>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5"/>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5"/>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5"/>
        <v>0</v>
      </c>
      <c r="K655" s="67"/>
      <c r="L655" s="69"/>
      <c r="M655" s="8"/>
    </row>
    <row r="656" spans="1:13" s="3" customFormat="1" ht="12.2" customHeight="1" x14ac:dyDescent="0.15">
      <c r="A656" s="21"/>
      <c r="B656" s="22"/>
      <c r="C656" s="22"/>
      <c r="D656" s="22"/>
      <c r="E656" s="22"/>
      <c r="F656" s="86" t="s">
        <v>668</v>
      </c>
      <c r="G656" s="80">
        <f>J180+J182</f>
        <v>60000</v>
      </c>
      <c r="H656" s="80">
        <f>K267+K348</f>
        <v>60000</v>
      </c>
      <c r="I656" s="87" t="s">
        <v>400</v>
      </c>
      <c r="J656" s="80">
        <f t="shared" si="55"/>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20987965.66</v>
      </c>
      <c r="G661" s="13">
        <f>(L230+L310+L360)</f>
        <v>10622197.139999999</v>
      </c>
      <c r="H661" s="13">
        <f>(L248+L329+L361)</f>
        <v>13132878.070000002</v>
      </c>
      <c r="I661" s="13">
        <f>SUM(F661:H661)</f>
        <v>44743040.869999997</v>
      </c>
      <c r="J661" s="13"/>
      <c r="K661" s="13"/>
      <c r="L661" s="13"/>
      <c r="M661" s="9"/>
    </row>
    <row r="662" spans="1:13" s="3" customFormat="1" ht="12.2" customHeight="1" x14ac:dyDescent="0.2">
      <c r="A662" s="1" t="s">
        <v>127</v>
      </c>
      <c r="F662" s="13">
        <f>(L359/IF(SUM(L359:L361)=0,1,SUM(L359:L361))*(SUM(G97:G110)))</f>
        <v>164802.5009449177</v>
      </c>
      <c r="G662" s="13">
        <f>(L360/IF(SUM(L359:L361)=0,1,SUM(L359:L361))*(SUM(G97:G110)))</f>
        <v>91469.888125626792</v>
      </c>
      <c r="H662" s="13">
        <f>(L361/IF(SUM(L359:L361)=0,1,SUM(L359:L361))*(SUM(G97:G110)))</f>
        <v>140647.60092945554</v>
      </c>
      <c r="I662" s="13">
        <f>SUM(F662:H662)</f>
        <v>396919.99000000005</v>
      </c>
      <c r="J662"/>
      <c r="K662" s="13"/>
      <c r="L662" s="13"/>
      <c r="M662" s="8"/>
    </row>
    <row r="663" spans="1:13" s="3" customFormat="1" ht="12.2" customHeight="1" x14ac:dyDescent="0.2">
      <c r="A663" s="1" t="s">
        <v>128</v>
      </c>
      <c r="F663" s="13">
        <f>(L209+L288)-(J209+J288)</f>
        <v>999667.19000000006</v>
      </c>
      <c r="G663" s="13">
        <f>(L227+L307)-(J227+J307)</f>
        <v>411309.5</v>
      </c>
      <c r="H663" s="13">
        <f>(L245+L326)-(J245+J326)</f>
        <v>699165.9</v>
      </c>
      <c r="I663" s="13">
        <f>SUM(F663:H663)</f>
        <v>2110142.59</v>
      </c>
      <c r="J663"/>
      <c r="K663" s="13"/>
      <c r="L663" s="13"/>
      <c r="M663" s="9"/>
    </row>
    <row r="664" spans="1:13" s="3" customFormat="1" ht="12.2" customHeight="1" x14ac:dyDescent="0.15">
      <c r="A664" s="141" t="s">
        <v>129</v>
      </c>
      <c r="B664" s="123"/>
      <c r="C664" s="123"/>
      <c r="D664" s="123"/>
      <c r="E664" s="123"/>
      <c r="F664" s="142">
        <f>SUM(F576:F588)+SUM(H603:H605)+SUM(L612)</f>
        <v>1121592.18</v>
      </c>
      <c r="G664" s="142">
        <f>SUM(G576:G588)+SUM(I603:I605)+L613</f>
        <v>443809.2</v>
      </c>
      <c r="H664" s="142">
        <f>SUM(H576:H588)+SUM(J603:J605)+L614</f>
        <v>634836.44999999995</v>
      </c>
      <c r="I664" s="13">
        <f>SUM(F664:H664)</f>
        <v>2200237.83</v>
      </c>
      <c r="J664" s="13"/>
      <c r="K664" s="13"/>
      <c r="L664" s="13"/>
      <c r="M664" s="9"/>
    </row>
    <row r="665" spans="1:13" s="3" customFormat="1" ht="12.2" customHeight="1" x14ac:dyDescent="0.15">
      <c r="A665" s="1" t="s">
        <v>130</v>
      </c>
      <c r="F665" s="13">
        <f>F661-SUM(F662:F664)</f>
        <v>18701903.789055083</v>
      </c>
      <c r="G665" s="13">
        <f>G661-SUM(G662:G664)</f>
        <v>9675608.5518743712</v>
      </c>
      <c r="H665" s="13">
        <f>H661-SUM(H662:H664)</f>
        <v>11658228.119070547</v>
      </c>
      <c r="I665" s="13">
        <f>I661-SUM(I662:I664)</f>
        <v>40035740.459999993</v>
      </c>
      <c r="J665" s="13"/>
      <c r="K665" s="13"/>
      <c r="L665" s="13"/>
      <c r="M665" s="8"/>
    </row>
    <row r="666" spans="1:13" s="3" customFormat="1" ht="12.2" customHeight="1" x14ac:dyDescent="0.2">
      <c r="A666" s="1" t="s">
        <v>131</v>
      </c>
      <c r="F666" s="182">
        <v>796.98</v>
      </c>
      <c r="G666" s="183">
        <v>411.25</v>
      </c>
      <c r="H666" s="183">
        <v>484.79</v>
      </c>
      <c r="I666" s="13">
        <f>SUM(F666:H666)</f>
        <v>1693.02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23465.96</v>
      </c>
      <c r="G668" s="13">
        <f>ROUND(G665/G666,2)</f>
        <v>23527.32</v>
      </c>
      <c r="H668" s="13">
        <f>ROUND(H665/H666,2)</f>
        <v>24048</v>
      </c>
      <c r="I668" s="13">
        <f>ROUND(I665/I666,2)</f>
        <v>23647.53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6">IF(AND(F666=0,F665&gt;0),F665*-1,"")</f>
        <v/>
      </c>
      <c r="G670" s="73" t="str">
        <f t="shared" si="56"/>
        <v/>
      </c>
      <c r="H670" s="73" t="str">
        <f t="shared" si="56"/>
        <v/>
      </c>
      <c r="I670" s="13">
        <f>SUM(F670:H670)</f>
        <v>0</v>
      </c>
      <c r="J670" s="13"/>
      <c r="K670" s="13"/>
      <c r="L670" s="13"/>
      <c r="M670" s="9"/>
    </row>
    <row r="671" spans="1:13" s="3" customFormat="1" ht="12.2" customHeight="1" x14ac:dyDescent="0.15">
      <c r="A671" s="1" t="s">
        <v>135</v>
      </c>
      <c r="F671" s="18"/>
      <c r="G671" s="18"/>
      <c r="H671" s="18">
        <v>-9.0500000000000007</v>
      </c>
      <c r="I671" s="13">
        <f>SUM(F671:H671)</f>
        <v>-9.0500000000000007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23465.96</v>
      </c>
      <c r="G673" s="13">
        <f>ROUND((G665+G670)/(G666+G671),2)</f>
        <v>23527.32</v>
      </c>
      <c r="H673" s="13">
        <f>ROUND((H665+H670)/(H666+H671),2)</f>
        <v>24505.46</v>
      </c>
      <c r="I673" s="13">
        <f>ROUND((I665+I670)/(I666+I671),2)</f>
        <v>23774.62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2022-2023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G118" sqref="G1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1626</v>
      </c>
      <c r="D2" s="320"/>
      <c r="E2" s="320"/>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179673.51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259">
        <v>103716.93</v>
      </c>
      <c r="F9" s="271" t="s">
        <v>1627</v>
      </c>
    </row>
    <row r="10" spans="2:8" x14ac:dyDescent="0.25">
      <c r="B10" s="270"/>
      <c r="C10" s="270"/>
      <c r="D10" s="270"/>
      <c r="E10" s="270"/>
      <c r="F10" s="270"/>
    </row>
    <row r="11" spans="2:8" x14ac:dyDescent="0.25">
      <c r="B11" s="270"/>
      <c r="C11" s="274" t="s">
        <v>1631</v>
      </c>
      <c r="D11" s="271" t="s">
        <v>1634</v>
      </c>
      <c r="E11" s="259"/>
      <c r="F11" s="271" t="s">
        <v>1628</v>
      </c>
    </row>
    <row r="12" spans="2:8" x14ac:dyDescent="0.25">
      <c r="B12" s="270"/>
      <c r="C12" s="270"/>
      <c r="D12" s="271"/>
      <c r="E12" s="270"/>
      <c r="F12" s="270"/>
    </row>
    <row r="13" spans="2:8" x14ac:dyDescent="0.25">
      <c r="B13" s="270"/>
      <c r="C13" s="271" t="s">
        <v>1621</v>
      </c>
      <c r="D13" s="271" t="s">
        <v>1635</v>
      </c>
      <c r="E13" s="259">
        <v>75956.58</v>
      </c>
      <c r="F13" s="271" t="s">
        <v>1629</v>
      </c>
    </row>
    <row r="14" spans="2:8" x14ac:dyDescent="0.25">
      <c r="B14" s="270"/>
      <c r="C14" s="270"/>
      <c r="D14" s="271"/>
      <c r="E14" s="270"/>
      <c r="F14" s="270"/>
    </row>
    <row r="15" spans="2:8" x14ac:dyDescent="0.25">
      <c r="B15" s="270"/>
      <c r="C15" s="271" t="s">
        <v>1623</v>
      </c>
      <c r="D15" s="271" t="s">
        <v>1636</v>
      </c>
      <c r="E15" s="259"/>
      <c r="F15" s="271" t="s">
        <v>1630</v>
      </c>
    </row>
    <row r="16" spans="2:8" x14ac:dyDescent="0.25">
      <c r="B16" s="270"/>
      <c r="C16" s="270"/>
      <c r="D16" s="270"/>
      <c r="E16" s="270"/>
      <c r="F16" s="270"/>
    </row>
    <row r="17" spans="2:8" x14ac:dyDescent="0.25">
      <c r="B17" s="270"/>
      <c r="C17" s="271" t="s">
        <v>1622</v>
      </c>
      <c r="D17" s="271" t="s">
        <v>1637</v>
      </c>
      <c r="E17" s="259"/>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G118" sqref="G1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1559</v>
      </c>
      <c r="B1" s="321"/>
      <c r="C1" s="321"/>
      <c r="D1" s="321"/>
      <c r="E1" s="321"/>
      <c r="F1" s="321"/>
      <c r="G1" s="321"/>
      <c r="H1" s="321"/>
    </row>
    <row r="2" spans="1:9" ht="15" x14ac:dyDescent="0.2">
      <c r="A2" s="321" t="s">
        <v>1795</v>
      </c>
      <c r="B2" s="321"/>
      <c r="C2" s="321"/>
      <c r="D2" s="321"/>
      <c r="E2" s="321"/>
      <c r="F2" s="321"/>
      <c r="G2" s="321"/>
      <c r="H2" s="321"/>
    </row>
    <row r="3" spans="1:9" ht="15.75" x14ac:dyDescent="0.25">
      <c r="A3" s="243" t="s">
        <v>1573</v>
      </c>
      <c r="B3" s="244" t="s">
        <v>1606</v>
      </c>
      <c r="C3" s="242"/>
      <c r="D3" s="242"/>
      <c r="E3" s="242"/>
      <c r="F3" s="242"/>
      <c r="G3" s="242"/>
      <c r="H3" s="242"/>
      <c r="I3" t="s">
        <v>1605</v>
      </c>
    </row>
    <row r="4" spans="1:9" x14ac:dyDescent="0.2">
      <c r="I4" t="s">
        <v>1606</v>
      </c>
    </row>
    <row r="5" spans="1:9" ht="15.75" x14ac:dyDescent="0.25">
      <c r="A5" s="238" t="s">
        <v>900</v>
      </c>
      <c r="B5" s="322" t="str">
        <f>'DOE25'!A2</f>
        <v>Kearsarge Regional</v>
      </c>
      <c r="C5" s="323"/>
      <c r="D5" s="323"/>
      <c r="E5" s="323"/>
      <c r="F5" s="323"/>
    </row>
    <row r="8" spans="1:9" ht="18" x14ac:dyDescent="0.25">
      <c r="A8" s="239" t="s">
        <v>1560</v>
      </c>
      <c r="F8" s="246" t="s">
        <v>1578</v>
      </c>
    </row>
    <row r="9" spans="1:9" ht="15" x14ac:dyDescent="0.2">
      <c r="A9" s="237" t="s">
        <v>1561</v>
      </c>
      <c r="B9" s="240">
        <f>'DOE25'!G97</f>
        <v>359599.09</v>
      </c>
      <c r="F9" s="237" t="s">
        <v>1574</v>
      </c>
    </row>
    <row r="10" spans="1:9" ht="15" x14ac:dyDescent="0.2">
      <c r="A10" s="237" t="s">
        <v>1562</v>
      </c>
      <c r="B10" s="240">
        <f>'DOE25'!G112-'DOE25'!G97</f>
        <v>68311.22000000003</v>
      </c>
      <c r="F10" s="237" t="s">
        <v>1575</v>
      </c>
    </row>
    <row r="11" spans="1:9" ht="15" x14ac:dyDescent="0.2">
      <c r="A11" s="237" t="s">
        <v>1563</v>
      </c>
      <c r="B11" s="240">
        <f>'DOE25'!G140</f>
        <v>5597.26</v>
      </c>
      <c r="F11" s="237" t="s">
        <v>1576</v>
      </c>
    </row>
    <row r="12" spans="1:9" ht="15" x14ac:dyDescent="0.2">
      <c r="A12" s="237" t="s">
        <v>1564</v>
      </c>
      <c r="B12" s="240">
        <f>'DOE25'!G170</f>
        <v>267968.01</v>
      </c>
      <c r="F12" s="237" t="s">
        <v>1577</v>
      </c>
    </row>
    <row r="13" spans="1:9" ht="15" x14ac:dyDescent="0.2">
      <c r="A13" s="237" t="s">
        <v>1565</v>
      </c>
      <c r="B13" s="240">
        <f>'DOE25'!G193-'DOE25'!G180</f>
        <v>0</v>
      </c>
      <c r="F13" s="237" t="s">
        <v>1587</v>
      </c>
    </row>
    <row r="14" spans="1:9" ht="18" x14ac:dyDescent="0.25">
      <c r="A14" s="239" t="s">
        <v>732</v>
      </c>
      <c r="B14" s="241">
        <f>SUM(B9:B13)</f>
        <v>701475.58000000007</v>
      </c>
    </row>
    <row r="16" spans="1:9" ht="18" x14ac:dyDescent="0.25">
      <c r="A16" s="239" t="s">
        <v>786</v>
      </c>
      <c r="F16" s="246" t="s">
        <v>1579</v>
      </c>
    </row>
    <row r="17" spans="1:6" ht="15" x14ac:dyDescent="0.2">
      <c r="A17" s="237" t="s">
        <v>1566</v>
      </c>
      <c r="B17" s="240">
        <f>'DOE25'!L363-'DOE25'!L362</f>
        <v>745813.53</v>
      </c>
      <c r="F17" s="237" t="s">
        <v>1580</v>
      </c>
    </row>
    <row r="18" spans="1:6" ht="15" x14ac:dyDescent="0.2">
      <c r="A18" s="237" t="s">
        <v>1567</v>
      </c>
      <c r="B18" s="250"/>
      <c r="F18" s="246" t="s">
        <v>1604</v>
      </c>
    </row>
    <row r="19" spans="1:6" ht="18" x14ac:dyDescent="0.25">
      <c r="A19" s="239" t="s">
        <v>725</v>
      </c>
      <c r="B19" s="241">
        <f>SUM(B17:B18)</f>
        <v>745813.53</v>
      </c>
    </row>
    <row r="21" spans="1:6" ht="18.75" thickBot="1" x14ac:dyDescent="0.3">
      <c r="A21" s="239" t="s">
        <v>1568</v>
      </c>
    </row>
    <row r="22" spans="1:6" ht="18.75" thickTop="1" x14ac:dyDescent="0.25">
      <c r="A22" s="239" t="s">
        <v>1569</v>
      </c>
      <c r="B22" s="245">
        <f>B14-B19</f>
        <v>-44337.949999999953</v>
      </c>
      <c r="F22" s="237" t="s">
        <v>1581</v>
      </c>
    </row>
    <row r="26" spans="1:6" ht="18" x14ac:dyDescent="0.25">
      <c r="A26" s="239" t="s">
        <v>186</v>
      </c>
    </row>
    <row r="27" spans="1:6" ht="15" x14ac:dyDescent="0.2">
      <c r="A27" s="237" t="s">
        <v>1570</v>
      </c>
      <c r="B27" s="240">
        <f>'DOE25'!G180</f>
        <v>0</v>
      </c>
      <c r="F27" s="237" t="s">
        <v>1582</v>
      </c>
    </row>
    <row r="28" spans="1:6" ht="15" x14ac:dyDescent="0.2">
      <c r="A28" s="237" t="s">
        <v>1572</v>
      </c>
      <c r="B28" s="240">
        <f>'DOE25'!L362</f>
        <v>0</v>
      </c>
      <c r="F28" s="237" t="s">
        <v>1583</v>
      </c>
    </row>
    <row r="31" spans="1:6" ht="15" x14ac:dyDescent="0.2">
      <c r="A31" s="237" t="s">
        <v>1797</v>
      </c>
      <c r="B31" s="240">
        <f>'DOE25'!G466</f>
        <v>83191.38</v>
      </c>
      <c r="F31" s="237" t="s">
        <v>1584</v>
      </c>
    </row>
    <row r="33" spans="1:6" ht="15" x14ac:dyDescent="0.2">
      <c r="A33" s="237" t="s">
        <v>1798</v>
      </c>
      <c r="B33" s="240">
        <f>'DOE25'!G477</f>
        <v>38853.430000000051</v>
      </c>
      <c r="F33" s="237" t="s">
        <v>1585</v>
      </c>
    </row>
    <row r="36" spans="1:6" ht="15" x14ac:dyDescent="0.2">
      <c r="A36" s="237" t="s">
        <v>1571</v>
      </c>
      <c r="B36" s="251">
        <v>37313</v>
      </c>
      <c r="F36" s="246"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G118" sqref="G118"/>
    </sheetView>
  </sheetViews>
  <sheetFormatPr defaultRowHeight="11.25" x14ac:dyDescent="0.2"/>
  <cols>
    <col min="1" max="1" width="26.6640625" customWidth="1"/>
    <col min="2" max="2" width="33.83203125" customWidth="1"/>
    <col min="3" max="3" width="29.5" customWidth="1"/>
  </cols>
  <sheetData>
    <row r="1" spans="1:3" x14ac:dyDescent="0.2">
      <c r="A1" s="170" t="s">
        <v>781</v>
      </c>
      <c r="B1" s="169" t="str">
        <f>'DOE25'!A2</f>
        <v>Kearsarge Regional</v>
      </c>
      <c r="C1" s="174" t="s">
        <v>823</v>
      </c>
    </row>
    <row r="2" spans="1:3" x14ac:dyDescent="0.2">
      <c r="A2" s="170"/>
      <c r="B2" s="169"/>
    </row>
    <row r="3" spans="1:3" x14ac:dyDescent="0.2">
      <c r="A3" s="320" t="s">
        <v>780</v>
      </c>
      <c r="B3" s="320"/>
      <c r="C3" s="320"/>
    </row>
    <row r="4" spans="1:3" x14ac:dyDescent="0.2">
      <c r="A4" s="173"/>
      <c r="B4" s="24" t="str">
        <f>'DOE25'!H1</f>
        <v>DOE 25  2022-2023</v>
      </c>
      <c r="C4" s="173"/>
    </row>
    <row r="5" spans="1:3" x14ac:dyDescent="0.2">
      <c r="A5" s="170"/>
      <c r="B5" s="169"/>
    </row>
    <row r="6" spans="1:3" x14ac:dyDescent="0.2">
      <c r="A6" s="164"/>
      <c r="B6" s="326" t="s">
        <v>779</v>
      </c>
      <c r="C6" s="326"/>
    </row>
    <row r="7" spans="1:3" x14ac:dyDescent="0.2">
      <c r="A7" s="175" t="s">
        <v>782</v>
      </c>
      <c r="B7" s="324" t="s">
        <v>778</v>
      </c>
      <c r="C7" s="325"/>
    </row>
    <row r="8" spans="1:3" x14ac:dyDescent="0.2">
      <c r="B8" s="165" t="s">
        <v>54</v>
      </c>
      <c r="C8" s="165" t="s">
        <v>772</v>
      </c>
    </row>
    <row r="9" spans="1:3" x14ac:dyDescent="0.2">
      <c r="A9" s="32" t="s">
        <v>773</v>
      </c>
      <c r="B9" s="166">
        <f>'DOE25'!F198+'DOE25'!F216+'DOE25'!F234+'DOE25'!F277+'DOE25'!F296+'DOE25'!F315</f>
        <v>11431313.82</v>
      </c>
      <c r="C9" s="166">
        <f>'DOE25'!G198+'DOE25'!G216+'DOE25'!G234+'DOE25'!G277+'DOE25'!G296+'DOE25'!G315</f>
        <v>6438298.0299999993</v>
      </c>
    </row>
    <row r="10" spans="1:3" x14ac:dyDescent="0.2">
      <c r="A10" t="s">
        <v>775</v>
      </c>
      <c r="B10" s="176">
        <v>10388961.5</v>
      </c>
      <c r="C10" s="176">
        <v>6183791.3300000001</v>
      </c>
    </row>
    <row r="11" spans="1:3" x14ac:dyDescent="0.2">
      <c r="A11" t="s">
        <v>776</v>
      </c>
      <c r="B11" s="176">
        <v>77131.679999999993</v>
      </c>
      <c r="C11" s="176">
        <v>38613.550000000003</v>
      </c>
    </row>
    <row r="12" spans="1:3" x14ac:dyDescent="0.2">
      <c r="A12" t="s">
        <v>777</v>
      </c>
      <c r="B12" s="176">
        <v>965220.64</v>
      </c>
      <c r="C12" s="176">
        <v>215893.15</v>
      </c>
    </row>
    <row r="13" spans="1:3" x14ac:dyDescent="0.2">
      <c r="A13" t="str">
        <f>IF(B9=B13,IF(C9=C13,"Check Total OK","Check Total Error"),"Check Total Error")</f>
        <v>Check Total OK</v>
      </c>
      <c r="B13" s="168">
        <f>SUM(B10:B12)</f>
        <v>11431313.82</v>
      </c>
      <c r="C13" s="168">
        <f>SUM(C10:C12)</f>
        <v>6438298.0300000003</v>
      </c>
    </row>
    <row r="14" spans="1:3" x14ac:dyDescent="0.2">
      <c r="B14" s="167"/>
      <c r="C14" s="167"/>
    </row>
    <row r="15" spans="1:3" x14ac:dyDescent="0.2">
      <c r="B15" s="326" t="s">
        <v>779</v>
      </c>
      <c r="C15" s="326"/>
    </row>
    <row r="16" spans="1:3" x14ac:dyDescent="0.2">
      <c r="A16" s="175" t="s">
        <v>783</v>
      </c>
      <c r="B16" s="324" t="s">
        <v>703</v>
      </c>
      <c r="C16" s="325"/>
    </row>
    <row r="17" spans="1:3" x14ac:dyDescent="0.2">
      <c r="B17" s="165" t="s">
        <v>54</v>
      </c>
      <c r="C17" s="165" t="s">
        <v>772</v>
      </c>
    </row>
    <row r="18" spans="1:3" x14ac:dyDescent="0.2">
      <c r="A18" s="32" t="s">
        <v>773</v>
      </c>
      <c r="B18" s="166">
        <f>'DOE25'!F199+'DOE25'!F217+'DOE25'!F235+'DOE25'!F278+'DOE25'!F297+'DOE25'!F316</f>
        <v>4427676</v>
      </c>
      <c r="C18" s="166">
        <f>'DOE25'!G199+'DOE25'!G217+'DOE25'!G235+'DOE25'!G278+'DOE25'!G297+'DOE25'!G316</f>
        <v>2170452.1</v>
      </c>
    </row>
    <row r="19" spans="1:3" x14ac:dyDescent="0.2">
      <c r="A19" t="s">
        <v>775</v>
      </c>
      <c r="B19" s="176">
        <v>2669764.21</v>
      </c>
      <c r="C19" s="176">
        <v>1580852.14</v>
      </c>
    </row>
    <row r="20" spans="1:3" x14ac:dyDescent="0.2">
      <c r="A20" t="s">
        <v>776</v>
      </c>
      <c r="B20" s="176">
        <v>1415651.39</v>
      </c>
      <c r="C20" s="176">
        <v>569849.56999999995</v>
      </c>
    </row>
    <row r="21" spans="1:3" x14ac:dyDescent="0.2">
      <c r="A21" t="s">
        <v>777</v>
      </c>
      <c r="B21" s="176">
        <v>342260.4</v>
      </c>
      <c r="C21" s="176">
        <v>19750.39</v>
      </c>
    </row>
    <row r="22" spans="1:3" x14ac:dyDescent="0.2">
      <c r="A22" t="str">
        <f>IF(B18=B22,IF(C18=C22,"Check Total OK","Check Total Error"),"Check Total Error")</f>
        <v>Check Total OK</v>
      </c>
      <c r="B22" s="168">
        <f>SUM(B19:B21)</f>
        <v>4427676</v>
      </c>
      <c r="C22" s="168">
        <f>SUM(C19:C21)</f>
        <v>2170452.1</v>
      </c>
    </row>
    <row r="23" spans="1:3" x14ac:dyDescent="0.2">
      <c r="B23" s="167"/>
      <c r="C23" s="167"/>
    </row>
    <row r="24" spans="1:3" x14ac:dyDescent="0.2">
      <c r="B24" s="326" t="s">
        <v>779</v>
      </c>
      <c r="C24" s="326"/>
    </row>
    <row r="25" spans="1:3" x14ac:dyDescent="0.2">
      <c r="A25" s="175" t="s">
        <v>784</v>
      </c>
      <c r="B25" s="324" t="s">
        <v>704</v>
      </c>
      <c r="C25" s="325"/>
    </row>
    <row r="26" spans="1:3" x14ac:dyDescent="0.2">
      <c r="B26" s="165" t="s">
        <v>54</v>
      </c>
      <c r="C26" s="165" t="s">
        <v>772</v>
      </c>
    </row>
    <row r="27" spans="1:3" x14ac:dyDescent="0.2">
      <c r="A27" s="32" t="s">
        <v>773</v>
      </c>
      <c r="B27" s="171">
        <f>'DOE25'!F200+'DOE25'!F218+'DOE25'!F236+'DOE25'!F279+'DOE25'!F298+'DOE25'!F317</f>
        <v>0</v>
      </c>
      <c r="C27" s="171">
        <f>'DOE25'!G200+'DOE25'!G218+'DOE25'!G236+'DOE25'!G279+'DOE25'!G298+'DOE25'!G317</f>
        <v>0</v>
      </c>
    </row>
    <row r="28" spans="1:3" x14ac:dyDescent="0.2">
      <c r="A28" t="s">
        <v>775</v>
      </c>
      <c r="B28" s="176"/>
      <c r="C28" s="176"/>
    </row>
    <row r="29" spans="1:3" x14ac:dyDescent="0.2">
      <c r="A29" t="s">
        <v>776</v>
      </c>
      <c r="B29" s="176"/>
      <c r="C29" s="176"/>
    </row>
    <row r="30" spans="1:3" x14ac:dyDescent="0.2">
      <c r="A30" t="s">
        <v>777</v>
      </c>
      <c r="B30" s="176"/>
      <c r="C30" s="176"/>
    </row>
    <row r="31" spans="1:3" x14ac:dyDescent="0.2">
      <c r="A31" t="str">
        <f>IF(B27=B31,IF(C27=C31,"Check Total OK","Check Total Error"),"Check Total Error")</f>
        <v>Check Total OK</v>
      </c>
      <c r="B31" s="168">
        <f>SUM(B28:B30)</f>
        <v>0</v>
      </c>
      <c r="C31" s="168">
        <f>SUM(C28:C30)</f>
        <v>0</v>
      </c>
    </row>
    <row r="33" spans="1:3" x14ac:dyDescent="0.2">
      <c r="B33" s="326" t="s">
        <v>779</v>
      </c>
      <c r="C33" s="326"/>
    </row>
    <row r="34" spans="1:3" x14ac:dyDescent="0.2">
      <c r="A34" s="175" t="s">
        <v>785</v>
      </c>
      <c r="B34" s="324" t="s">
        <v>705</v>
      </c>
      <c r="C34" s="325"/>
    </row>
    <row r="35" spans="1:3" x14ac:dyDescent="0.2">
      <c r="B35" s="165" t="s">
        <v>54</v>
      </c>
      <c r="C35" s="165" t="s">
        <v>772</v>
      </c>
    </row>
    <row r="36" spans="1:3" x14ac:dyDescent="0.2">
      <c r="A36" s="32" t="s">
        <v>773</v>
      </c>
      <c r="B36" s="172">
        <f>'DOE25'!F201+'DOE25'!F219+'DOE25'!F237+'DOE25'!F280+'DOE25'!F299+'DOE25'!F318</f>
        <v>339907.63</v>
      </c>
      <c r="C36" s="172">
        <f>'DOE25'!G201+'DOE25'!G219+'DOE25'!G237+'DOE25'!G280+'DOE25'!G299+'DOE25'!G318</f>
        <v>65338.28</v>
      </c>
    </row>
    <row r="37" spans="1:3" x14ac:dyDescent="0.2">
      <c r="A37" t="s">
        <v>775</v>
      </c>
      <c r="B37" s="176">
        <v>173925.5</v>
      </c>
      <c r="C37" s="176">
        <v>46816.03</v>
      </c>
    </row>
    <row r="38" spans="1:3" x14ac:dyDescent="0.2">
      <c r="A38" t="s">
        <v>776</v>
      </c>
      <c r="B38" s="176">
        <v>11420.22</v>
      </c>
      <c r="C38" s="176">
        <v>4053.77</v>
      </c>
    </row>
    <row r="39" spans="1:3" x14ac:dyDescent="0.2">
      <c r="A39" t="s">
        <v>777</v>
      </c>
      <c r="B39" s="176">
        <v>154561.91</v>
      </c>
      <c r="C39" s="176">
        <v>14468.48</v>
      </c>
    </row>
    <row r="40" spans="1:3" x14ac:dyDescent="0.2">
      <c r="A40" t="str">
        <f>IF(B36=B40,IF(C36=C40,"Check Total OK","Check Total Error"),"Check Total Error")</f>
        <v>Check Total OK</v>
      </c>
      <c r="B40" s="168">
        <f>SUM(B37:B39)</f>
        <v>339907.63</v>
      </c>
      <c r="C40" s="168">
        <f>SUM(C37:C39)</f>
        <v>65338.28</v>
      </c>
    </row>
    <row r="41" spans="1:3" x14ac:dyDescent="0.2">
      <c r="B41" s="167"/>
      <c r="C41" s="167"/>
    </row>
    <row r="42" spans="1:3" x14ac:dyDescent="0.2">
      <c r="A42" s="32" t="s">
        <v>821</v>
      </c>
      <c r="B42" s="167"/>
      <c r="C42" s="167"/>
    </row>
    <row r="43" spans="1:3" x14ac:dyDescent="0.2">
      <c r="A43" t="s">
        <v>825</v>
      </c>
      <c r="B43" s="167"/>
      <c r="C43" s="167"/>
    </row>
    <row r="44" spans="1:3" x14ac:dyDescent="0.2">
      <c r="A44" t="s">
        <v>826</v>
      </c>
    </row>
    <row r="45" spans="1:3" x14ac:dyDescent="0.2">
      <c r="A45" t="s">
        <v>827</v>
      </c>
    </row>
    <row r="48" spans="1:3" x14ac:dyDescent="0.2">
      <c r="A48" s="194" t="s">
        <v>774</v>
      </c>
    </row>
    <row r="49" spans="1:1" x14ac:dyDescent="0.2">
      <c r="A49" s="197" t="s">
        <v>828</v>
      </c>
    </row>
    <row r="50" spans="1:1" x14ac:dyDescent="0.2">
      <c r="A50" s="197" t="s">
        <v>822</v>
      </c>
    </row>
    <row r="51" spans="1:1" x14ac:dyDescent="0.2">
      <c r="A51" s="197" t="s">
        <v>829</v>
      </c>
    </row>
    <row r="52" spans="1:1" x14ac:dyDescent="0.2">
      <c r="A52" s="198"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G118" sqref="G118"/>
      <selection pane="bottomLeft" activeCell="D38" sqref="D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889</v>
      </c>
      <c r="B1" s="329"/>
      <c r="C1" s="329"/>
      <c r="D1" s="329"/>
      <c r="E1" s="329"/>
      <c r="F1" s="329"/>
      <c r="G1" s="329"/>
      <c r="H1" s="329"/>
      <c r="I1" s="130"/>
    </row>
    <row r="2" spans="1:9" x14ac:dyDescent="0.2">
      <c r="A2" s="32" t="s">
        <v>713</v>
      </c>
      <c r="B2" s="195" t="str">
        <f>'DOE25'!A2</f>
        <v>Kearsarge Regional</v>
      </c>
      <c r="C2" s="207"/>
      <c r="D2" s="130" t="s">
        <v>787</v>
      </c>
      <c r="E2" s="130" t="s">
        <v>789</v>
      </c>
      <c r="F2" s="327" t="s">
        <v>888</v>
      </c>
      <c r="G2" s="328"/>
      <c r="H2" s="328"/>
      <c r="I2" s="202"/>
    </row>
    <row r="3" spans="1:9" x14ac:dyDescent="0.2">
      <c r="A3" s="130" t="s">
        <v>94</v>
      </c>
      <c r="B3" s="165" t="s">
        <v>10</v>
      </c>
      <c r="C3" s="203" t="s">
        <v>5</v>
      </c>
      <c r="D3" s="130" t="s">
        <v>788</v>
      </c>
      <c r="E3" s="130" t="s">
        <v>790</v>
      </c>
      <c r="F3" s="201" t="s">
        <v>1607</v>
      </c>
      <c r="G3" s="130" t="s">
        <v>886</v>
      </c>
      <c r="H3" s="130" t="s">
        <v>59</v>
      </c>
      <c r="I3" s="178" t="s">
        <v>793</v>
      </c>
    </row>
    <row r="4" spans="1:9" x14ac:dyDescent="0.2">
      <c r="A4" s="185" t="s">
        <v>795</v>
      </c>
      <c r="B4" s="185" t="s">
        <v>811</v>
      </c>
      <c r="C4" s="204" t="s">
        <v>786</v>
      </c>
      <c r="D4" s="185" t="s">
        <v>812</v>
      </c>
      <c r="E4" s="185" t="s">
        <v>812</v>
      </c>
      <c r="F4" s="177" t="s">
        <v>1784</v>
      </c>
      <c r="G4" s="185" t="s">
        <v>792</v>
      </c>
      <c r="H4" s="185" t="s">
        <v>806</v>
      </c>
      <c r="I4" s="186" t="s">
        <v>794</v>
      </c>
    </row>
    <row r="5" spans="1:9" x14ac:dyDescent="0.2">
      <c r="A5" s="31">
        <v>1000</v>
      </c>
      <c r="B5" t="s">
        <v>195</v>
      </c>
      <c r="C5" s="205">
        <f t="shared" ref="C5:C19" si="0">SUM(D5:I5)</f>
        <v>27316107.199999999</v>
      </c>
      <c r="D5" s="19">
        <f>SUM('DOE25'!L198:L201)+SUM('DOE25'!L216:L219)+SUM('DOE25'!L234:L237)-F5-G5-H5</f>
        <v>26237697</v>
      </c>
      <c r="E5" s="179"/>
      <c r="F5" s="180">
        <v>457778.03</v>
      </c>
      <c r="G5" s="19">
        <f>SUM('DOE25'!J198:J201)+SUM('DOE25'!J216:J219)+SUM('DOE25'!J234:J237)</f>
        <v>552135.63</v>
      </c>
      <c r="H5" s="19">
        <f>SUM('DOE25'!K198:K201)+SUM('DOE25'!K216:K219)+SUM('DOE25'!K234:K237)</f>
        <v>68496.540000000008</v>
      </c>
      <c r="I5" s="191"/>
    </row>
    <row r="6" spans="1:9" x14ac:dyDescent="0.2">
      <c r="A6" s="31">
        <v>2100</v>
      </c>
      <c r="B6" t="s">
        <v>796</v>
      </c>
      <c r="C6" s="205">
        <f t="shared" si="0"/>
        <v>1964768.8</v>
      </c>
      <c r="D6" s="19">
        <f>'DOE25'!L203+'DOE25'!L221+'DOE25'!L239-F6-G6-H6</f>
        <v>1964421.11</v>
      </c>
      <c r="E6" s="179"/>
      <c r="F6" s="180"/>
      <c r="G6" s="19">
        <f>'DOE25'!J203+'DOE25'!J221+'DOE25'!J239</f>
        <v>231.69</v>
      </c>
      <c r="H6" s="19">
        <f>'DOE25'!K203+'DOE25'!K221+'DOE25'!K239</f>
        <v>116</v>
      </c>
      <c r="I6" s="191"/>
    </row>
    <row r="7" spans="1:9" x14ac:dyDescent="0.2">
      <c r="A7" s="31">
        <v>2200</v>
      </c>
      <c r="B7" t="s">
        <v>820</v>
      </c>
      <c r="C7" s="205">
        <f t="shared" si="0"/>
        <v>709578.68</v>
      </c>
      <c r="D7" s="19">
        <f>'DOE25'!L204+'DOE25'!L222+'DOE25'!L240-F7-G7-H7</f>
        <v>705868.07000000007</v>
      </c>
      <c r="E7" s="179"/>
      <c r="F7" s="180"/>
      <c r="G7" s="19">
        <f>'DOE25'!J204+'DOE25'!J222+'DOE25'!J240</f>
        <v>3710.6099999999997</v>
      </c>
      <c r="H7" s="19">
        <f>'DOE25'!K204+'DOE25'!K222+'DOE25'!K240</f>
        <v>0</v>
      </c>
      <c r="I7" s="191"/>
    </row>
    <row r="8" spans="1:9" x14ac:dyDescent="0.2">
      <c r="A8" s="31">
        <v>2300</v>
      </c>
      <c r="B8" t="s">
        <v>797</v>
      </c>
      <c r="C8" s="205">
        <f t="shared" si="0"/>
        <v>2076223.98</v>
      </c>
      <c r="D8" s="179"/>
      <c r="E8" s="19">
        <f>'DOE25'!L205+'DOE25'!L223+'DOE25'!L241-F8-G8-H8-D9-D11</f>
        <v>2060232.69</v>
      </c>
      <c r="F8" s="180"/>
      <c r="G8" s="19">
        <f>'DOE25'!J205+'DOE25'!J223+'DOE25'!J241</f>
        <v>1296.9299999999998</v>
      </c>
      <c r="H8" s="19">
        <f>'DOE25'!K205+'DOE25'!K223+'DOE25'!K241</f>
        <v>14694.36</v>
      </c>
      <c r="I8" s="191"/>
    </row>
    <row r="9" spans="1:9" ht="14.25" x14ac:dyDescent="0.2">
      <c r="A9" s="31">
        <v>2310</v>
      </c>
      <c r="B9" s="71" t="s">
        <v>887</v>
      </c>
      <c r="C9" s="205">
        <f t="shared" si="0"/>
        <v>49350.71</v>
      </c>
      <c r="D9" s="180">
        <v>49350.71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1783</v>
      </c>
      <c r="C11" s="205">
        <f t="shared" si="0"/>
        <v>0</v>
      </c>
      <c r="D11" s="180"/>
      <c r="E11" s="179"/>
      <c r="F11" s="179"/>
      <c r="G11" s="179"/>
      <c r="H11" s="179"/>
      <c r="I11" s="191"/>
    </row>
    <row r="12" spans="1:9" x14ac:dyDescent="0.2">
      <c r="A12" s="31">
        <v>2400</v>
      </c>
      <c r="B12" t="s">
        <v>711</v>
      </c>
      <c r="C12" s="205">
        <f t="shared" si="0"/>
        <v>2670990.12</v>
      </c>
      <c r="D12" s="19">
        <f>'DOE25'!L206+'DOE25'!L224+'DOE25'!L242-F12-G12-H12</f>
        <v>2656549.2400000002</v>
      </c>
      <c r="E12" s="179"/>
      <c r="F12" s="180"/>
      <c r="G12" s="19">
        <f>'DOE25'!J206+'DOE25'!J224+'DOE25'!J242</f>
        <v>1309.8800000000001</v>
      </c>
      <c r="H12" s="19">
        <f>'DOE25'!K206+'DOE25'!K224+'DOE25'!K242</f>
        <v>13131</v>
      </c>
      <c r="I12" s="191"/>
    </row>
    <row r="13" spans="1:9" x14ac:dyDescent="0.2">
      <c r="A13" s="31">
        <v>2500</v>
      </c>
      <c r="B13" t="s">
        <v>798</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818</v>
      </c>
      <c r="C14" s="205">
        <f t="shared" si="0"/>
        <v>5141677.26</v>
      </c>
      <c r="D14" s="19">
        <f>'DOE25'!L208+'DOE25'!L226+'DOE25'!L244-F14-G14-H14</f>
        <v>3087104.4799999995</v>
      </c>
      <c r="E14" s="179"/>
      <c r="F14" s="180">
        <v>2018370.78</v>
      </c>
      <c r="G14" s="19">
        <f>'DOE25'!J208+'DOE25'!J226+'DOE25'!J244</f>
        <v>36202</v>
      </c>
      <c r="H14" s="19">
        <f>'DOE25'!K208+'DOE25'!K226+'DOE25'!K244</f>
        <v>0</v>
      </c>
      <c r="I14" s="191"/>
    </row>
    <row r="15" spans="1:9" x14ac:dyDescent="0.2">
      <c r="A15" s="31">
        <v>2700</v>
      </c>
      <c r="B15" t="s">
        <v>799</v>
      </c>
      <c r="C15" s="205">
        <f t="shared" si="0"/>
        <v>2110142.59</v>
      </c>
      <c r="D15" s="19">
        <f>'DOE25'!L209+'DOE25'!L227+'DOE25'!L245-F15-G15-H15</f>
        <v>267146.6399999999</v>
      </c>
      <c r="E15" s="179"/>
      <c r="F15" s="180">
        <v>1842995.95</v>
      </c>
      <c r="G15" s="19">
        <f>'DOE25'!J209+'DOE25'!J227+'DOE25'!J245</f>
        <v>0</v>
      </c>
      <c r="H15" s="19">
        <f>'DOE25'!K209+'DOE25'!K227+'DOE25'!K245</f>
        <v>0</v>
      </c>
      <c r="I15" s="191"/>
    </row>
    <row r="16" spans="1:9" x14ac:dyDescent="0.2">
      <c r="A16" s="31">
        <v>2800</v>
      </c>
      <c r="B16" t="s">
        <v>800</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801</v>
      </c>
      <c r="C17" s="205">
        <f t="shared" si="0"/>
        <v>71336.649999999994</v>
      </c>
      <c r="D17" s="19">
        <f>'DOE25'!L252-F17-G17-H17</f>
        <v>71336.649999999994</v>
      </c>
      <c r="E17" s="179"/>
      <c r="F17" s="180"/>
      <c r="G17" s="19">
        <f>'DOE25'!J252</f>
        <v>0</v>
      </c>
      <c r="H17" s="19">
        <f>'DOE25'!K252</f>
        <v>0</v>
      </c>
      <c r="I17" s="191"/>
    </row>
    <row r="18" spans="1:9" x14ac:dyDescent="0.2">
      <c r="A18" s="31">
        <v>1700</v>
      </c>
      <c r="B18" t="s">
        <v>802</v>
      </c>
      <c r="C18" s="205">
        <f t="shared" si="0"/>
        <v>0</v>
      </c>
      <c r="D18" s="19">
        <f>'DOE25'!L253-F18-G18-H18</f>
        <v>0</v>
      </c>
      <c r="E18" s="179"/>
      <c r="F18" s="180"/>
      <c r="G18" s="19">
        <f>'DOE25'!J253</f>
        <v>0</v>
      </c>
      <c r="H18" s="19">
        <f>'DOE25'!K253</f>
        <v>0</v>
      </c>
      <c r="I18" s="191"/>
    </row>
    <row r="19" spans="1:9" x14ac:dyDescent="0.2">
      <c r="A19" s="31">
        <v>1800</v>
      </c>
      <c r="B19" t="s">
        <v>803</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791</v>
      </c>
      <c r="C21" s="206"/>
      <c r="F21" s="200"/>
      <c r="I21" s="192"/>
    </row>
    <row r="22" spans="1:9" x14ac:dyDescent="0.2">
      <c r="A22" s="31">
        <v>4000</v>
      </c>
      <c r="B22" t="s">
        <v>819</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804</v>
      </c>
      <c r="B25" t="s">
        <v>805</v>
      </c>
      <c r="C25" s="205">
        <f>SUM(D25:I25)</f>
        <v>1942720.86</v>
      </c>
      <c r="D25" s="179"/>
      <c r="E25" s="179"/>
      <c r="F25" s="190"/>
      <c r="G25" s="179"/>
      <c r="H25" s="179"/>
      <c r="I25" s="189">
        <f>'DOE25'!L261+'DOE25'!L262+'DOE25'!L342+'DOE25'!L343</f>
        <v>1942720.86</v>
      </c>
    </row>
    <row r="26" spans="1:9" x14ac:dyDescent="0.2">
      <c r="A26" s="31"/>
      <c r="C26" s="206"/>
      <c r="F26" s="200"/>
      <c r="I26" s="192"/>
    </row>
    <row r="27" spans="1:9" x14ac:dyDescent="0.2">
      <c r="A27" s="31"/>
      <c r="B27" s="32" t="s">
        <v>807</v>
      </c>
      <c r="C27" s="206"/>
      <c r="F27" s="200"/>
      <c r="I27" s="192"/>
    </row>
    <row r="28" spans="1:9" x14ac:dyDescent="0.2">
      <c r="A28" s="31">
        <v>3100</v>
      </c>
      <c r="B28" t="s">
        <v>815</v>
      </c>
      <c r="C28" s="206"/>
      <c r="F28" s="200"/>
      <c r="I28" s="192"/>
    </row>
    <row r="29" spans="1:9" x14ac:dyDescent="0.2">
      <c r="A29" s="31"/>
      <c r="B29" s="71" t="s">
        <v>808</v>
      </c>
      <c r="C29" s="205">
        <f>SUM(D29:I29)</f>
        <v>481153.53</v>
      </c>
      <c r="D29" s="211">
        <f>'DOE25'!L359+'DOE25'!L360+'DOE25'!L361-'DOE25'!I368-F29-G29-H29-F39</f>
        <v>445561.04000000004</v>
      </c>
      <c r="E29" s="179"/>
      <c r="F29" s="179"/>
      <c r="G29" s="19">
        <f>'DOE25'!J359+'DOE25'!J360+'DOE25'!J361</f>
        <v>35592.490000000005</v>
      </c>
      <c r="H29" s="19">
        <f>'DOE25'!K359+'DOE25'!K360+'DOE25'!K361</f>
        <v>0</v>
      </c>
      <c r="I29" s="191"/>
    </row>
    <row r="30" spans="1:9" x14ac:dyDescent="0.2">
      <c r="A30" s="31"/>
      <c r="C30" s="206"/>
      <c r="D30" s="19"/>
      <c r="F30" s="200"/>
      <c r="G30" s="19"/>
      <c r="H30" s="19"/>
      <c r="I30" s="191"/>
    </row>
    <row r="31" spans="1:9" x14ac:dyDescent="0.2">
      <c r="A31" s="31" t="s">
        <v>817</v>
      </c>
      <c r="B31" t="s">
        <v>816</v>
      </c>
      <c r="C31" s="205">
        <f>SUM(D31:I31)</f>
        <v>1958388</v>
      </c>
      <c r="D31" s="19">
        <f>'DOE25'!L291+'DOE25'!L310+'DOE25'!L329+'DOE25'!L334+'DOE25'!L335+'DOE25'!L336-F31-G31-H31</f>
        <v>1160092.31</v>
      </c>
      <c r="E31" s="179"/>
      <c r="F31" s="180"/>
      <c r="G31" s="19">
        <f>'DOE25'!J291+'DOE25'!J310+'DOE25'!J329+'DOE25'!J334+'DOE25'!J335+'DOE25'!J336</f>
        <v>772632.94</v>
      </c>
      <c r="H31" s="19">
        <f>'DOE25'!K291+'DOE25'!K310+'DOE25'!K329+'DOE25'!K334+'DOE25'!K335+'DOE25'!K336</f>
        <v>25662.75</v>
      </c>
      <c r="I31" s="191"/>
    </row>
    <row r="32" spans="1:9" ht="12" thickBot="1" x14ac:dyDescent="0.25">
      <c r="C32" s="206"/>
      <c r="G32" s="187"/>
      <c r="H32" s="187"/>
      <c r="I32" s="193"/>
    </row>
    <row r="33" spans="1:9" ht="12" thickTop="1" x14ac:dyDescent="0.2">
      <c r="B33" t="s">
        <v>809</v>
      </c>
      <c r="D33" s="181">
        <f t="shared" ref="D33:I33" si="1">SUM(D5:D31)</f>
        <v>36645127.25</v>
      </c>
      <c r="E33" s="181">
        <f t="shared" si="1"/>
        <v>2060232.69</v>
      </c>
      <c r="F33" s="181">
        <f t="shared" si="1"/>
        <v>4319144.76</v>
      </c>
      <c r="G33" s="181">
        <f t="shared" si="1"/>
        <v>1403112.17</v>
      </c>
      <c r="H33" s="181">
        <f t="shared" si="1"/>
        <v>122100.65000000001</v>
      </c>
      <c r="I33" s="181">
        <f t="shared" si="1"/>
        <v>1942720.86</v>
      </c>
    </row>
    <row r="34" spans="1:9" ht="12" thickBot="1" x14ac:dyDescent="0.25"/>
    <row r="35" spans="1:9" ht="12" thickBot="1" x14ac:dyDescent="0.25">
      <c r="B35" s="187" t="s">
        <v>830</v>
      </c>
      <c r="D35" s="188">
        <f>E33</f>
        <v>2060232.69</v>
      </c>
      <c r="E35" s="184"/>
      <c r="F35" s="294" t="s">
        <v>1608</v>
      </c>
      <c r="G35" s="295"/>
      <c r="H35" s="295"/>
      <c r="I35" s="296"/>
    </row>
    <row r="36" spans="1:9" ht="12" thickTop="1" x14ac:dyDescent="0.2">
      <c r="B36" t="s">
        <v>810</v>
      </c>
      <c r="D36" s="19">
        <f>D33</f>
        <v>36645127.25</v>
      </c>
      <c r="F36" s="297" t="s">
        <v>1605</v>
      </c>
      <c r="G36" s="254" t="str">
        <f>IF(F36=0,"&lt;&lt;&lt;&lt;&lt; YOU HAVE NOT CHOSEN IF YOU WANT AN INDIRECT COST RATE!!","")</f>
        <v/>
      </c>
      <c r="H36" s="254"/>
      <c r="I36" s="298"/>
    </row>
    <row r="37" spans="1:9" x14ac:dyDescent="0.2">
      <c r="F37" s="299"/>
      <c r="I37" s="298"/>
    </row>
    <row r="38" spans="1:9" x14ac:dyDescent="0.2">
      <c r="B38" s="135" t="s">
        <v>892</v>
      </c>
      <c r="C38" s="196"/>
      <c r="D38" s="212"/>
      <c r="F38" s="300" t="s">
        <v>1786</v>
      </c>
      <c r="G38" s="301"/>
      <c r="H38" s="301"/>
      <c r="I38" s="298"/>
    </row>
    <row r="39" spans="1:9" x14ac:dyDescent="0.2">
      <c r="B39" s="135" t="s">
        <v>814</v>
      </c>
      <c r="D39" s="213" t="str">
        <f>IF(E10&gt;0,"Y","N")</f>
        <v>N</v>
      </c>
      <c r="F39" s="297">
        <v>227347</v>
      </c>
      <c r="I39" s="298"/>
    </row>
    <row r="40" spans="1:9" x14ac:dyDescent="0.2">
      <c r="B40" s="135"/>
      <c r="D40" s="213"/>
      <c r="F40" s="299"/>
      <c r="I40" s="298"/>
    </row>
    <row r="41" spans="1:9" x14ac:dyDescent="0.2">
      <c r="B41" s="135"/>
      <c r="D41" s="213"/>
      <c r="F41" s="300" t="s">
        <v>1782</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767</v>
      </c>
      <c r="C44" s="209"/>
      <c r="D44" s="209"/>
      <c r="E44" s="209"/>
      <c r="F44" s="209"/>
      <c r="G44" s="209"/>
      <c r="H44" s="209"/>
      <c r="I44" s="209"/>
    </row>
    <row r="45" spans="1:9" ht="12" x14ac:dyDescent="0.2">
      <c r="A45" s="209"/>
      <c r="B45" s="209" t="s">
        <v>891</v>
      </c>
      <c r="C45" s="209"/>
      <c r="D45" s="209"/>
      <c r="E45" s="209"/>
      <c r="F45" s="209"/>
      <c r="G45" s="209"/>
      <c r="H45" s="209"/>
      <c r="I45" s="209"/>
    </row>
    <row r="46" spans="1:9" ht="12" x14ac:dyDescent="0.2">
      <c r="A46" s="209"/>
      <c r="B46" s="209" t="s">
        <v>813</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1789</v>
      </c>
      <c r="C48" s="209"/>
      <c r="D48" s="209"/>
      <c r="E48" s="209"/>
      <c r="F48" s="209"/>
      <c r="G48" s="209"/>
      <c r="H48" s="209"/>
      <c r="I48" s="209"/>
    </row>
    <row r="49" spans="1:9" ht="12" x14ac:dyDescent="0.2">
      <c r="A49" s="209"/>
      <c r="B49" s="209" t="s">
        <v>1788</v>
      </c>
      <c r="C49" s="209"/>
      <c r="D49" s="209"/>
      <c r="E49" s="209"/>
      <c r="F49" s="209"/>
      <c r="G49" s="209"/>
      <c r="H49" s="209"/>
      <c r="I49" s="209"/>
    </row>
    <row r="50" spans="1:9" ht="12" x14ac:dyDescent="0.2">
      <c r="A50" s="209"/>
      <c r="B50" s="209" t="s">
        <v>1787</v>
      </c>
      <c r="C50" s="209"/>
      <c r="D50" s="209"/>
      <c r="E50" s="209"/>
      <c r="F50" s="209"/>
      <c r="G50" s="209"/>
      <c r="H50" s="209"/>
      <c r="I50" s="209"/>
    </row>
    <row r="51" spans="1:9" ht="12" x14ac:dyDescent="0.2">
      <c r="A51" s="209"/>
      <c r="B51" s="209" t="s">
        <v>890</v>
      </c>
      <c r="C51" s="209"/>
      <c r="D51" s="209"/>
      <c r="E51" s="209"/>
      <c r="F51" s="209"/>
      <c r="G51" s="209"/>
      <c r="H51" s="209"/>
      <c r="I51" s="209"/>
    </row>
    <row r="52" spans="1:9" ht="12" x14ac:dyDescent="0.2">
      <c r="A52" s="209"/>
      <c r="B52" s="209" t="s">
        <v>1785</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1790</v>
      </c>
      <c r="C54" s="330"/>
      <c r="D54" s="330"/>
      <c r="E54" s="330"/>
      <c r="F54" s="330"/>
      <c r="G54" s="330"/>
      <c r="H54" s="330"/>
      <c r="I54" s="209"/>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disablePrompts="1"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topLeftCell="A4" zoomScale="80" zoomScaleNormal="80" workbookViewId="0">
      <selection activeCell="A7" sqref="A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31" t="s">
        <v>1811</v>
      </c>
      <c r="L1" s="329"/>
      <c r="M1" s="329"/>
      <c r="N1" s="329"/>
      <c r="O1" s="329"/>
      <c r="P1" s="329"/>
      <c r="Q1" s="329"/>
      <c r="R1"/>
    </row>
    <row r="2" spans="1:21" ht="15.75" customHeight="1" thickBot="1" x14ac:dyDescent="0.25">
      <c r="A2" s="220" t="str">
        <f>'DOE25'!A2</f>
        <v>Kearsarge Regional</v>
      </c>
      <c r="B2">
        <f>'DOE25'!B2</f>
        <v>276</v>
      </c>
      <c r="J2" s="223" t="s">
        <v>1808</v>
      </c>
      <c r="K2" s="308">
        <f>SUM('DOE25'!L198:L201)+SUM('DOE25'!L216:L219)+SUM('DOE25'!L234:L237)+SUM('DOE25'!L277:L280)+SUM('DOE25'!L296:L299)+SUM('DOE25'!L315:L318)</f>
        <v>28009658.93</v>
      </c>
      <c r="L2" s="308">
        <f>'DOE25'!L203+'DOE25'!L221+'DOE25'!L239+'DOE25'!L282+'DOE25'!L301+'DOE25'!L320</f>
        <v>1970786.57</v>
      </c>
      <c r="M2" s="308">
        <f>'DOE25'!L204+'DOE25'!L222+'DOE25'!L240+'DOE25'!L283+'DOE25'!L302+'DOE25'!L321</f>
        <v>1060747.74</v>
      </c>
      <c r="N2" s="308">
        <f>'DOE25'!L206+'DOE25'!L224+'DOE25'!L242+'DOE25'!L285+'DOE25'!L304+'DOE25'!L323</f>
        <v>2740548.81</v>
      </c>
      <c r="O2" s="308">
        <f>'Salaries-Benefits'!B10+'Salaries-Benefits'!B12+'Salaries-Benefits'!B19+'Salaries-Benefits'!B21+'Salaries-Benefits'!B28+'Salaries-Benefits'!B30+'Salaries-Benefits'!B37+'Salaries-Benefits'!B39</f>
        <v>14694694.160000002</v>
      </c>
      <c r="P2" s="308">
        <f>'Salaries-Benefits'!B11+'Salaries-Benefits'!B20+'Salaries-Benefits'!B29+'Salaries-Benefits'!B38</f>
        <v>1504203.2899999998</v>
      </c>
      <c r="R2"/>
      <c r="S2" t="str">
        <f>IFERROR(VLOOKUP(B2,#REF!,7,FALSE),"")</f>
        <v/>
      </c>
    </row>
    <row r="3" spans="1:21" ht="42.75" customHeight="1" thickBot="1" x14ac:dyDescent="0.3">
      <c r="A3" s="221" t="s">
        <v>1532</v>
      </c>
      <c r="B3" s="222"/>
      <c r="C3" s="222"/>
      <c r="D3" s="223" t="s">
        <v>1533</v>
      </c>
      <c r="E3" s="223" t="s">
        <v>1534</v>
      </c>
      <c r="F3" s="224" t="s">
        <v>1541</v>
      </c>
      <c r="G3" s="225" t="s">
        <v>1542</v>
      </c>
      <c r="H3" s="226" t="s">
        <v>1524</v>
      </c>
      <c r="J3" s="223" t="s">
        <v>1524</v>
      </c>
      <c r="K3" s="311">
        <f>K21+K33+K43-K2</f>
        <v>0</v>
      </c>
      <c r="L3" s="310">
        <f t="shared" ref="L3:P3" si="0">L21+L33+L43-L2</f>
        <v>0</v>
      </c>
      <c r="M3" s="310">
        <f t="shared" si="0"/>
        <v>0</v>
      </c>
      <c r="N3" s="310">
        <f t="shared" si="0"/>
        <v>0</v>
      </c>
      <c r="O3" s="310">
        <f t="shared" si="0"/>
        <v>0</v>
      </c>
      <c r="P3" s="310">
        <f t="shared" si="0"/>
        <v>0</v>
      </c>
      <c r="Q3" s="309"/>
      <c r="R3" s="305"/>
      <c r="S3" s="214"/>
      <c r="T3" s="214"/>
      <c r="U3" s="215"/>
    </row>
    <row r="4" spans="1:21" ht="55.5" customHeight="1" thickBot="1" x14ac:dyDescent="0.25">
      <c r="A4" s="223" t="s">
        <v>1522</v>
      </c>
      <c r="B4" s="223" t="s">
        <v>1523</v>
      </c>
      <c r="C4" s="223" t="s">
        <v>896</v>
      </c>
      <c r="D4" s="223" t="s">
        <v>786</v>
      </c>
      <c r="E4" s="223" t="s">
        <v>786</v>
      </c>
      <c r="F4" s="227">
        <f>SUM(F5:F20)</f>
        <v>20678301.399999999</v>
      </c>
      <c r="G4" s="228">
        <f>'DOE25'!L212+'DOE25'!L291</f>
        <v>20678301.399999999</v>
      </c>
      <c r="H4" s="263">
        <f>F4-G4</f>
        <v>0</v>
      </c>
      <c r="I4" s="312" t="str">
        <f>IF(H4=0,"","ISSUES!! Please review pages 7 and 11 totals in comparison with total on this page")</f>
        <v/>
      </c>
      <c r="J4" s="223" t="s">
        <v>1522</v>
      </c>
      <c r="K4" s="306" t="s">
        <v>1803</v>
      </c>
      <c r="L4" s="306" t="s">
        <v>1802</v>
      </c>
      <c r="M4" s="306" t="s">
        <v>1806</v>
      </c>
      <c r="N4" s="306" t="s">
        <v>1807</v>
      </c>
      <c r="O4" s="306" t="s">
        <v>1809</v>
      </c>
      <c r="P4" s="306" t="s">
        <v>1804</v>
      </c>
      <c r="Q4" s="306" t="s">
        <v>1810</v>
      </c>
    </row>
    <row r="5" spans="1:21" x14ac:dyDescent="0.2">
      <c r="A5" t="s">
        <v>1540</v>
      </c>
      <c r="B5" s="229">
        <f>IFERROR(VLOOKUP(A5,'School Tables'!$C$3:$D$365,2,FALSE),"")</f>
        <v>99999</v>
      </c>
      <c r="C5" s="222" t="str">
        <f>IFERROR(INDEX('School Tables'!$B$3:$B$365,MATCH('School Level Expenditures'!B5,'School Tables'!$D$3:$D$365,0)),"")</f>
        <v>Other District Expenditures</v>
      </c>
      <c r="D5" s="219">
        <v>0</v>
      </c>
      <c r="E5" s="219">
        <v>0</v>
      </c>
      <c r="F5" s="231">
        <f>D5+E5</f>
        <v>0</v>
      </c>
      <c r="G5" s="222"/>
      <c r="H5" s="222"/>
      <c r="J5" s="222"/>
      <c r="K5" s="222"/>
      <c r="L5" s="222"/>
      <c r="M5" s="222"/>
      <c r="N5" s="222"/>
      <c r="O5" s="222"/>
      <c r="P5" s="222"/>
      <c r="Q5" s="222"/>
    </row>
    <row r="6" spans="1:21" x14ac:dyDescent="0.2">
      <c r="A6" t="str" cm="1">
        <f t="array" ref="A6">IFERROR(INDEX('School Tables'!$A$4:$G$325,'School Tables'!$J4,3),"")</f>
        <v>James House Preschool</v>
      </c>
      <c r="B6" s="229">
        <f>IFERROR(VLOOKUP(A6,'School Tables'!$C$3:$D$365,2,FALSE),"")</f>
        <v>26565</v>
      </c>
      <c r="C6" s="222" t="str">
        <f>IFERROR(INDEX('School Tables'!$B$3:$B$365,MATCH('School Level Expenditures'!B6,'School Tables'!$D$3:$D$365,0)),"")</f>
        <v>Kearsarge Regional</v>
      </c>
      <c r="D6" s="219">
        <v>717122.98</v>
      </c>
      <c r="E6" s="219">
        <v>15367.81</v>
      </c>
      <c r="F6" s="231">
        <f t="shared" ref="F6:F20" si="1">D6+E6</f>
        <v>732490.79</v>
      </c>
      <c r="G6" s="222"/>
      <c r="H6" s="222"/>
      <c r="J6" t="str">
        <f>A6</f>
        <v>James House Preschool</v>
      </c>
      <c r="K6" s="20">
        <v>579203.38</v>
      </c>
      <c r="L6" s="20">
        <v>0</v>
      </c>
      <c r="M6" s="307">
        <v>0</v>
      </c>
      <c r="N6" s="20">
        <v>0</v>
      </c>
      <c r="O6" s="20">
        <v>270649.51</v>
      </c>
      <c r="P6" s="20">
        <v>100184.58</v>
      </c>
      <c r="Q6" s="20"/>
    </row>
    <row r="7" spans="1:21" x14ac:dyDescent="0.2">
      <c r="A7" t="str" cm="1">
        <f t="array" ref="A7">IFERROR(INDEX('School Tables'!$A$4:$G$325,'School Tables'!$J5,3),"")</f>
        <v>Kearsarge Reg. Elem. School at New London</v>
      </c>
      <c r="B7" s="229">
        <f>IFERROR(VLOOKUP(A7,'School Tables'!$C$3:$D$365,2,FALSE),"")</f>
        <v>21980</v>
      </c>
      <c r="C7" s="222" t="str">
        <f>IFERROR(INDEX('School Tables'!$B$3:$B$365,MATCH('School Level Expenditures'!B7,'School Tables'!$D$3:$D$365,0)),"")</f>
        <v>Kearsarge Regional</v>
      </c>
      <c r="D7" s="219">
        <v>7473777.3099999996</v>
      </c>
      <c r="E7" s="219">
        <v>270490.08</v>
      </c>
      <c r="F7" s="231">
        <f t="shared" si="1"/>
        <v>7744267.3899999997</v>
      </c>
      <c r="G7" s="222"/>
      <c r="H7" s="222"/>
      <c r="J7" t="str">
        <f t="shared" ref="J7:J20" si="2">A7</f>
        <v>Kearsarge Reg. Elem. School at New London</v>
      </c>
      <c r="K7" s="20">
        <v>4869569.07</v>
      </c>
      <c r="L7" s="20">
        <v>266564.78000000003</v>
      </c>
      <c r="M7" s="307">
        <v>302452.01</v>
      </c>
      <c r="N7" s="20">
        <v>350204.09</v>
      </c>
      <c r="O7" s="20">
        <f>2581243.52+5353.75</f>
        <v>2586597.27</v>
      </c>
      <c r="P7" s="20">
        <v>379583.56</v>
      </c>
      <c r="Q7" s="20"/>
    </row>
    <row r="8" spans="1:21" x14ac:dyDescent="0.2">
      <c r="A8" t="str" cm="1">
        <f t="array" ref="A8">IFERROR(INDEX('School Tables'!$A$4:$G$325,'School Tables'!$J6,3),"")</f>
        <v>Kearsarge Reg. Elementary School - Bradford</v>
      </c>
      <c r="B8" s="229">
        <f>IFERROR(VLOOKUP(A8,'School Tables'!$C$3:$D$365,2,FALSE),"")</f>
        <v>26530</v>
      </c>
      <c r="C8" s="222" t="str">
        <f>IFERROR(INDEX('School Tables'!$B$3:$B$365,MATCH('School Level Expenditures'!B8,'School Tables'!$D$3:$D$365,0)),"")</f>
        <v>Kearsarge Regional</v>
      </c>
      <c r="D8" s="219">
        <v>4206544.38</v>
      </c>
      <c r="E8" s="219">
        <v>815294.44</v>
      </c>
      <c r="F8" s="231">
        <f t="shared" si="1"/>
        <v>5021838.82</v>
      </c>
      <c r="G8" s="222"/>
      <c r="H8" s="222"/>
      <c r="J8" t="str">
        <f t="shared" si="2"/>
        <v>Kearsarge Reg. Elementary School - Bradford</v>
      </c>
      <c r="K8" s="20">
        <v>2846046.62</v>
      </c>
      <c r="L8" s="20">
        <v>257515.38</v>
      </c>
      <c r="M8" s="307">
        <v>73540.679999999993</v>
      </c>
      <c r="N8" s="20">
        <v>242673.07</v>
      </c>
      <c r="O8" s="20">
        <f>1613878.66+4832.5</f>
        <v>1618711.16</v>
      </c>
      <c r="P8" s="20">
        <v>175947.76</v>
      </c>
      <c r="Q8" s="20"/>
    </row>
    <row r="9" spans="1:21" x14ac:dyDescent="0.2">
      <c r="A9" t="str" cm="1">
        <f t="array" ref="A9">IFERROR(INDEX('School Tables'!$A$4:$G$325,'School Tables'!$J7,3),"")</f>
        <v>Simonds Elementary School</v>
      </c>
      <c r="B9" s="229">
        <f>IFERROR(VLOOKUP(A9,'School Tables'!$C$3:$D$365,2,FALSE),"")</f>
        <v>22020</v>
      </c>
      <c r="C9" s="222" t="str">
        <f>IFERROR(INDEX('School Tables'!$B$3:$B$365,MATCH('School Level Expenditures'!B9,'School Tables'!$D$3:$D$365,0)),"")</f>
        <v>Kearsarge Regional</v>
      </c>
      <c r="D9" s="219">
        <v>4331104.38</v>
      </c>
      <c r="E9" s="219">
        <v>146128.63</v>
      </c>
      <c r="F9" s="231">
        <f t="shared" si="1"/>
        <v>4477233.01</v>
      </c>
      <c r="G9" s="222"/>
      <c r="H9" s="222"/>
      <c r="J9" t="str">
        <f t="shared" si="2"/>
        <v>Simonds Elementary School</v>
      </c>
      <c r="K9" s="20">
        <v>2722807.6</v>
      </c>
      <c r="L9" s="20">
        <v>239155.31</v>
      </c>
      <c r="M9" s="307">
        <v>72310.8</v>
      </c>
      <c r="N9" s="20">
        <v>264279.45</v>
      </c>
      <c r="O9" s="20">
        <f>1430747.68+9555</f>
        <v>1440302.68</v>
      </c>
      <c r="P9" s="20">
        <v>179107.34</v>
      </c>
      <c r="Q9" s="20"/>
    </row>
    <row r="10" spans="1:21" x14ac:dyDescent="0.2">
      <c r="A10" t="str" cm="1">
        <f t="array" ref="A10">IFERROR(INDEX('School Tables'!$A$4:$G$325,'School Tables'!$J8,3),"")</f>
        <v>Sutton Central Elementary School</v>
      </c>
      <c r="B10" s="229">
        <f>IFERROR(VLOOKUP(A10,'School Tables'!$C$3:$D$365,2,FALSE),"")</f>
        <v>22010</v>
      </c>
      <c r="C10" s="222" t="str">
        <f>IFERROR(INDEX('School Tables'!$B$3:$B$365,MATCH('School Level Expenditures'!B10,'School Tables'!$D$3:$D$365,0)),"")</f>
        <v>Kearsarge Regional</v>
      </c>
      <c r="D10" s="219">
        <v>2621390.85</v>
      </c>
      <c r="E10" s="219">
        <v>81080.539999999994</v>
      </c>
      <c r="F10" s="231">
        <f t="shared" si="1"/>
        <v>2702471.39</v>
      </c>
      <c r="G10" s="222"/>
      <c r="H10" s="222"/>
      <c r="J10" t="str">
        <f t="shared" si="2"/>
        <v>Sutton Central Elementary School</v>
      </c>
      <c r="K10" s="20">
        <v>1563550.85</v>
      </c>
      <c r="L10" s="20">
        <v>205057.5</v>
      </c>
      <c r="M10" s="20">
        <v>50048.84</v>
      </c>
      <c r="N10" s="20">
        <v>266688.89</v>
      </c>
      <c r="O10" s="20">
        <f>865107.75+2800</f>
        <v>867907.75</v>
      </c>
      <c r="P10" s="20">
        <v>105883.89</v>
      </c>
      <c r="Q10" s="20"/>
    </row>
    <row r="11" spans="1:21" x14ac:dyDescent="0.2">
      <c r="A11" t="str" cm="1">
        <f t="array" ref="A11">IFERROR(INDEX('School Tables'!$A$4:$G$325,'School Tables'!$J9,3),"")</f>
        <v/>
      </c>
      <c r="B11" s="229" t="str">
        <f>IFERROR(VLOOKUP(A11,'School Tables'!$C$3:$D$365,2,FALSE),"")</f>
        <v/>
      </c>
      <c r="C11" s="222" t="str">
        <f>IFERROR(INDEX('School Tables'!$B$3:$B$365,MATCH('School Level Expenditures'!B11,'School Tables'!$D$3:$D$365,0)),"")</f>
        <v/>
      </c>
      <c r="D11" s="219"/>
      <c r="E11" s="219"/>
      <c r="F11" s="231">
        <f t="shared" si="1"/>
        <v>0</v>
      </c>
      <c r="G11" s="222"/>
      <c r="H11" s="222"/>
      <c r="J11" t="str">
        <f t="shared" si="2"/>
        <v/>
      </c>
      <c r="K11" s="20"/>
      <c r="L11" s="20"/>
      <c r="M11" s="20"/>
      <c r="N11" s="20"/>
      <c r="O11" s="20"/>
      <c r="P11" s="20"/>
      <c r="Q11" s="20"/>
    </row>
    <row r="12" spans="1:21" x14ac:dyDescent="0.2">
      <c r="A12" t="str" cm="1">
        <f t="array" ref="A12">IFERROR(INDEX('School Tables'!$A$4:$G$325,'School Tables'!$J10,3),"")</f>
        <v/>
      </c>
      <c r="B12" s="229" t="str">
        <f>IFERROR(VLOOKUP(A12,'School Tables'!$C$3:$D$365,2,FALSE),"")</f>
        <v/>
      </c>
      <c r="C12" s="222" t="str">
        <f>IFERROR(INDEX('School Tables'!$B$3:$B$365,MATCH('School Level Expenditures'!B12,'School Tables'!$D$3:$D$365,0)),"")</f>
        <v/>
      </c>
      <c r="D12" s="219"/>
      <c r="E12" s="219"/>
      <c r="F12" s="231">
        <f t="shared" si="1"/>
        <v>0</v>
      </c>
      <c r="G12" s="222"/>
      <c r="H12" s="222"/>
      <c r="J12" t="str">
        <f t="shared" si="2"/>
        <v/>
      </c>
      <c r="K12" s="20"/>
      <c r="L12" s="20"/>
      <c r="M12" s="20"/>
      <c r="N12" s="20"/>
      <c r="O12" s="20"/>
      <c r="P12" s="20"/>
      <c r="Q12" s="20"/>
    </row>
    <row r="13" spans="1:21" x14ac:dyDescent="0.2">
      <c r="A13" t="str" cm="1">
        <f t="array" ref="A13">IFERROR(INDEX('School Tables'!$A$4:$G$325,'School Tables'!$J11,3),"")</f>
        <v/>
      </c>
      <c r="B13" s="229" t="str">
        <f>IFERROR(VLOOKUP(A13,'School Tables'!$C$3:$D$365,2,FALSE),"")</f>
        <v/>
      </c>
      <c r="C13" s="222" t="str">
        <f>IFERROR(INDEX('School Tables'!$B$3:$B$365,MATCH('School Level Expenditures'!B13,'School Tables'!$D$3:$D$365,0)),"")</f>
        <v/>
      </c>
      <c r="D13" s="219"/>
      <c r="E13" s="219"/>
      <c r="F13" s="231">
        <f t="shared" si="1"/>
        <v>0</v>
      </c>
      <c r="G13" s="222"/>
      <c r="H13" s="222"/>
      <c r="J13" t="str">
        <f t="shared" si="2"/>
        <v/>
      </c>
      <c r="K13" s="20"/>
      <c r="L13" s="20"/>
      <c r="M13" s="20"/>
      <c r="N13" s="20"/>
      <c r="O13" s="20"/>
      <c r="P13" s="20"/>
      <c r="Q13" s="20"/>
    </row>
    <row r="14" spans="1:21" x14ac:dyDescent="0.2">
      <c r="A14" t="str" cm="1">
        <f t="array" ref="A14">IFERROR(INDEX('School Tables'!$A$4:$G$325,'School Tables'!$J12,3),"")</f>
        <v/>
      </c>
      <c r="B14" s="229" t="str">
        <f>IFERROR(VLOOKUP(A14,'School Tables'!$C$3:$D$365,2,FALSE),"")</f>
        <v/>
      </c>
      <c r="C14" s="222" t="str">
        <f>IFERROR(INDEX('School Tables'!$B$3:$B$365,MATCH('School Level Expenditures'!B14,'School Tables'!$D$3:$D$365,0)),"")</f>
        <v/>
      </c>
      <c r="D14" s="219"/>
      <c r="E14" s="219"/>
      <c r="F14" s="231">
        <f t="shared" si="1"/>
        <v>0</v>
      </c>
      <c r="G14" s="222"/>
      <c r="H14" s="222"/>
      <c r="J14" t="str">
        <f t="shared" si="2"/>
        <v/>
      </c>
      <c r="K14" s="20"/>
      <c r="L14" s="20"/>
      <c r="M14" s="20"/>
      <c r="N14" s="20"/>
      <c r="O14" s="20"/>
      <c r="P14" s="20"/>
      <c r="Q14" s="20"/>
    </row>
    <row r="15" spans="1:21" x14ac:dyDescent="0.2">
      <c r="A15" t="str" cm="1">
        <f t="array" ref="A15">IFERROR(INDEX('School Tables'!$A$4:$G$325,'School Tables'!$J13,3),"")</f>
        <v/>
      </c>
      <c r="B15" s="229" t="str">
        <f>IFERROR(VLOOKUP(A15,'School Tables'!$C$3:$D$365,2,FALSE),"")</f>
        <v/>
      </c>
      <c r="C15" s="222" t="str">
        <f>IFERROR(INDEX('School Tables'!$B$3:$B$365,MATCH('School Level Expenditures'!B15,'School Tables'!$D$3:$D$365,0)),"")</f>
        <v/>
      </c>
      <c r="D15" s="219"/>
      <c r="E15" s="219"/>
      <c r="F15" s="231">
        <f t="shared" si="1"/>
        <v>0</v>
      </c>
      <c r="G15" s="222"/>
      <c r="H15" s="222"/>
      <c r="J15" t="str">
        <f t="shared" si="2"/>
        <v/>
      </c>
      <c r="K15" s="20"/>
      <c r="L15" s="20"/>
      <c r="M15" s="20"/>
      <c r="N15" s="20"/>
      <c r="O15" s="20"/>
      <c r="P15" s="20"/>
      <c r="Q15" s="20"/>
    </row>
    <row r="16" spans="1:21" x14ac:dyDescent="0.2">
      <c r="A16" t="str" cm="1">
        <f t="array" ref="A16">IFERROR(INDEX('School Tables'!$A$4:$G$325,'School Tables'!$J14,3),"")</f>
        <v/>
      </c>
      <c r="B16" s="229" t="str">
        <f>IFERROR(VLOOKUP(A16,'School Tables'!$C$3:$D$365,2,FALSE),"")</f>
        <v/>
      </c>
      <c r="C16" s="222" t="str">
        <f>IFERROR(INDEX('School Tables'!$B$3:$B$365,MATCH('School Level Expenditures'!B16,'School Tables'!$D$3:$D$365,0)),"")</f>
        <v/>
      </c>
      <c r="D16" s="219"/>
      <c r="E16" s="219"/>
      <c r="F16" s="231">
        <f t="shared" si="1"/>
        <v>0</v>
      </c>
      <c r="G16" s="222"/>
      <c r="H16" s="222"/>
      <c r="J16" t="str">
        <f t="shared" si="2"/>
        <v/>
      </c>
      <c r="K16" s="20"/>
      <c r="L16" s="20"/>
      <c r="M16" s="20"/>
      <c r="N16" s="20"/>
      <c r="O16" s="20"/>
      <c r="P16" s="20"/>
      <c r="Q16" s="20"/>
    </row>
    <row r="17" spans="1:17" x14ac:dyDescent="0.2">
      <c r="A17" t="str" cm="1">
        <f t="array" ref="A17">IFERROR(INDEX('School Tables'!$A$4:$G$325,'School Tables'!$J15,3),"")</f>
        <v/>
      </c>
      <c r="B17" s="229" t="str">
        <f>IFERROR(VLOOKUP(A17,'School Tables'!$C$3:$D$365,2,FALSE),"")</f>
        <v/>
      </c>
      <c r="C17" s="222" t="str">
        <f>IFERROR(INDEX('School Tables'!$B$3:$B$365,MATCH('School Level Expenditures'!B17,'School Tables'!$D$3:$D$365,0)),"")</f>
        <v/>
      </c>
      <c r="D17" s="219"/>
      <c r="E17" s="219"/>
      <c r="F17" s="231">
        <f t="shared" si="1"/>
        <v>0</v>
      </c>
      <c r="G17" s="222"/>
      <c r="H17" s="222"/>
      <c r="J17" t="str">
        <f t="shared" si="2"/>
        <v/>
      </c>
      <c r="K17" s="20"/>
      <c r="L17" s="20"/>
      <c r="M17" s="20"/>
      <c r="N17" s="20"/>
      <c r="O17" s="20"/>
      <c r="P17" s="20"/>
      <c r="Q17" s="20"/>
    </row>
    <row r="18" spans="1:17" x14ac:dyDescent="0.2">
      <c r="A18" t="str" cm="1">
        <f t="array" ref="A18">IFERROR(INDEX('School Tables'!$A$4:$G$325,'School Tables'!$J16,3),"")</f>
        <v/>
      </c>
      <c r="B18" s="229" t="str">
        <f>IFERROR(VLOOKUP(A18,'School Tables'!$C$3:$D$365,2,FALSE),"")</f>
        <v/>
      </c>
      <c r="C18" s="222" t="str">
        <f>IFERROR(INDEX('School Tables'!$B$3:$B$365,MATCH('School Level Expenditures'!B18,'School Tables'!$D$3:$D$365,0)),"")</f>
        <v/>
      </c>
      <c r="D18" s="219"/>
      <c r="E18" s="219"/>
      <c r="F18" s="231">
        <f t="shared" si="1"/>
        <v>0</v>
      </c>
      <c r="G18" s="222"/>
      <c r="H18" s="222"/>
      <c r="J18" t="str">
        <f t="shared" si="2"/>
        <v/>
      </c>
      <c r="K18" s="20"/>
      <c r="L18" s="20"/>
      <c r="M18" s="20"/>
      <c r="N18" s="20"/>
      <c r="O18" s="20"/>
      <c r="P18" s="20"/>
      <c r="Q18" s="20"/>
    </row>
    <row r="19" spans="1:17" x14ac:dyDescent="0.2">
      <c r="A19" t="str" cm="1">
        <f t="array" ref="A19">IFERROR(INDEX('School Tables'!$A$4:$G$325,'School Tables'!$J17,3),"")</f>
        <v/>
      </c>
      <c r="B19" s="229" t="str">
        <f>IFERROR(VLOOKUP(A19,'School Tables'!$C$3:$D$365,2,FALSE),"")</f>
        <v/>
      </c>
      <c r="C19" s="222" t="str">
        <f>IFERROR(INDEX('School Tables'!$B$3:$B$365,MATCH('School Level Expenditures'!B19,'School Tables'!$D$3:$D$365,0)),"")</f>
        <v/>
      </c>
      <c r="D19" s="219"/>
      <c r="E19" s="219"/>
      <c r="F19" s="231">
        <f t="shared" si="1"/>
        <v>0</v>
      </c>
      <c r="G19" s="222"/>
      <c r="H19" s="222"/>
      <c r="J19" t="str">
        <f t="shared" si="2"/>
        <v/>
      </c>
      <c r="K19" s="20"/>
      <c r="L19" s="20"/>
      <c r="M19" s="20"/>
      <c r="N19" s="20"/>
      <c r="O19" s="20"/>
      <c r="P19" s="20"/>
      <c r="Q19" s="20"/>
    </row>
    <row r="20" spans="1:17" x14ac:dyDescent="0.2">
      <c r="A20" t="str" cm="1">
        <f t="array" ref="A20">IFERROR(INDEX('School Tables'!$A$4:$G$325,'School Tables'!$J18,3),"")</f>
        <v/>
      </c>
      <c r="B20" s="229" t="str">
        <f>IFERROR(VLOOKUP(A20,'School Tables'!$C$3:$D$365,2,FALSE),"")</f>
        <v/>
      </c>
      <c r="C20" s="222" t="str">
        <f>IFERROR(INDEX('School Tables'!$B$3:$B$365,MATCH('School Level Expenditures'!B20,'School Tables'!$D$3:$D$365,0)),"")</f>
        <v/>
      </c>
      <c r="D20" s="219"/>
      <c r="E20" s="219"/>
      <c r="F20" s="231">
        <f t="shared" si="1"/>
        <v>0</v>
      </c>
      <c r="G20" s="222"/>
      <c r="H20" s="222"/>
      <c r="J20" t="str">
        <f t="shared" si="2"/>
        <v/>
      </c>
      <c r="K20" s="20"/>
      <c r="L20" s="20"/>
      <c r="M20" s="20"/>
      <c r="N20" s="20"/>
      <c r="O20" s="20"/>
      <c r="P20" s="20"/>
      <c r="Q20" s="20"/>
    </row>
    <row r="21" spans="1:17" ht="12" thickBot="1" x14ac:dyDescent="0.25">
      <c r="B21" s="230"/>
      <c r="C21" s="216"/>
      <c r="D21" s="261">
        <f>SUM(D5:D20)</f>
        <v>19349939.899999999</v>
      </c>
      <c r="E21" s="261">
        <f>SUM(E5:E20)</f>
        <v>1328361.5</v>
      </c>
      <c r="F21" s="216"/>
      <c r="G21" s="216"/>
      <c r="H21" s="216"/>
      <c r="K21" s="262">
        <f t="shared" ref="K21:Q21" si="3">SUM(K5:K20)</f>
        <v>12581177.52</v>
      </c>
      <c r="L21" s="262">
        <f t="shared" si="3"/>
        <v>968292.97</v>
      </c>
      <c r="M21" s="262">
        <f t="shared" si="3"/>
        <v>498352.32999999996</v>
      </c>
      <c r="N21" s="262">
        <f t="shared" si="3"/>
        <v>1123845.5</v>
      </c>
      <c r="O21" s="262">
        <f t="shared" si="3"/>
        <v>6784168.3700000001</v>
      </c>
      <c r="P21" s="262">
        <f t="shared" si="3"/>
        <v>940707.13</v>
      </c>
      <c r="Q21" s="262">
        <f t="shared" si="3"/>
        <v>0</v>
      </c>
    </row>
    <row r="22" spans="1:17" ht="12.75" thickTop="1" thickBot="1" x14ac:dyDescent="0.25">
      <c r="B22" s="230"/>
      <c r="C22" s="216"/>
      <c r="D22" s="219"/>
      <c r="E22" s="219"/>
      <c r="F22" s="216"/>
      <c r="G22" s="216"/>
      <c r="H22" s="216"/>
    </row>
    <row r="23" spans="1:17" ht="57" x14ac:dyDescent="0.25">
      <c r="A23" s="221" t="s">
        <v>1535</v>
      </c>
      <c r="B23" s="222"/>
      <c r="C23" s="222"/>
      <c r="D23" s="223" t="s">
        <v>1533</v>
      </c>
      <c r="E23" s="223" t="s">
        <v>1534</v>
      </c>
      <c r="F23" s="224" t="s">
        <v>1541</v>
      </c>
      <c r="G23" s="225" t="s">
        <v>1543</v>
      </c>
      <c r="H23" s="226" t="s">
        <v>1524</v>
      </c>
      <c r="J23" s="223"/>
      <c r="K23" s="306" t="s">
        <v>1803</v>
      </c>
      <c r="L23" s="306" t="s">
        <v>1802</v>
      </c>
      <c r="M23" s="306" t="s">
        <v>1806</v>
      </c>
      <c r="N23" s="306" t="s">
        <v>1807</v>
      </c>
      <c r="O23" s="306" t="s">
        <v>1805</v>
      </c>
      <c r="P23" s="306" t="s">
        <v>1804</v>
      </c>
      <c r="Q23" s="306" t="s">
        <v>1810</v>
      </c>
    </row>
    <row r="24" spans="1:17" ht="46.5" customHeight="1" thickBot="1" x14ac:dyDescent="0.25">
      <c r="A24" s="223" t="s">
        <v>1536</v>
      </c>
      <c r="B24" s="223" t="s">
        <v>1537</v>
      </c>
      <c r="C24" s="223" t="s">
        <v>896</v>
      </c>
      <c r="D24" s="223" t="s">
        <v>786</v>
      </c>
      <c r="E24" s="223" t="s">
        <v>786</v>
      </c>
      <c r="F24" s="232">
        <f>SUM(F25:F32)</f>
        <v>10450325.02</v>
      </c>
      <c r="G24" s="228">
        <f>'DOE25'!L230+'DOE25'!L310</f>
        <v>10450325.02</v>
      </c>
      <c r="H24" s="263">
        <f>F24-G24</f>
        <v>0</v>
      </c>
      <c r="I24" s="312" t="str">
        <f>IF(H24=0,"","ISSUES!! Please review pages 8 and 12 totals in comparison with total on this page")</f>
        <v/>
      </c>
      <c r="J24" s="223" t="s">
        <v>1536</v>
      </c>
      <c r="K24" s="223"/>
      <c r="L24" s="223"/>
      <c r="M24" s="223" t="str">
        <f>IF(H24=0,"","ISSUES!! Please review page 8 and 12 totals in comparison with total on this page")</f>
        <v/>
      </c>
      <c r="N24" s="223"/>
      <c r="O24" s="223"/>
      <c r="P24" s="223"/>
      <c r="Q24" s="223"/>
    </row>
    <row r="25" spans="1:17" x14ac:dyDescent="0.2">
      <c r="A25" t="s">
        <v>1540</v>
      </c>
      <c r="B25" s="229">
        <v>99999</v>
      </c>
      <c r="C25" s="222" t="s">
        <v>1540</v>
      </c>
      <c r="D25" s="219"/>
      <c r="E25" s="219"/>
      <c r="F25" s="231">
        <f>D25+E25</f>
        <v>0</v>
      </c>
      <c r="G25" s="222"/>
      <c r="H25" s="222"/>
      <c r="J25" s="222"/>
      <c r="K25" s="222"/>
      <c r="L25" s="223"/>
      <c r="M25" s="222"/>
      <c r="N25" s="222"/>
      <c r="O25" s="222"/>
      <c r="P25" s="222"/>
      <c r="Q25" s="222"/>
    </row>
    <row r="26" spans="1:17" x14ac:dyDescent="0.2">
      <c r="A26" t="str" cm="1">
        <f t="array" ref="A26">IFERROR(INDEX('School Tables'!$L$4:$R$75,'School Tables'!$U4,3),"")</f>
        <v>Kearsarge Regional Middle School</v>
      </c>
      <c r="B26" s="229">
        <f>IFERROR(VLOOKUP(A26,'School Tables'!$N$4:$O$75,2,FALSE),"")</f>
        <v>26535</v>
      </c>
      <c r="C26" s="222" t="str">
        <f>IFERROR(INDEX('School Tables'!$M$4:$M$75,MATCH('School Level Expenditures'!A26,'School Tables'!$N$4:$N$75,0)),"")</f>
        <v>Kearsarge Regional</v>
      </c>
      <c r="D26" s="219">
        <v>10335651.789999999</v>
      </c>
      <c r="E26" s="219">
        <v>114673.23</v>
      </c>
      <c r="F26" s="231">
        <f t="shared" ref="F26:F32" si="4">D26+E26</f>
        <v>10450325.02</v>
      </c>
      <c r="G26" s="222"/>
      <c r="H26" s="222"/>
      <c r="J26" t="str">
        <f t="shared" ref="J26:J32" si="5">A26</f>
        <v>Kearsarge Regional Middle School</v>
      </c>
      <c r="K26" s="20">
        <v>7071329.2300000004</v>
      </c>
      <c r="L26" s="20">
        <v>415358.3</v>
      </c>
      <c r="M26" s="307">
        <v>269333.71000000002</v>
      </c>
      <c r="N26" s="20">
        <v>540356.98</v>
      </c>
      <c r="O26" s="20">
        <f>3547483.44+97233.75</f>
        <v>3644717.19</v>
      </c>
      <c r="P26" s="20">
        <f>322694.52+2696.58</f>
        <v>325391.10000000003</v>
      </c>
      <c r="Q26" s="20"/>
    </row>
    <row r="27" spans="1:17" x14ac:dyDescent="0.2">
      <c r="A27" t="str" cm="1">
        <f t="array" ref="A27">IFERROR(INDEX('School Tables'!$L$4:$R$75,'School Tables'!$U5,3),"")</f>
        <v/>
      </c>
      <c r="B27" s="229" t="str">
        <f>IFERROR(VLOOKUP(A27,'School Tables'!$N$4:$O$75,2,FALSE),"")</f>
        <v/>
      </c>
      <c r="C27" s="222" t="str">
        <f>IFERROR(INDEX('School Tables'!$M$4:$M$75,MATCH('School Level Expenditures'!A27,'School Tables'!$N$4:$N$75,0)),"")</f>
        <v/>
      </c>
      <c r="D27" s="219"/>
      <c r="E27" s="219"/>
      <c r="F27" s="231">
        <f t="shared" si="4"/>
        <v>0</v>
      </c>
      <c r="G27" s="222"/>
      <c r="H27" s="222"/>
      <c r="J27" t="str">
        <f t="shared" si="5"/>
        <v/>
      </c>
      <c r="K27" s="20"/>
      <c r="L27" s="20"/>
      <c r="M27" s="20"/>
      <c r="N27" s="20"/>
      <c r="O27" s="20"/>
      <c r="P27" s="20"/>
      <c r="Q27" s="20"/>
    </row>
    <row r="28" spans="1:17" x14ac:dyDescent="0.2">
      <c r="A28" t="str" cm="1">
        <f t="array" ref="A28">IFERROR(INDEX('School Tables'!$L$4:$R$75,'School Tables'!$U6,3),"")</f>
        <v/>
      </c>
      <c r="B28" s="229" t="str">
        <f>IFERROR(VLOOKUP(A28,'School Tables'!$N$4:$O$75,2,FALSE),"")</f>
        <v/>
      </c>
      <c r="C28" s="222" t="str">
        <f>IFERROR(INDEX('School Tables'!$M$4:$M$75,MATCH('School Level Expenditures'!A28,'School Tables'!$N$4:$N$75,0)),"")</f>
        <v/>
      </c>
      <c r="D28" s="219"/>
      <c r="E28" s="219"/>
      <c r="F28" s="231">
        <f t="shared" si="4"/>
        <v>0</v>
      </c>
      <c r="G28" s="222"/>
      <c r="H28" s="222"/>
      <c r="J28" t="str">
        <f t="shared" si="5"/>
        <v/>
      </c>
      <c r="K28" s="20"/>
      <c r="L28" s="20"/>
      <c r="M28" s="20"/>
      <c r="N28" s="20"/>
      <c r="O28" s="20"/>
      <c r="P28" s="20"/>
      <c r="Q28" s="20"/>
    </row>
    <row r="29" spans="1:17" x14ac:dyDescent="0.2">
      <c r="A29" t="str" cm="1">
        <f t="array" ref="A29">IFERROR(INDEX('School Tables'!$L$4:$R$75,'School Tables'!$U7,3),"")</f>
        <v/>
      </c>
      <c r="B29" s="229" t="str">
        <f>IFERROR(VLOOKUP(A29,'School Tables'!$N$4:$O$75,2,FALSE),"")</f>
        <v/>
      </c>
      <c r="C29" s="222" t="str">
        <f>IFERROR(INDEX('School Tables'!$M$4:$M$75,MATCH('School Level Expenditures'!A29,'School Tables'!$N$4:$N$75,0)),"")</f>
        <v/>
      </c>
      <c r="D29" s="219"/>
      <c r="E29" s="219"/>
      <c r="F29" s="231">
        <f t="shared" si="4"/>
        <v>0</v>
      </c>
      <c r="G29" s="222"/>
      <c r="H29" s="222"/>
      <c r="J29" t="str">
        <f t="shared" si="5"/>
        <v/>
      </c>
      <c r="K29" s="20"/>
      <c r="L29" s="20"/>
      <c r="M29" s="20"/>
      <c r="N29" s="20"/>
      <c r="O29" s="20"/>
      <c r="P29" s="20"/>
      <c r="Q29" s="20"/>
    </row>
    <row r="30" spans="1:17" x14ac:dyDescent="0.2">
      <c r="A30" t="str" cm="1">
        <f t="array" ref="A30">IFERROR(INDEX('School Tables'!$L$4:$R$75,'School Tables'!$U8,3),"")</f>
        <v/>
      </c>
      <c r="B30" s="229" t="str">
        <f>IFERROR(VLOOKUP(A30,'School Tables'!$N$4:$O$75,2,FALSE),"")</f>
        <v/>
      </c>
      <c r="C30" s="222" t="str">
        <f>IFERROR(INDEX('School Tables'!$M$4:$M$75,MATCH('School Level Expenditures'!A30,'School Tables'!$N$4:$N$75,0)),"")</f>
        <v/>
      </c>
      <c r="D30" s="219"/>
      <c r="E30" s="219"/>
      <c r="F30" s="231">
        <f t="shared" si="4"/>
        <v>0</v>
      </c>
      <c r="G30" s="222"/>
      <c r="H30" s="222"/>
      <c r="J30" t="str">
        <f t="shared" si="5"/>
        <v/>
      </c>
      <c r="K30" s="20"/>
      <c r="L30" s="20"/>
      <c r="M30" s="20"/>
      <c r="N30" s="20"/>
      <c r="O30" s="20"/>
      <c r="P30" s="20"/>
      <c r="Q30" s="20"/>
    </row>
    <row r="31" spans="1:17" x14ac:dyDescent="0.2">
      <c r="A31" t="str" cm="1">
        <f t="array" ref="A31">IFERROR(INDEX('School Tables'!$L$4:$R$75,'School Tables'!$U9,3),"")</f>
        <v/>
      </c>
      <c r="B31" s="229" t="str">
        <f>IFERROR(VLOOKUP(A31,'School Tables'!$N$4:$O$75,2,FALSE),"")</f>
        <v/>
      </c>
      <c r="C31" s="222" t="str">
        <f>IFERROR(INDEX('School Tables'!$M$4:$M$75,MATCH('School Level Expenditures'!A31,'School Tables'!$N$4:$N$75,0)),"")</f>
        <v/>
      </c>
      <c r="D31" s="219"/>
      <c r="E31" s="219"/>
      <c r="F31" s="231">
        <f t="shared" si="4"/>
        <v>0</v>
      </c>
      <c r="G31" s="222"/>
      <c r="H31" s="222"/>
      <c r="J31" t="str">
        <f t="shared" si="5"/>
        <v/>
      </c>
      <c r="K31" s="20"/>
      <c r="L31" s="20"/>
      <c r="M31" s="20"/>
      <c r="N31" s="20"/>
      <c r="O31" s="20"/>
      <c r="P31" s="20"/>
      <c r="Q31" s="20"/>
    </row>
    <row r="32" spans="1:17" x14ac:dyDescent="0.2">
      <c r="A32" t="str" cm="1">
        <f t="array" ref="A32">IFERROR(INDEX('School Tables'!$L$4:$R$75,'School Tables'!$U10,3),"")</f>
        <v/>
      </c>
      <c r="B32" s="229" t="str">
        <f>IFERROR(VLOOKUP(A32,'School Tables'!$N$4:$O$75,2,FALSE),"")</f>
        <v/>
      </c>
      <c r="C32" s="222" t="str">
        <f t="array" ref="C32">IFERROR(INDEX('School Tables'!$K$3:$K$80,MATCH('School Level Expenditures'!B32,'School Tables'!$M$3:$M$80,0)),"")</f>
        <v/>
      </c>
      <c r="D32" s="219"/>
      <c r="E32" s="219"/>
      <c r="F32" s="231">
        <f t="shared" si="4"/>
        <v>0</v>
      </c>
      <c r="G32" s="222"/>
      <c r="H32" s="222"/>
      <c r="J32" t="str">
        <f t="shared" si="5"/>
        <v/>
      </c>
      <c r="K32" s="20"/>
      <c r="L32" s="20"/>
      <c r="M32" s="20"/>
      <c r="N32" s="20"/>
      <c r="O32" s="20"/>
      <c r="P32" s="20"/>
      <c r="Q32" s="20"/>
    </row>
    <row r="33" spans="1:18" ht="12" thickBot="1" x14ac:dyDescent="0.25">
      <c r="B33" s="230"/>
      <c r="C33" s="216"/>
      <c r="D33" s="261">
        <f>SUM(D25:D32)</f>
        <v>10335651.789999999</v>
      </c>
      <c r="E33" s="261">
        <f>SUM(E25:E32)</f>
        <v>114673.23</v>
      </c>
      <c r="F33" s="216"/>
      <c r="G33" s="216"/>
      <c r="H33" s="216"/>
      <c r="K33" s="262">
        <f t="shared" ref="K33:Q33" si="6">SUM(K25:K32)</f>
        <v>7071329.2300000004</v>
      </c>
      <c r="L33" s="262">
        <f t="shared" si="6"/>
        <v>415358.3</v>
      </c>
      <c r="M33" s="262">
        <f t="shared" si="6"/>
        <v>269333.71000000002</v>
      </c>
      <c r="N33" s="262">
        <f t="shared" si="6"/>
        <v>540356.98</v>
      </c>
      <c r="O33" s="262">
        <f t="shared" si="6"/>
        <v>3644717.19</v>
      </c>
      <c r="P33" s="262">
        <f t="shared" si="6"/>
        <v>325391.10000000003</v>
      </c>
      <c r="Q33" s="262">
        <f t="shared" si="6"/>
        <v>0</v>
      </c>
    </row>
    <row r="34" spans="1:18" ht="12.75" thickTop="1" thickBot="1" x14ac:dyDescent="0.25">
      <c r="B34" s="230"/>
      <c r="C34" s="216"/>
      <c r="D34" s="219"/>
      <c r="E34" s="219"/>
      <c r="F34" s="216"/>
      <c r="G34" s="216"/>
      <c r="H34" s="216"/>
    </row>
    <row r="35" spans="1:18" ht="57" x14ac:dyDescent="0.25">
      <c r="A35" s="217" t="s">
        <v>367</v>
      </c>
      <c r="B35" s="222"/>
      <c r="C35" s="222"/>
      <c r="D35" s="223" t="s">
        <v>1533</v>
      </c>
      <c r="E35" s="223" t="s">
        <v>1534</v>
      </c>
      <c r="F35" s="224" t="s">
        <v>1541</v>
      </c>
      <c r="G35" s="225" t="s">
        <v>1544</v>
      </c>
      <c r="H35" s="226" t="s">
        <v>1524</v>
      </c>
      <c r="J35" s="223"/>
      <c r="K35" s="306" t="s">
        <v>1803</v>
      </c>
      <c r="L35" s="306" t="s">
        <v>1802</v>
      </c>
      <c r="M35" s="306" t="s">
        <v>1806</v>
      </c>
      <c r="N35" s="306" t="s">
        <v>1807</v>
      </c>
      <c r="O35" s="306" t="s">
        <v>1805</v>
      </c>
      <c r="P35" s="306" t="s">
        <v>1804</v>
      </c>
      <c r="Q35" s="306" t="s">
        <v>1810</v>
      </c>
    </row>
    <row r="36" spans="1:18" ht="53.25" customHeight="1" thickBot="1" x14ac:dyDescent="0.25">
      <c r="A36" s="218" t="s">
        <v>1538</v>
      </c>
      <c r="B36" s="223" t="s">
        <v>1539</v>
      </c>
      <c r="C36" s="223" t="s">
        <v>896</v>
      </c>
      <c r="D36" s="223" t="s">
        <v>786</v>
      </c>
      <c r="E36" s="223" t="s">
        <v>786</v>
      </c>
      <c r="F36" s="232">
        <f>SUM(F37:F42)</f>
        <v>12868600.92</v>
      </c>
      <c r="G36" s="228">
        <f>'DOE25'!L248+'DOE25'!L329</f>
        <v>12868600.920000002</v>
      </c>
      <c r="H36" s="263">
        <f>F36-G36</f>
        <v>0</v>
      </c>
      <c r="I36" s="312" t="str">
        <f>IF(H36=0,"","ISSUES!! Please review pages 9 and 13 totals in comparison with total on this page")</f>
        <v/>
      </c>
      <c r="J36" s="223" t="s">
        <v>1538</v>
      </c>
      <c r="K36" s="223"/>
      <c r="L36" s="223"/>
      <c r="M36" s="223" t="str">
        <f>IF(H36=0,"","ISSUES!! Please review page 9 and 13 totals in comparison with total on this page")</f>
        <v/>
      </c>
      <c r="N36" s="223"/>
      <c r="O36" s="223"/>
      <c r="P36" s="223"/>
      <c r="Q36" s="223"/>
    </row>
    <row r="37" spans="1:18" x14ac:dyDescent="0.2">
      <c r="A37" t="s">
        <v>1540</v>
      </c>
      <c r="B37" s="229">
        <v>99999</v>
      </c>
      <c r="C37" s="222" t="s">
        <v>1540</v>
      </c>
      <c r="D37" s="219"/>
      <c r="E37" s="219"/>
      <c r="F37" s="231">
        <f t="shared" ref="F37:F42" si="7">D37+E37</f>
        <v>0</v>
      </c>
      <c r="G37" s="222"/>
      <c r="H37" s="222"/>
      <c r="J37" s="222"/>
      <c r="K37" s="222"/>
      <c r="L37" s="223"/>
      <c r="M37" s="222"/>
      <c r="N37" s="222"/>
      <c r="O37" s="222"/>
      <c r="P37" s="222"/>
      <c r="Q37" s="222"/>
    </row>
    <row r="38" spans="1:18" x14ac:dyDescent="0.2">
      <c r="A38" t="str" cm="1">
        <f t="array" ref="A38">IFERROR(INDEX('School Tables'!$W$4:$AC$100,'School Tables'!$AF4,3),"")</f>
        <v>Kearsarge Regional High School</v>
      </c>
      <c r="B38" s="229">
        <f>IFERROR(VLOOKUP(A38,'School Tables'!$Y$4:$Z$100,2,FALSE),"")</f>
        <v>22015</v>
      </c>
      <c r="C38" s="222" t="str">
        <f>IFERROR(INDEX('School Tables'!$X$4:$X$100,MATCH('School Level Expenditures'!A38,'School Tables'!$Y$4:$Y$100,0)),"")</f>
        <v>Kearsarge Regional</v>
      </c>
      <c r="D38" s="219">
        <v>12405632.77</v>
      </c>
      <c r="E38" s="219">
        <v>462968.15</v>
      </c>
      <c r="F38" s="231">
        <f t="shared" si="7"/>
        <v>12868600.92</v>
      </c>
      <c r="G38" s="222"/>
      <c r="H38" s="222"/>
      <c r="J38" t="str">
        <f t="shared" ref="J38:J42" si="8">A38</f>
        <v>Kearsarge Regional High School</v>
      </c>
      <c r="K38" s="20">
        <v>8357152.1799999997</v>
      </c>
      <c r="L38" s="20">
        <v>587135.30000000005</v>
      </c>
      <c r="M38" s="307">
        <v>293061.7</v>
      </c>
      <c r="N38" s="20">
        <v>1076346.33</v>
      </c>
      <c r="O38" s="20">
        <f>4057096.19+208712.41</f>
        <v>4265808.5999999996</v>
      </c>
      <c r="P38" s="20">
        <f>229381.42+8723.64</f>
        <v>238105.06</v>
      </c>
      <c r="Q38" s="20"/>
    </row>
    <row r="39" spans="1:18" x14ac:dyDescent="0.2">
      <c r="A39" t="str" cm="1">
        <f t="array" ref="A39">IFERROR(INDEX('School Tables'!$W$4:$AC$100,'School Tables'!$AF5,3),"")</f>
        <v/>
      </c>
      <c r="B39" s="229" t="str">
        <f>IFERROR(VLOOKUP(A39,'School Tables'!$Y$4:$Z$100,2,FALSE),"")</f>
        <v/>
      </c>
      <c r="C39" s="222" t="str">
        <f>IFERROR(INDEX('School Tables'!$X$4:$X$100,MATCH('School Level Expenditures'!A39,'School Tables'!$Y$4:$Y$100,0)),"")</f>
        <v/>
      </c>
      <c r="D39" s="219"/>
      <c r="E39" s="219"/>
      <c r="F39" s="231">
        <f t="shared" si="7"/>
        <v>0</v>
      </c>
      <c r="G39" s="222"/>
      <c r="H39" s="222"/>
      <c r="J39" t="str">
        <f t="shared" si="8"/>
        <v/>
      </c>
      <c r="K39" s="20"/>
      <c r="L39" s="20"/>
      <c r="M39" s="20"/>
      <c r="N39" s="20"/>
      <c r="O39" s="20"/>
      <c r="P39" s="20"/>
      <c r="Q39" s="20"/>
    </row>
    <row r="40" spans="1:18" x14ac:dyDescent="0.2">
      <c r="A40" t="str" cm="1">
        <f t="array" ref="A40">IFERROR(INDEX('School Tables'!$W$4:$AC$100,'School Tables'!$AF6,3),"")</f>
        <v/>
      </c>
      <c r="B40" s="229" t="str">
        <f>IFERROR(VLOOKUP(A40,'School Tables'!$Y$4:$Z$100,2,FALSE),"")</f>
        <v/>
      </c>
      <c r="C40" s="222" t="str">
        <f>IFERROR(INDEX('School Tables'!$X$4:$X$100,MATCH('School Level Expenditures'!A40,'School Tables'!$Y$4:$Y$100,0)),"")</f>
        <v/>
      </c>
      <c r="D40" s="219"/>
      <c r="E40" s="219"/>
      <c r="F40" s="231">
        <f t="shared" si="7"/>
        <v>0</v>
      </c>
      <c r="G40" s="222"/>
      <c r="H40" s="222"/>
      <c r="J40" t="str">
        <f t="shared" si="8"/>
        <v/>
      </c>
      <c r="K40" s="20"/>
      <c r="L40" s="20"/>
      <c r="M40" s="20"/>
      <c r="N40" s="20"/>
      <c r="O40" s="20"/>
      <c r="P40" s="20"/>
      <c r="Q40" s="20"/>
    </row>
    <row r="41" spans="1:18" x14ac:dyDescent="0.2">
      <c r="A41" t="str" cm="1">
        <f t="array" ref="A41">IFERROR(INDEX('School Tables'!$W$4:$AC$100,'School Tables'!$AF7,3),"")</f>
        <v/>
      </c>
      <c r="B41" s="229" t="str">
        <f>IFERROR(VLOOKUP(A41,'School Tables'!$Y$4:$Z$100,2,FALSE),"")</f>
        <v/>
      </c>
      <c r="C41" s="222" t="str">
        <f>IFERROR(INDEX('School Tables'!$X$4:$X$100,MATCH('School Level Expenditures'!A41,'School Tables'!$Y$4:$Y$100,0)),"")</f>
        <v/>
      </c>
      <c r="D41" s="20"/>
      <c r="E41" s="20"/>
      <c r="F41" s="231">
        <f t="shared" si="7"/>
        <v>0</v>
      </c>
      <c r="G41" s="222"/>
      <c r="H41" s="222"/>
      <c r="J41" t="str">
        <f t="shared" si="8"/>
        <v/>
      </c>
      <c r="K41" s="20"/>
      <c r="L41" s="20"/>
      <c r="M41" s="20"/>
      <c r="N41" s="20"/>
      <c r="O41" s="20"/>
      <c r="P41" s="20"/>
      <c r="Q41" s="20"/>
    </row>
    <row r="42" spans="1:18" x14ac:dyDescent="0.2">
      <c r="A42" t="str" cm="1">
        <f t="array" ref="A42">IFERROR(INDEX('School Tables'!$W$4:$AC$100,'School Tables'!$AF8,3),"")</f>
        <v/>
      </c>
      <c r="B42" s="229" t="str">
        <f>IFERROR(VLOOKUP(A42,'School Tables'!$Y$4:$Z$100,2,FALSE),"")</f>
        <v/>
      </c>
      <c r="C42" s="222" t="str">
        <f>IFERROR(INDEX('School Tables'!$X$4:$X$100,MATCH('School Level Expenditures'!A42,'School Tables'!$Y$4:$Y$100,0)),"")</f>
        <v/>
      </c>
      <c r="D42" s="20"/>
      <c r="E42" s="20"/>
      <c r="F42" s="233">
        <f t="shared" si="7"/>
        <v>0</v>
      </c>
      <c r="G42" s="234"/>
      <c r="H42" s="234"/>
      <c r="J42" t="str">
        <f t="shared" si="8"/>
        <v/>
      </c>
      <c r="K42" s="20"/>
      <c r="L42" s="20"/>
      <c r="M42" s="20"/>
      <c r="N42" s="20"/>
      <c r="O42" s="20"/>
      <c r="P42" s="20"/>
      <c r="Q42" s="20"/>
    </row>
    <row r="43" spans="1:18" ht="12" thickBot="1" x14ac:dyDescent="0.25">
      <c r="D43" s="261">
        <f>SUM(D37:D42)</f>
        <v>12405632.77</v>
      </c>
      <c r="E43" s="262">
        <f>SUM(E37:E42)</f>
        <v>462968.15</v>
      </c>
      <c r="K43" s="262">
        <f t="shared" ref="K43:Q43" si="9">SUM(K37:K42)</f>
        <v>8357152.1799999997</v>
      </c>
      <c r="L43" s="262">
        <f t="shared" si="9"/>
        <v>587135.30000000005</v>
      </c>
      <c r="M43" s="262">
        <f t="shared" si="9"/>
        <v>293061.7</v>
      </c>
      <c r="N43" s="262">
        <f t="shared" si="9"/>
        <v>1076346.33</v>
      </c>
      <c r="O43" s="262">
        <f t="shared" si="9"/>
        <v>4265808.5999999996</v>
      </c>
      <c r="P43" s="262">
        <f t="shared" si="9"/>
        <v>238105.06</v>
      </c>
      <c r="Q43" s="262">
        <f t="shared" si="9"/>
        <v>0</v>
      </c>
    </row>
    <row r="44" spans="1:18" ht="12" thickTop="1" x14ac:dyDescent="0.2"/>
    <row r="46" spans="1:18" ht="12" x14ac:dyDescent="0.2">
      <c r="A46" s="210" t="s">
        <v>767</v>
      </c>
      <c r="B46" s="209"/>
      <c r="C46" s="209"/>
      <c r="D46" s="209"/>
      <c r="E46" s="209"/>
      <c r="F46" s="209"/>
      <c r="G46" s="209"/>
      <c r="H46" s="209"/>
      <c r="J46" s="209"/>
      <c r="K46" s="209"/>
      <c r="L46" s="209"/>
    </row>
    <row r="47" spans="1:18" ht="12" x14ac:dyDescent="0.2">
      <c r="A47" s="209" t="s">
        <v>1554</v>
      </c>
      <c r="B47" s="209"/>
      <c r="C47" s="209"/>
      <c r="D47" s="209"/>
      <c r="E47" s="209"/>
      <c r="F47" s="209"/>
      <c r="G47" s="209"/>
      <c r="H47" s="209"/>
      <c r="J47" s="209"/>
      <c r="K47" s="209"/>
      <c r="L47" s="209"/>
    </row>
    <row r="48" spans="1:18" ht="12" x14ac:dyDescent="0.2">
      <c r="A48" s="209" t="s">
        <v>1555</v>
      </c>
      <c r="B48" s="209"/>
      <c r="C48" s="209"/>
      <c r="D48" s="209"/>
      <c r="E48" s="209"/>
      <c r="F48" s="209"/>
      <c r="G48" s="209"/>
      <c r="H48" s="209"/>
      <c r="J48" s="209"/>
      <c r="K48" s="209"/>
      <c r="L48" s="209"/>
      <c r="R48"/>
    </row>
    <row r="49" spans="1:18" ht="12" x14ac:dyDescent="0.2">
      <c r="A49" s="209"/>
      <c r="B49" s="209"/>
      <c r="C49" s="209"/>
      <c r="D49" s="209"/>
      <c r="E49" s="209"/>
      <c r="F49" s="209"/>
      <c r="G49" s="209"/>
      <c r="H49" s="209"/>
      <c r="J49" s="209"/>
      <c r="K49" s="209"/>
      <c r="L49" s="209"/>
      <c r="R49"/>
    </row>
    <row r="50" spans="1:18" ht="12" x14ac:dyDescent="0.2">
      <c r="A50" s="209" t="s">
        <v>1556</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1557</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330"/>
      <c r="B58" s="330"/>
      <c r="C58" s="330"/>
      <c r="D58" s="330"/>
      <c r="E58" s="330"/>
      <c r="F58" s="330"/>
      <c r="G58" s="330"/>
      <c r="H58" s="209"/>
      <c r="J58" s="209"/>
      <c r="K58" s="209"/>
      <c r="L58" s="209"/>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06" zoomScale="80" zoomScaleNormal="80" workbookViewId="0">
      <selection activeCell="G118" sqref="G1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Kearsarge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4742239.9800000004</v>
      </c>
      <c r="D8" s="73">
        <f>'DOE25'!G9</f>
        <v>0</v>
      </c>
      <c r="E8" s="73">
        <f>'DOE25'!H9</f>
        <v>0</v>
      </c>
      <c r="F8" s="73">
        <f>'DOE25'!I9</f>
        <v>166833.5</v>
      </c>
      <c r="G8" s="73">
        <f>'DOE25'!J9</f>
        <v>0</v>
      </c>
      <c r="H8" s="90">
        <f>SUM(C8:G8)</f>
        <v>4909073.4800000004</v>
      </c>
      <c r="I8" s="90"/>
    </row>
    <row r="9" spans="1:9" x14ac:dyDescent="0.2">
      <c r="A9" s="1" t="s">
        <v>140</v>
      </c>
      <c r="B9" s="6">
        <v>110</v>
      </c>
      <c r="C9" s="73">
        <f>'DOE25'!F10</f>
        <v>1660770.51</v>
      </c>
      <c r="D9" s="73">
        <f>'DOE25'!G10</f>
        <v>86823.52</v>
      </c>
      <c r="E9" s="73">
        <f>'DOE25'!H10</f>
        <v>0</v>
      </c>
      <c r="F9" s="73">
        <f>'DOE25'!I10</f>
        <v>0</v>
      </c>
      <c r="G9" s="73">
        <f>'DOE25'!J10</f>
        <v>2233497.81</v>
      </c>
      <c r="H9" s="90">
        <f t="shared" ref="H9:H18" si="0">SUM(C9:G9)</f>
        <v>3981091.84</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709320.13</v>
      </c>
      <c r="D11" s="73">
        <f>'DOE25'!G12</f>
        <v>56616.21</v>
      </c>
      <c r="E11" s="73">
        <f>'DOE25'!H12</f>
        <v>317195.61</v>
      </c>
      <c r="F11" s="73">
        <f>'DOE25'!I12</f>
        <v>0</v>
      </c>
      <c r="G11" s="73">
        <f>'DOE25'!J12</f>
        <v>2</v>
      </c>
      <c r="H11" s="90">
        <f t="shared" si="0"/>
        <v>1083133.95</v>
      </c>
      <c r="I11" s="90"/>
    </row>
    <row r="12" spans="1:9" x14ac:dyDescent="0.2">
      <c r="A12" s="1" t="s">
        <v>143</v>
      </c>
      <c r="B12" s="6">
        <v>140</v>
      </c>
      <c r="C12" s="73">
        <f>'DOE25'!F13</f>
        <v>166114.26</v>
      </c>
      <c r="D12" s="73">
        <f>'DOE25'!G13</f>
        <v>65302.039999999994</v>
      </c>
      <c r="E12" s="73">
        <f>'DOE25'!H13</f>
        <v>363841.48</v>
      </c>
      <c r="F12" s="73">
        <f>'DOE25'!I13</f>
        <v>0</v>
      </c>
      <c r="G12" s="73">
        <f>'DOE25'!J13</f>
        <v>0</v>
      </c>
      <c r="H12" s="90">
        <f t="shared" si="0"/>
        <v>595257.78</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104241.87999999999</v>
      </c>
      <c r="D15" s="73">
        <f>'DOE25'!G16</f>
        <v>10488.710000000001</v>
      </c>
      <c r="E15" s="73">
        <f>'DOE25'!H16</f>
        <v>0</v>
      </c>
      <c r="F15" s="73">
        <f>'DOE25'!I16</f>
        <v>0</v>
      </c>
      <c r="G15" s="23" t="s">
        <v>288</v>
      </c>
      <c r="H15" s="90">
        <f t="shared" si="0"/>
        <v>114730.59</v>
      </c>
      <c r="I15" s="90"/>
    </row>
    <row r="16" spans="1:9" x14ac:dyDescent="0.2">
      <c r="A16" s="1" t="s">
        <v>147</v>
      </c>
      <c r="B16" s="6">
        <v>180</v>
      </c>
      <c r="C16" s="73">
        <f>'DOE25'!F17</f>
        <v>17376</v>
      </c>
      <c r="D16" s="73">
        <f>'DOE25'!G17</f>
        <v>0</v>
      </c>
      <c r="E16" s="73">
        <f>'DOE25'!H17</f>
        <v>0</v>
      </c>
      <c r="F16" s="73">
        <f>'DOE25'!I17</f>
        <v>0</v>
      </c>
      <c r="G16" s="73">
        <f>'DOE25'!J17</f>
        <v>0</v>
      </c>
      <c r="H16" s="90">
        <f t="shared" si="0"/>
        <v>17376</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7400062.7599999998</v>
      </c>
      <c r="D18" s="38">
        <f>SUM(D8:D17)</f>
        <v>219230.48</v>
      </c>
      <c r="E18" s="38">
        <f>SUM(E8:E17)</f>
        <v>681037.09</v>
      </c>
      <c r="F18" s="38">
        <f>SUM(F8:F17)</f>
        <v>166833.5</v>
      </c>
      <c r="G18" s="38">
        <f>SUM(G8:G17)</f>
        <v>2233499.81</v>
      </c>
      <c r="H18" s="38">
        <f t="shared" si="0"/>
        <v>10700663.640000001</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673480.73</v>
      </c>
      <c r="D21" s="73">
        <f>'DOE25'!G22</f>
        <v>29251.68</v>
      </c>
      <c r="E21" s="73">
        <f>'DOE25'!H22</f>
        <v>334669.54000000004</v>
      </c>
      <c r="F21" s="73">
        <f>'DOE25'!I22</f>
        <v>45732</v>
      </c>
      <c r="G21" s="73">
        <f>'DOE25'!J22</f>
        <v>0</v>
      </c>
      <c r="H21" s="90">
        <f t="shared" ref="H21:H31" si="1">SUM(C21:G21)</f>
        <v>1083133.9500000002</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280886.24</v>
      </c>
      <c r="D23" s="73">
        <f>'DOE25'!G24</f>
        <v>70941.899999999994</v>
      </c>
      <c r="E23" s="73">
        <f>'DOE25'!H24</f>
        <v>53178.32</v>
      </c>
      <c r="F23" s="73">
        <f>'DOE25'!I24</f>
        <v>0</v>
      </c>
      <c r="G23" s="73">
        <f>'DOE25'!J24</f>
        <v>0</v>
      </c>
      <c r="H23" s="90">
        <f t="shared" si="1"/>
        <v>405006.46</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1595996.61</v>
      </c>
      <c r="D27" s="73">
        <f>'DOE25'!G28</f>
        <v>0</v>
      </c>
      <c r="E27" s="73">
        <f>'DOE25'!H28</f>
        <v>45669.74</v>
      </c>
      <c r="F27" s="73">
        <f>'DOE25'!I28</f>
        <v>0</v>
      </c>
      <c r="G27" s="23" t="s">
        <v>288</v>
      </c>
      <c r="H27" s="90">
        <f t="shared" si="1"/>
        <v>1641666.35</v>
      </c>
      <c r="I27" s="90"/>
    </row>
    <row r="28" spans="1:9" x14ac:dyDescent="0.2">
      <c r="A28" s="1" t="s">
        <v>157</v>
      </c>
      <c r="B28" s="6">
        <v>470</v>
      </c>
      <c r="C28" s="73">
        <f>'DOE25'!F29</f>
        <v>47371.17</v>
      </c>
      <c r="D28" s="73">
        <f>'DOE25'!G29</f>
        <v>0</v>
      </c>
      <c r="E28" s="73">
        <f>'DOE25'!H29</f>
        <v>0</v>
      </c>
      <c r="F28" s="73">
        <f>'DOE25'!I29</f>
        <v>0</v>
      </c>
      <c r="G28" s="23" t="s">
        <v>288</v>
      </c>
      <c r="H28" s="90">
        <f t="shared" si="1"/>
        <v>47371.17</v>
      </c>
      <c r="I28" s="90"/>
    </row>
    <row r="29" spans="1:9" x14ac:dyDescent="0.2">
      <c r="A29" s="1" t="s">
        <v>158</v>
      </c>
      <c r="B29" s="6">
        <v>480</v>
      </c>
      <c r="C29" s="73">
        <f>'DOE25'!F30</f>
        <v>6815</v>
      </c>
      <c r="D29" s="73">
        <f>'DOE25'!G30</f>
        <v>80183.470000000016</v>
      </c>
      <c r="E29" s="73">
        <f>'DOE25'!H30</f>
        <v>191271.16999999998</v>
      </c>
      <c r="F29" s="73">
        <f>'DOE25'!I30</f>
        <v>0</v>
      </c>
      <c r="G29" s="23" t="s">
        <v>288</v>
      </c>
      <c r="H29" s="90">
        <f t="shared" si="1"/>
        <v>278269.64</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2604549.75</v>
      </c>
      <c r="D31" s="38">
        <f>SUM(D21:D30)</f>
        <v>180377.05</v>
      </c>
      <c r="E31" s="38">
        <f>SUM(E21:E30)</f>
        <v>624788.77</v>
      </c>
      <c r="F31" s="38">
        <f>SUM(F21:F30)</f>
        <v>45732</v>
      </c>
      <c r="G31" s="38">
        <f>SUM(G21:G30)</f>
        <v>0</v>
      </c>
      <c r="H31" s="38">
        <f t="shared" si="1"/>
        <v>3455447.57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104241.88</v>
      </c>
      <c r="D34" s="73">
        <f>'DOE25'!G35</f>
        <v>10488.71</v>
      </c>
      <c r="E34" s="73">
        <f>'DOE25'!H35</f>
        <v>0</v>
      </c>
      <c r="F34" s="73">
        <f>'DOE25'!I35</f>
        <v>0</v>
      </c>
      <c r="G34" s="23" t="s">
        <v>288</v>
      </c>
      <c r="H34" s="90">
        <f t="shared" ref="H34:H51" si="2">SUM(C34:G34)</f>
        <v>114730.59</v>
      </c>
      <c r="I34" s="90"/>
    </row>
    <row r="35" spans="1:9" x14ac:dyDescent="0.2">
      <c r="A35" s="1" t="s">
        <v>849</v>
      </c>
      <c r="B35" s="6">
        <v>752</v>
      </c>
      <c r="C35" s="73">
        <f>'DOE25'!F36</f>
        <v>17376</v>
      </c>
      <c r="D35" s="73">
        <f>'DOE25'!G36</f>
        <v>0</v>
      </c>
      <c r="E35" s="73">
        <f>'DOE25'!H36</f>
        <v>0</v>
      </c>
      <c r="F35" s="73">
        <f>'DOE25'!I36</f>
        <v>0</v>
      </c>
      <c r="G35" s="23" t="s">
        <v>288</v>
      </c>
      <c r="H35" s="90">
        <f t="shared" si="2"/>
        <v>17376</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28364.720000000001</v>
      </c>
      <c r="E39" s="23" t="s">
        <v>288</v>
      </c>
      <c r="F39" s="23" t="s">
        <v>288</v>
      </c>
      <c r="G39" s="23" t="s">
        <v>288</v>
      </c>
      <c r="H39" s="90">
        <f t="shared" si="2"/>
        <v>28364.720000000001</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90">
        <f t="shared" si="2"/>
        <v>0</v>
      </c>
      <c r="I42" s="90"/>
    </row>
    <row r="43" spans="1:9" x14ac:dyDescent="0.2">
      <c r="A43" s="1" t="s">
        <v>862</v>
      </c>
      <c r="B43" s="6">
        <v>755</v>
      </c>
      <c r="C43" s="73">
        <f>'DOE25'!F44</f>
        <v>112000</v>
      </c>
      <c r="D43" s="73">
        <f>'DOE25'!G44</f>
        <v>0</v>
      </c>
      <c r="E43" s="73">
        <f>'DOE25'!H44</f>
        <v>0</v>
      </c>
      <c r="F43" s="73">
        <f>'DOE25'!I44</f>
        <v>0</v>
      </c>
      <c r="G43" s="23" t="s">
        <v>288</v>
      </c>
      <c r="H43" s="90">
        <f t="shared" si="2"/>
        <v>112000</v>
      </c>
      <c r="I43" s="90"/>
    </row>
    <row r="44" spans="1:9" x14ac:dyDescent="0.2">
      <c r="A44" s="1" t="s">
        <v>863</v>
      </c>
      <c r="B44" s="6">
        <v>753</v>
      </c>
      <c r="C44" s="73">
        <f>'DOE25'!F45</f>
        <v>792411.99</v>
      </c>
      <c r="D44" s="73">
        <f>'DOE25'!G45</f>
        <v>0</v>
      </c>
      <c r="E44" s="73">
        <f>'DOE25'!H45</f>
        <v>56248.32</v>
      </c>
      <c r="F44" s="73">
        <f>'DOE25'!I45</f>
        <v>0</v>
      </c>
      <c r="G44" s="73">
        <f>'DOE25'!J45</f>
        <v>0</v>
      </c>
      <c r="H44" s="90">
        <f t="shared" si="2"/>
        <v>848660.30999999994</v>
      </c>
      <c r="I44" s="90"/>
    </row>
    <row r="45" spans="1:9" x14ac:dyDescent="0.2">
      <c r="A45" s="1" t="s">
        <v>879</v>
      </c>
      <c r="B45" s="6"/>
      <c r="C45" s="73">
        <f>'DOE25'!F46</f>
        <v>930358</v>
      </c>
      <c r="D45" s="23" t="s">
        <v>288</v>
      </c>
      <c r="E45" s="23" t="s">
        <v>288</v>
      </c>
      <c r="F45" s="23" t="s">
        <v>288</v>
      </c>
      <c r="G45" s="23" t="s">
        <v>288</v>
      </c>
      <c r="H45" s="90">
        <f t="shared" si="2"/>
        <v>930358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121101.5</v>
      </c>
      <c r="G47" s="73">
        <f>'DOE25'!J48</f>
        <v>2233499.81</v>
      </c>
      <c r="H47" s="90">
        <f t="shared" si="2"/>
        <v>2354601.31</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2839125.14</v>
      </c>
      <c r="D49" s="23" t="s">
        <v>288</v>
      </c>
      <c r="E49" s="23" t="s">
        <v>288</v>
      </c>
      <c r="F49" s="23" t="s">
        <v>288</v>
      </c>
      <c r="G49" s="23" t="s">
        <v>288</v>
      </c>
      <c r="H49" s="90">
        <f t="shared" si="2"/>
        <v>2839125.14</v>
      </c>
      <c r="I49" s="90"/>
    </row>
    <row r="50" spans="1:9" ht="12.75" thickTop="1" thickBot="1" x14ac:dyDescent="0.25">
      <c r="A50" s="35" t="s">
        <v>883</v>
      </c>
      <c r="B50" s="44"/>
      <c r="C50" s="38">
        <f>SUM(C34:C49)</f>
        <v>4795513.01</v>
      </c>
      <c r="D50" s="38">
        <f>SUM(D34:D49)</f>
        <v>38853.43</v>
      </c>
      <c r="E50" s="38">
        <f>SUM(E34:E49)</f>
        <v>56248.32</v>
      </c>
      <c r="F50" s="38">
        <f>SUM(F34:F49)</f>
        <v>121101.5</v>
      </c>
      <c r="G50" s="38">
        <f>SUM(G34:G49)</f>
        <v>2233499.81</v>
      </c>
      <c r="H50" s="38">
        <f t="shared" si="2"/>
        <v>7245216.0700000003</v>
      </c>
      <c r="I50" s="90"/>
    </row>
    <row r="51" spans="1:9" ht="12" thickTop="1" x14ac:dyDescent="0.2">
      <c r="A51" s="35" t="s">
        <v>884</v>
      </c>
      <c r="B51" s="2"/>
      <c r="C51" s="38">
        <f>C50+C31</f>
        <v>7400062.7599999998</v>
      </c>
      <c r="D51" s="38">
        <f>D50+D31</f>
        <v>219230.47999999998</v>
      </c>
      <c r="E51" s="38">
        <f>E50+E31</f>
        <v>681037.09</v>
      </c>
      <c r="F51" s="38">
        <f>F50+F31</f>
        <v>166833.5</v>
      </c>
      <c r="G51" s="38">
        <f>G50+G31</f>
        <v>2233499.81</v>
      </c>
      <c r="H51" s="38">
        <f t="shared" si="2"/>
        <v>10700663.640000001</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32565642</v>
      </c>
      <c r="D56" s="73">
        <f>'DOE25'!G60</f>
        <v>0</v>
      </c>
      <c r="E56" s="73">
        <f>'DOE25'!H60</f>
        <v>0</v>
      </c>
      <c r="F56" s="73">
        <f>'DOE25'!I60</f>
        <v>0</v>
      </c>
      <c r="G56" s="73">
        <f>'DOE25'!J60</f>
        <v>0</v>
      </c>
      <c r="H56" s="90">
        <f t="shared" ref="H56:H63" si="3">SUM(C56:G56)</f>
        <v>32565642</v>
      </c>
      <c r="I56"/>
    </row>
    <row r="57" spans="1:9" x14ac:dyDescent="0.2">
      <c r="A57" s="1" t="s">
        <v>164</v>
      </c>
      <c r="B57" s="6" t="s">
        <v>165</v>
      </c>
      <c r="C57" s="73">
        <f>'DOE25'!F79</f>
        <v>149925.08000000002</v>
      </c>
      <c r="D57" s="23" t="s">
        <v>288</v>
      </c>
      <c r="E57" s="73">
        <f>'DOE25'!H79</f>
        <v>0</v>
      </c>
      <c r="F57" s="23" t="s">
        <v>288</v>
      </c>
      <c r="G57" s="23" t="s">
        <v>288</v>
      </c>
      <c r="H57" s="90">
        <f t="shared" si="3"/>
        <v>149925.08000000002</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205332.81</v>
      </c>
      <c r="D59" s="73">
        <f>'DOE25'!G96</f>
        <v>30990.32</v>
      </c>
      <c r="E59" s="73">
        <f>'DOE25'!H96</f>
        <v>0</v>
      </c>
      <c r="F59" s="73">
        <f>'DOE25'!I96</f>
        <v>6296.98</v>
      </c>
      <c r="G59" s="73">
        <f>'DOE25'!J96</f>
        <v>0</v>
      </c>
      <c r="H59" s="90">
        <f t="shared" si="3"/>
        <v>242620.11000000002</v>
      </c>
      <c r="I59"/>
    </row>
    <row r="60" spans="1:9" x14ac:dyDescent="0.2">
      <c r="A60" s="1" t="s">
        <v>170</v>
      </c>
      <c r="B60" s="22" t="s">
        <v>171</v>
      </c>
      <c r="C60" s="23" t="s">
        <v>288</v>
      </c>
      <c r="D60" s="73">
        <f>'DOE25'!G97</f>
        <v>359599.09</v>
      </c>
      <c r="E60" s="23" t="s">
        <v>288</v>
      </c>
      <c r="F60" s="23" t="s">
        <v>288</v>
      </c>
      <c r="G60" s="23" t="s">
        <v>288</v>
      </c>
      <c r="H60" s="90">
        <f t="shared" si="3"/>
        <v>359599.09</v>
      </c>
      <c r="I60"/>
    </row>
    <row r="61" spans="1:9" ht="12" thickBot="1" x14ac:dyDescent="0.25">
      <c r="A61" s="1" t="s">
        <v>172</v>
      </c>
      <c r="B61" s="22" t="s">
        <v>173</v>
      </c>
      <c r="C61" s="73">
        <f>SUM('DOE25'!F98:F110)</f>
        <v>86924.24</v>
      </c>
      <c r="D61" s="73">
        <f>SUM('DOE25'!G98:G110)</f>
        <v>37320.9</v>
      </c>
      <c r="E61" s="73">
        <f>SUM('DOE25'!H98:H110)</f>
        <v>52385.14</v>
      </c>
      <c r="F61" s="73">
        <f>SUM('DOE25'!I98:I110)</f>
        <v>0</v>
      </c>
      <c r="G61" s="73">
        <f>SUM('DOE25'!J98:J110)</f>
        <v>99305.709999999992</v>
      </c>
      <c r="H61" s="90">
        <f t="shared" si="3"/>
        <v>275935.99</v>
      </c>
      <c r="I61"/>
    </row>
    <row r="62" spans="1:9" ht="12.75" thickTop="1" thickBot="1" x14ac:dyDescent="0.25">
      <c r="A62" s="28" t="s">
        <v>174</v>
      </c>
      <c r="B62" s="6"/>
      <c r="C62" s="93">
        <f>SUM(C57:C61)</f>
        <v>442182.13</v>
      </c>
      <c r="D62" s="93">
        <f>SUM(D57:D61)</f>
        <v>427910.31000000006</v>
      </c>
      <c r="E62" s="93">
        <f>SUM(E57:E61)</f>
        <v>52385.14</v>
      </c>
      <c r="F62" s="93">
        <f>SUM(F57:F61)</f>
        <v>6296.98</v>
      </c>
      <c r="G62" s="93">
        <f>SUM(G57:G61)</f>
        <v>99305.709999999992</v>
      </c>
      <c r="H62" s="90">
        <f t="shared" si="3"/>
        <v>1028080.27</v>
      </c>
      <c r="I62"/>
    </row>
    <row r="63" spans="1:9" ht="12" thickTop="1" x14ac:dyDescent="0.2">
      <c r="A63" s="28" t="s">
        <v>175</v>
      </c>
      <c r="B63" s="6"/>
      <c r="C63" s="21">
        <f>C56+C62</f>
        <v>33007824.129999999</v>
      </c>
      <c r="D63" s="21">
        <f>D56+D62</f>
        <v>427910.31000000006</v>
      </c>
      <c r="E63" s="21">
        <f>E56+E62</f>
        <v>52385.14</v>
      </c>
      <c r="F63" s="21">
        <f>F56+F62</f>
        <v>6296.98</v>
      </c>
      <c r="G63" s="21">
        <f>G56+G62</f>
        <v>99305.709999999992</v>
      </c>
      <c r="H63" s="90">
        <f t="shared" si="3"/>
        <v>33593722.269999996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5221942.55</v>
      </c>
      <c r="D66" s="23" t="s">
        <v>288</v>
      </c>
      <c r="E66" s="23" t="s">
        <v>288</v>
      </c>
      <c r="F66" s="23" t="s">
        <v>288</v>
      </c>
      <c r="G66" s="23" t="s">
        <v>288</v>
      </c>
      <c r="H66" s="90">
        <f t="shared" ref="H66:H81" si="4">SUM(C66:G66)</f>
        <v>5221942.55</v>
      </c>
      <c r="I66"/>
    </row>
    <row r="67" spans="1:9" x14ac:dyDescent="0.2">
      <c r="A67" s="1" t="s">
        <v>770</v>
      </c>
      <c r="B67" s="6">
        <v>3112</v>
      </c>
      <c r="C67" s="73">
        <f>'DOE25'!F118</f>
        <v>4648681</v>
      </c>
      <c r="D67" s="23"/>
      <c r="E67" s="23"/>
      <c r="F67" s="23"/>
      <c r="G67" s="23"/>
      <c r="H67" s="90">
        <f t="shared" si="4"/>
        <v>4648681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238493.04</v>
      </c>
      <c r="D69" s="73">
        <f>'DOE25'!G120</f>
        <v>0</v>
      </c>
      <c r="E69" s="73">
        <f>'DOE25'!H120</f>
        <v>0</v>
      </c>
      <c r="F69" s="73">
        <f>'DOE25'!I120</f>
        <v>0</v>
      </c>
      <c r="G69" s="73">
        <f>'DOE25'!J120</f>
        <v>0</v>
      </c>
      <c r="H69" s="90">
        <f t="shared" si="4"/>
        <v>238493.04</v>
      </c>
      <c r="I69"/>
    </row>
    <row r="70" spans="1:9" ht="12" thickTop="1" x14ac:dyDescent="0.2">
      <c r="A70" s="28" t="s">
        <v>252</v>
      </c>
      <c r="B70" s="2"/>
      <c r="C70" s="97">
        <f>SUM(C66:C69)</f>
        <v>10109116.59</v>
      </c>
      <c r="D70" s="97">
        <f>D69</f>
        <v>0</v>
      </c>
      <c r="E70" s="97">
        <f>E69</f>
        <v>0</v>
      </c>
      <c r="F70" s="97">
        <f>F69</f>
        <v>0</v>
      </c>
      <c r="G70" s="97">
        <f>G69</f>
        <v>0</v>
      </c>
      <c r="H70" s="90">
        <f t="shared" si="4"/>
        <v>10109116.59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607489.21</v>
      </c>
      <c r="D72" s="23" t="s">
        <v>288</v>
      </c>
      <c r="E72" s="23" t="s">
        <v>288</v>
      </c>
      <c r="F72" s="73">
        <f>'DOE25'!I123</f>
        <v>0</v>
      </c>
      <c r="G72" s="23" t="s">
        <v>288</v>
      </c>
      <c r="H72" s="90">
        <f t="shared" si="4"/>
        <v>607489.21</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112118.33</v>
      </c>
      <c r="D75" s="23" t="s">
        <v>288</v>
      </c>
      <c r="E75" s="23" t="s">
        <v>288</v>
      </c>
      <c r="F75" s="23" t="s">
        <v>288</v>
      </c>
      <c r="G75" s="23" t="s">
        <v>288</v>
      </c>
      <c r="H75" s="90">
        <f t="shared" si="4"/>
        <v>112118.33</v>
      </c>
      <c r="I75"/>
    </row>
    <row r="76" spans="1:9" x14ac:dyDescent="0.2">
      <c r="A76" s="1" t="s">
        <v>257</v>
      </c>
      <c r="B76" s="6" t="s">
        <v>179</v>
      </c>
      <c r="C76" s="73">
        <f>SUM('DOE25'!F127:F130)</f>
        <v>58669.5</v>
      </c>
      <c r="D76" s="23" t="s">
        <v>288</v>
      </c>
      <c r="E76" s="73">
        <f>SUM('DOE25'!H127:H130)</f>
        <v>0</v>
      </c>
      <c r="F76" s="73">
        <f>SUM('DOE25'!I127:I130)</f>
        <v>0</v>
      </c>
      <c r="G76" s="23" t="s">
        <v>288</v>
      </c>
      <c r="H76" s="90">
        <f t="shared" si="4"/>
        <v>58669.5</v>
      </c>
      <c r="I76"/>
    </row>
    <row r="77" spans="1:9" ht="12" thickBot="1" x14ac:dyDescent="0.25">
      <c r="A77" s="1" t="s">
        <v>258</v>
      </c>
      <c r="B77" s="6" t="s">
        <v>180</v>
      </c>
      <c r="C77" s="73">
        <f>SUM('DOE25'!F131:F135)</f>
        <v>0</v>
      </c>
      <c r="D77" s="73">
        <f>SUM('DOE25'!G131:G135)</f>
        <v>5597.26</v>
      </c>
      <c r="E77" s="73">
        <f>SUM('DOE25'!H131:H135)</f>
        <v>135283.35</v>
      </c>
      <c r="F77" s="73">
        <f>SUM('DOE25'!I131:I135)</f>
        <v>0</v>
      </c>
      <c r="G77" s="73">
        <f>SUM('DOE25'!J131:J135)</f>
        <v>0</v>
      </c>
      <c r="H77" s="90">
        <f t="shared" si="4"/>
        <v>140880.61000000002</v>
      </c>
      <c r="I77"/>
    </row>
    <row r="78" spans="1:9" ht="12.75" thickTop="1" thickBot="1" x14ac:dyDescent="0.25">
      <c r="A78" s="28" t="s">
        <v>259</v>
      </c>
      <c r="B78" s="6"/>
      <c r="C78" s="93">
        <f>SUM(C72:C77)</f>
        <v>778277.03999999992</v>
      </c>
      <c r="D78" s="93">
        <f>SUM(D72:D77)</f>
        <v>5597.26</v>
      </c>
      <c r="E78" s="93">
        <f>SUM(E72:E77)</f>
        <v>135283.35</v>
      </c>
      <c r="F78" s="93">
        <f>SUM(F72:F77)</f>
        <v>0</v>
      </c>
      <c r="G78" s="93">
        <f>SUM(G72:G77)</f>
        <v>0</v>
      </c>
      <c r="H78" s="90">
        <f t="shared" si="4"/>
        <v>919157.64999999991</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10887393.629999999</v>
      </c>
      <c r="D81" s="93">
        <f>SUM(D79:D80)+D78+D70</f>
        <v>5597.26</v>
      </c>
      <c r="E81" s="93">
        <f>SUM(E79:E80)+E78+E70</f>
        <v>135283.35</v>
      </c>
      <c r="F81" s="93">
        <f>SUM(F79:F80)+F78+F70</f>
        <v>0</v>
      </c>
      <c r="G81" s="93">
        <f>SUM(G79:G80)+G78+G70</f>
        <v>0</v>
      </c>
      <c r="H81" s="93">
        <f t="shared" si="4"/>
        <v>11028274.239999998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6" t="s">
        <v>747</v>
      </c>
      <c r="B88" s="230" t="s">
        <v>184</v>
      </c>
      <c r="C88" s="252">
        <f>SUM('DOE25'!F153:F162)</f>
        <v>143237.47</v>
      </c>
      <c r="D88" s="252">
        <f>SUM('DOE25'!G153:G162)</f>
        <v>267968.01</v>
      </c>
      <c r="E88" s="252">
        <f>SUM('DOE25'!H153:H162)</f>
        <v>1770719.51</v>
      </c>
      <c r="F88" s="252">
        <f>SUM('DOE25'!I153:I162)</f>
        <v>0</v>
      </c>
      <c r="G88" s="23" t="s">
        <v>288</v>
      </c>
      <c r="H88" s="90">
        <f t="shared" si="5"/>
        <v>2181924.9900000002</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143237.47</v>
      </c>
      <c r="D91" s="94">
        <f>SUM(D85:D90)</f>
        <v>267968.01</v>
      </c>
      <c r="E91" s="94">
        <f>SUM(E85:E90)</f>
        <v>1770719.51</v>
      </c>
      <c r="F91" s="94">
        <f>SUM(F85:F90)</f>
        <v>0</v>
      </c>
      <c r="G91" s="23" t="s">
        <v>288</v>
      </c>
      <c r="H91" s="90">
        <f t="shared" si="5"/>
        <v>2181924.9900000002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21489.73</v>
      </c>
      <c r="D94" s="23" t="s">
        <v>288</v>
      </c>
      <c r="E94" s="23" t="s">
        <v>288</v>
      </c>
      <c r="F94" s="73">
        <f>'DOE25'!I177</f>
        <v>0</v>
      </c>
      <c r="G94" s="23" t="s">
        <v>288</v>
      </c>
      <c r="H94" s="90">
        <f t="shared" si="5"/>
        <v>21489.73</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60000</v>
      </c>
      <c r="H96" s="90">
        <f t="shared" si="5"/>
        <v>60000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200000</v>
      </c>
      <c r="D100" s="73">
        <f>SUM('DOE25'!G187:G188)</f>
        <v>0</v>
      </c>
      <c r="E100" s="73">
        <f>SUM('DOE25'!H187:H188)</f>
        <v>0</v>
      </c>
      <c r="F100" s="73">
        <f>SUM('DOE25'!I187:I188)</f>
        <v>0</v>
      </c>
      <c r="G100" s="23" t="s">
        <v>288</v>
      </c>
      <c r="H100" s="90">
        <f t="shared" si="5"/>
        <v>200000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221489.73</v>
      </c>
      <c r="D103" s="68">
        <f>SUM(D93:D102)</f>
        <v>0</v>
      </c>
      <c r="E103" s="68">
        <f>SUM(E93:E102)</f>
        <v>0</v>
      </c>
      <c r="F103" s="68">
        <f>SUM(F93:F102)</f>
        <v>0</v>
      </c>
      <c r="G103" s="68">
        <f>SUM(G93:G102)</f>
        <v>60000</v>
      </c>
      <c r="H103" s="68">
        <f t="shared" si="5"/>
        <v>281489.73</v>
      </c>
    </row>
    <row r="104" spans="1:8" ht="12.75" thickTop="1" thickBot="1" x14ac:dyDescent="0.25">
      <c r="A104" s="32" t="s">
        <v>761</v>
      </c>
      <c r="C104" s="68">
        <f>C63+C81+C91+C103</f>
        <v>44259944.959999993</v>
      </c>
      <c r="D104" s="68">
        <f>D63+D81+D91+D103</f>
        <v>701475.58000000007</v>
      </c>
      <c r="E104" s="68">
        <f>E63+E81+E91+E103</f>
        <v>1958388</v>
      </c>
      <c r="F104" s="68">
        <f>F63+F81+F91+F103</f>
        <v>6296.98</v>
      </c>
      <c r="G104" s="68">
        <f>G63+G81+G103</f>
        <v>159305.71</v>
      </c>
      <c r="H104" s="68">
        <f t="shared" si="5"/>
        <v>47085411.229999989</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19303171.969999999</v>
      </c>
      <c r="D109" s="23" t="s">
        <v>288</v>
      </c>
      <c r="E109" s="73">
        <f>('DOE25'!L277)+('DOE25'!L296)+('DOE25'!L315)</f>
        <v>251632.62</v>
      </c>
      <c r="F109" s="23" t="s">
        <v>288</v>
      </c>
      <c r="G109" s="23" t="s">
        <v>288</v>
      </c>
      <c r="H109" s="90">
        <f t="shared" ref="H109:H115" si="6">SUM(C109:G109)</f>
        <v>19554804.59</v>
      </c>
    </row>
    <row r="110" spans="1:8" x14ac:dyDescent="0.2">
      <c r="A110" t="s">
        <v>198</v>
      </c>
      <c r="B110" s="31" t="s">
        <v>199</v>
      </c>
      <c r="C110" s="73">
        <f>('DOE25'!L199)+('DOE25'!L217)+('DOE25'!L235)</f>
        <v>7379074.9900000002</v>
      </c>
      <c r="D110" s="23" t="s">
        <v>288</v>
      </c>
      <c r="E110" s="73">
        <f>('DOE25'!L278)+('DOE25'!L297)+('DOE25'!L316)</f>
        <v>434076.00000000006</v>
      </c>
      <c r="F110" s="23" t="s">
        <v>288</v>
      </c>
      <c r="G110" s="23" t="s">
        <v>288</v>
      </c>
      <c r="H110" s="90">
        <f t="shared" si="6"/>
        <v>7813150.9900000002</v>
      </c>
    </row>
    <row r="111" spans="1:8" x14ac:dyDescent="0.2">
      <c r="A111" t="s">
        <v>200</v>
      </c>
      <c r="B111" s="31" t="s">
        <v>165</v>
      </c>
      <c r="C111" s="73">
        <f>('DOE25'!L200)+('DOE25'!L218)+('DOE25'!L236)</f>
        <v>62986.82</v>
      </c>
      <c r="D111" s="23" t="s">
        <v>288</v>
      </c>
      <c r="E111" s="73">
        <f>('DOE25'!L279)+('DOE25'!L298)+('DOE25'!L317)</f>
        <v>0</v>
      </c>
      <c r="F111" s="23" t="s">
        <v>288</v>
      </c>
      <c r="G111" s="23" t="s">
        <v>288</v>
      </c>
      <c r="H111" s="90">
        <f t="shared" si="6"/>
        <v>62986.82</v>
      </c>
    </row>
    <row r="112" spans="1:8" x14ac:dyDescent="0.2">
      <c r="A112" t="s">
        <v>201</v>
      </c>
      <c r="B112" s="31" t="s">
        <v>167</v>
      </c>
      <c r="C112" s="73">
        <f>('DOE25'!L201)+('DOE25'!L219)+('DOE25'!L237)</f>
        <v>570873.41999999993</v>
      </c>
      <c r="D112" s="23" t="s">
        <v>288</v>
      </c>
      <c r="E112" s="73">
        <f>+('DOE25'!L280)+('DOE25'!L299)+('DOE25'!L318)</f>
        <v>7843.11</v>
      </c>
      <c r="F112" s="23" t="s">
        <v>288</v>
      </c>
      <c r="G112" s="23" t="s">
        <v>288</v>
      </c>
      <c r="H112" s="90">
        <f t="shared" si="6"/>
        <v>578716.52999999991</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71336.649999999994</v>
      </c>
      <c r="D114" s="23" t="s">
        <v>288</v>
      </c>
      <c r="E114" s="73">
        <f>+ SUM('DOE25'!L334:L336)</f>
        <v>0</v>
      </c>
      <c r="F114" s="23" t="s">
        <v>288</v>
      </c>
      <c r="G114" s="23" t="s">
        <v>288</v>
      </c>
      <c r="H114" s="90">
        <f t="shared" si="6"/>
        <v>71336.649999999994</v>
      </c>
    </row>
    <row r="115" spans="1:8" ht="12.75" thickTop="1" thickBot="1" x14ac:dyDescent="0.25">
      <c r="A115" s="32" t="s">
        <v>205</v>
      </c>
      <c r="C115" s="68">
        <f>SUM(C109:C114)</f>
        <v>27387443.850000001</v>
      </c>
      <c r="D115" s="68">
        <f>SUM(D109:D114)</f>
        <v>0</v>
      </c>
      <c r="E115" s="68">
        <f>SUM(E109:E114)</f>
        <v>693551.7300000001</v>
      </c>
      <c r="F115" s="68">
        <f>SUM(F109:F114)</f>
        <v>0</v>
      </c>
      <c r="G115" s="68">
        <f>SUM(G109:G114)</f>
        <v>0</v>
      </c>
      <c r="H115" s="68">
        <f t="shared" si="6"/>
        <v>28080995.580000002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1964768.8</v>
      </c>
      <c r="D118" s="23" t="s">
        <v>288</v>
      </c>
      <c r="E118" s="73">
        <f>+('DOE25'!L282)+('DOE25'!L301)+('DOE25'!L320)</f>
        <v>6017.77</v>
      </c>
      <c r="F118" s="23" t="s">
        <v>288</v>
      </c>
      <c r="G118" s="23" t="s">
        <v>288</v>
      </c>
      <c r="H118" s="90">
        <f t="shared" ref="H118:H145" si="7">SUM(C118:G118)</f>
        <v>1970786.57</v>
      </c>
    </row>
    <row r="119" spans="1:8" x14ac:dyDescent="0.2">
      <c r="A119" t="s">
        <v>208</v>
      </c>
      <c r="B119" s="31" t="s">
        <v>209</v>
      </c>
      <c r="C119" s="73">
        <f>('DOE25'!L204)+('DOE25'!L222)+('DOE25'!L240)</f>
        <v>709578.68</v>
      </c>
      <c r="D119" s="23" t="s">
        <v>288</v>
      </c>
      <c r="E119" s="73">
        <f>+('DOE25'!L283)+('DOE25'!L302)+('DOE25'!L321)</f>
        <v>351169.06000000006</v>
      </c>
      <c r="F119" s="23" t="s">
        <v>288</v>
      </c>
      <c r="G119" s="23" t="s">
        <v>288</v>
      </c>
      <c r="H119" s="90">
        <f t="shared" si="7"/>
        <v>1060747.7400000002</v>
      </c>
    </row>
    <row r="120" spans="1:8" x14ac:dyDescent="0.2">
      <c r="A120" t="s">
        <v>210</v>
      </c>
      <c r="B120" s="31" t="s">
        <v>211</v>
      </c>
      <c r="C120" s="73">
        <f>('DOE25'!L205)+('DOE25'!L223)+('DOE25'!L241)</f>
        <v>2125574.69</v>
      </c>
      <c r="D120" s="23" t="s">
        <v>288</v>
      </c>
      <c r="E120" s="73">
        <f>+('DOE25'!L284)+('DOE25'!L303)+('DOE25'!L322)</f>
        <v>0</v>
      </c>
      <c r="F120" s="23" t="s">
        <v>288</v>
      </c>
      <c r="G120" s="23" t="s">
        <v>288</v>
      </c>
      <c r="H120" s="90">
        <f t="shared" si="7"/>
        <v>2125574.69</v>
      </c>
    </row>
    <row r="121" spans="1:8" x14ac:dyDescent="0.2">
      <c r="A121" t="s">
        <v>212</v>
      </c>
      <c r="B121" s="31" t="s">
        <v>213</v>
      </c>
      <c r="C121" s="73">
        <f>('DOE25'!L206)+('DOE25'!L224)+('DOE25'!L242)</f>
        <v>2670990.12</v>
      </c>
      <c r="D121" s="23" t="s">
        <v>288</v>
      </c>
      <c r="E121" s="73">
        <f>+('DOE25'!L285)+('DOE25'!L304)+('DOE25'!L323)</f>
        <v>69558.69</v>
      </c>
      <c r="F121" s="23" t="s">
        <v>288</v>
      </c>
      <c r="G121" s="23" t="s">
        <v>288</v>
      </c>
      <c r="H121" s="90">
        <f t="shared" si="7"/>
        <v>2740548.81</v>
      </c>
    </row>
    <row r="122" spans="1:8" x14ac:dyDescent="0.2">
      <c r="A122" t="s">
        <v>214</v>
      </c>
      <c r="B122" s="31" t="s">
        <v>215</v>
      </c>
      <c r="C122" s="73">
        <f>('DOE25'!L207)+('DOE25'!L225)+('DOE25'!L243)</f>
        <v>0</v>
      </c>
      <c r="D122" s="23" t="s">
        <v>288</v>
      </c>
      <c r="E122" s="73">
        <f>+('DOE25'!L286)+('DOE25'!L305)+('DOE25'!L324)</f>
        <v>2245</v>
      </c>
      <c r="F122" s="23" t="s">
        <v>288</v>
      </c>
      <c r="G122" s="23" t="s">
        <v>288</v>
      </c>
      <c r="H122" s="90">
        <f t="shared" si="7"/>
        <v>2245</v>
      </c>
    </row>
    <row r="123" spans="1:8" x14ac:dyDescent="0.2">
      <c r="A123" t="s">
        <v>216</v>
      </c>
      <c r="B123" s="31" t="s">
        <v>217</v>
      </c>
      <c r="C123" s="73">
        <f>('DOE25'!L208)+('DOE25'!L226)+('DOE25'!L244)</f>
        <v>5141677.26</v>
      </c>
      <c r="D123" s="23" t="s">
        <v>288</v>
      </c>
      <c r="E123" s="73">
        <f>+('DOE25'!L287)+('DOE25'!L306)+('DOE25'!L325)</f>
        <v>811503</v>
      </c>
      <c r="F123" s="23" t="s">
        <v>288</v>
      </c>
      <c r="G123" s="23" t="s">
        <v>288</v>
      </c>
      <c r="H123" s="90">
        <f t="shared" si="7"/>
        <v>5953180.2599999998</v>
      </c>
    </row>
    <row r="124" spans="1:8" x14ac:dyDescent="0.2">
      <c r="A124" t="s">
        <v>218</v>
      </c>
      <c r="B124" s="31" t="s">
        <v>219</v>
      </c>
      <c r="C124" s="73">
        <f>('DOE25'!L209)+('DOE25'!L227)+('DOE25'!L245+'DOE25'!L255)</f>
        <v>2110142.59</v>
      </c>
      <c r="D124" s="23" t="s">
        <v>288</v>
      </c>
      <c r="E124" s="73">
        <f>+('DOE25'!L288)+('DOE25'!L307)+('DOE25'!L326)</f>
        <v>0</v>
      </c>
      <c r="F124" s="23" t="s">
        <v>288</v>
      </c>
      <c r="G124" s="23" t="s">
        <v>288</v>
      </c>
      <c r="H124" s="90">
        <f t="shared" si="7"/>
        <v>2110142.59</v>
      </c>
    </row>
    <row r="125" spans="1:8" x14ac:dyDescent="0.2">
      <c r="A125" t="s">
        <v>220</v>
      </c>
      <c r="B125" s="31" t="s">
        <v>221</v>
      </c>
      <c r="C125" s="73">
        <f>('DOE25'!L210)+('DOE25'!L228)+('DOE25'!L246)</f>
        <v>0</v>
      </c>
      <c r="D125" s="23" t="s">
        <v>288</v>
      </c>
      <c r="E125" s="73">
        <f>+('DOE25'!L289)+('DOE25'!L308)+('DOE25'!L327)</f>
        <v>24342.75</v>
      </c>
      <c r="F125" s="23" t="s">
        <v>288</v>
      </c>
      <c r="G125" s="23" t="s">
        <v>288</v>
      </c>
      <c r="H125" s="90">
        <f t="shared" si="7"/>
        <v>24342.75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745813.53</v>
      </c>
      <c r="E127" s="23" t="s">
        <v>288</v>
      </c>
      <c r="F127" s="23" t="s">
        <v>288</v>
      </c>
      <c r="G127" s="23" t="s">
        <v>288</v>
      </c>
      <c r="H127" s="90">
        <f t="shared" si="7"/>
        <v>745813.53</v>
      </c>
    </row>
    <row r="128" spans="1:8" ht="12.75" thickTop="1" thickBot="1" x14ac:dyDescent="0.25">
      <c r="A128" s="32" t="s">
        <v>226</v>
      </c>
      <c r="C128" s="68">
        <f>SUM(C118:C127)</f>
        <v>14722732.140000001</v>
      </c>
      <c r="D128" s="68">
        <f>SUM(D118:D127)</f>
        <v>745813.53</v>
      </c>
      <c r="E128" s="68">
        <f>SUM(E118:E127)</f>
        <v>1264836.27</v>
      </c>
      <c r="F128" s="68">
        <f>SUM(F118:F127)</f>
        <v>0</v>
      </c>
      <c r="G128" s="68">
        <f>SUM(G118:G127)</f>
        <v>0</v>
      </c>
      <c r="H128" s="68">
        <f t="shared" si="7"/>
        <v>16733381.939999999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1037719.55</v>
      </c>
      <c r="D131" s="23" t="s">
        <v>288</v>
      </c>
      <c r="E131" s="92">
        <f>'DOE25'!L342</f>
        <v>0</v>
      </c>
      <c r="F131" s="23" t="s">
        <v>288</v>
      </c>
      <c r="G131" s="23" t="s">
        <v>288</v>
      </c>
      <c r="H131" s="90">
        <f t="shared" si="7"/>
        <v>1037719.55</v>
      </c>
    </row>
    <row r="132" spans="1:8" x14ac:dyDescent="0.2">
      <c r="A132" t="s">
        <v>230</v>
      </c>
      <c r="B132" s="31">
        <v>5120</v>
      </c>
      <c r="C132" s="73">
        <f>'DOE25'!L262</f>
        <v>905001.31</v>
      </c>
      <c r="D132" s="23" t="s">
        <v>288</v>
      </c>
      <c r="E132" s="92">
        <f>'DOE25'!L343</f>
        <v>0</v>
      </c>
      <c r="F132" s="23" t="s">
        <v>288</v>
      </c>
      <c r="G132" s="23" t="s">
        <v>288</v>
      </c>
      <c r="H132" s="90">
        <f t="shared" si="7"/>
        <v>905001.31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229684.96</v>
      </c>
      <c r="H134" s="90">
        <f t="shared" si="7"/>
        <v>229684.96</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159305.71</v>
      </c>
      <c r="D139" s="23" t="s">
        <v>288</v>
      </c>
      <c r="E139" s="23" t="s">
        <v>288</v>
      </c>
      <c r="F139" s="23" t="s">
        <v>288</v>
      </c>
      <c r="G139" s="23" t="s">
        <v>288</v>
      </c>
      <c r="H139" s="90">
        <f t="shared" si="7"/>
        <v>159305.71</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-99305.709999999992</v>
      </c>
      <c r="D141" s="23" t="s">
        <v>288</v>
      </c>
      <c r="E141" s="23" t="s">
        <v>288</v>
      </c>
      <c r="F141" s="23" t="s">
        <v>288</v>
      </c>
      <c r="G141" s="23" t="s">
        <v>288</v>
      </c>
      <c r="H141" s="90">
        <f t="shared" si="7"/>
        <v>-99305.709999999992</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2002720.8600000003</v>
      </c>
      <c r="D144" s="98">
        <f>SUM(D130:D143)</f>
        <v>0</v>
      </c>
      <c r="E144" s="98">
        <f>SUM(E130:E143)</f>
        <v>0</v>
      </c>
      <c r="F144" s="98">
        <f>SUM(F130:F143)</f>
        <v>0</v>
      </c>
      <c r="G144" s="98">
        <f>SUM(G130:G143)</f>
        <v>229684.96</v>
      </c>
      <c r="H144" s="98">
        <f t="shared" si="7"/>
        <v>2232405.8200000003</v>
      </c>
    </row>
    <row r="145" spans="1:9" ht="12.75" thickTop="1" thickBot="1" x14ac:dyDescent="0.25">
      <c r="A145" s="32" t="s">
        <v>244</v>
      </c>
      <c r="C145" s="68">
        <f>(C115+C128+C144)</f>
        <v>44112896.850000001</v>
      </c>
      <c r="D145" s="68">
        <f>(D115+D128+D144)</f>
        <v>745813.53</v>
      </c>
      <c r="E145" s="68">
        <f>(E115+E128+E144)</f>
        <v>1958388</v>
      </c>
      <c r="F145" s="68">
        <f>(F115+F128+F144)</f>
        <v>0</v>
      </c>
      <c r="G145" s="68">
        <f>(G115+G128+G144)</f>
        <v>229684.96</v>
      </c>
      <c r="H145" s="68">
        <f t="shared" si="7"/>
        <v>47046783.340000004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15</v>
      </c>
      <c r="D151" s="110">
        <f>'DOE25'!H491</f>
        <v>0</v>
      </c>
      <c r="E151" s="110">
        <f>'DOE25'!I491</f>
        <v>0</v>
      </c>
      <c r="F151" s="110">
        <f>'DOE25'!J491</f>
        <v>0</v>
      </c>
      <c r="G151" s="23" t="s">
        <v>288</v>
      </c>
    </row>
    <row r="152" spans="1:9" x14ac:dyDescent="0.2">
      <c r="A152" s="21" t="s">
        <v>28</v>
      </c>
      <c r="B152" s="109" t="str">
        <f>'DOE25'!F492</f>
        <v>08/06</v>
      </c>
      <c r="C152" s="109" t="str">
        <f>'DOE25'!G492</f>
        <v>11/10</v>
      </c>
      <c r="D152" s="109">
        <f>'DOE25'!H492</f>
        <v>0</v>
      </c>
      <c r="E152" s="109">
        <f>'DOE25'!I492</f>
        <v>0</v>
      </c>
      <c r="F152" s="109">
        <f>'DOE25'!J492</f>
        <v>0</v>
      </c>
      <c r="G152" s="23" t="s">
        <v>288</v>
      </c>
    </row>
    <row r="153" spans="1:9" x14ac:dyDescent="0.2">
      <c r="A153" s="21" t="s">
        <v>29</v>
      </c>
      <c r="B153" s="109" t="str">
        <f>'DOE25'!F493</f>
        <v>08/26</v>
      </c>
      <c r="C153" s="109" t="str">
        <f>'DOE25'!G493</f>
        <v>7/25</v>
      </c>
      <c r="D153" s="109">
        <f>'DOE25'!H493</f>
        <v>0</v>
      </c>
      <c r="E153" s="109">
        <f>'DOE25'!I493</f>
        <v>0</v>
      </c>
      <c r="F153" s="109">
        <f>'DOE25'!J493</f>
        <v>0</v>
      </c>
      <c r="G153" s="23" t="s">
        <v>288</v>
      </c>
    </row>
    <row r="154" spans="1:9" x14ac:dyDescent="0.2">
      <c r="A154" s="21" t="s">
        <v>30</v>
      </c>
      <c r="B154" s="19">
        <f>'DOE25'!F494</f>
        <v>24450150</v>
      </c>
      <c r="C154" s="19">
        <f>'DOE25'!G494</f>
        <v>2231283</v>
      </c>
      <c r="D154" s="19">
        <f>'DOE25'!H494</f>
        <v>0</v>
      </c>
      <c r="E154" s="19">
        <f>'DOE25'!I494</f>
        <v>0</v>
      </c>
      <c r="F154" s="19">
        <f>'DOE25'!J494</f>
        <v>0</v>
      </c>
      <c r="G154" s="23" t="s">
        <v>288</v>
      </c>
    </row>
    <row r="155" spans="1:9" x14ac:dyDescent="0.2">
      <c r="A155" s="21" t="s">
        <v>31</v>
      </c>
      <c r="B155" s="19">
        <f>'DOE25'!F495</f>
        <v>4.6100000000000003</v>
      </c>
      <c r="C155" s="19">
        <f>'DOE25'!G495</f>
        <v>4.375</v>
      </c>
      <c r="D155" s="19">
        <f>'DOE25'!H495</f>
        <v>0</v>
      </c>
      <c r="E155" s="19">
        <f>'DOE25'!I495</f>
        <v>0</v>
      </c>
      <c r="F155" s="19">
        <f>'DOE25'!J495</f>
        <v>0</v>
      </c>
      <c r="G155" s="23" t="s">
        <v>288</v>
      </c>
    </row>
    <row r="156" spans="1:9" x14ac:dyDescent="0.2">
      <c r="A156" s="21" t="s">
        <v>32</v>
      </c>
      <c r="B156" s="19">
        <f>'DOE25'!F496</f>
        <v>4061192.5799999996</v>
      </c>
      <c r="C156" s="19">
        <f>'DOE25'!G496</f>
        <v>595008.80000000028</v>
      </c>
      <c r="D156" s="19">
        <f>'DOE25'!H496</f>
        <v>0</v>
      </c>
      <c r="E156" s="19">
        <f>'DOE25'!I496</f>
        <v>0</v>
      </c>
      <c r="F156" s="19">
        <f>'DOE25'!J496</f>
        <v>0</v>
      </c>
      <c r="G156" s="96">
        <f>SUM(B156:F156)</f>
        <v>4656201.38</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888967.35</v>
      </c>
      <c r="C158" s="19">
        <f>'DOE25'!G498</f>
        <v>148752.20000000001</v>
      </c>
      <c r="D158" s="19">
        <f>'DOE25'!H498</f>
        <v>0</v>
      </c>
      <c r="E158" s="19">
        <f>'DOE25'!I498</f>
        <v>0</v>
      </c>
      <c r="F158" s="19">
        <f>'DOE25'!J498</f>
        <v>0</v>
      </c>
      <c r="G158" s="96">
        <f t="shared" si="8"/>
        <v>1037719.55</v>
      </c>
    </row>
    <row r="159" spans="1:9" x14ac:dyDescent="0.2">
      <c r="A159" s="21" t="s">
        <v>35</v>
      </c>
      <c r="B159" s="19">
        <f>'DOE25'!F499</f>
        <v>3172225.2299999995</v>
      </c>
      <c r="C159" s="19">
        <f>'DOE25'!G499</f>
        <v>446256.60000000027</v>
      </c>
      <c r="D159" s="19">
        <f>'DOE25'!H499</f>
        <v>0</v>
      </c>
      <c r="E159" s="19">
        <f>'DOE25'!I499</f>
        <v>0</v>
      </c>
      <c r="F159" s="19">
        <f>'DOE25'!J499</f>
        <v>0</v>
      </c>
      <c r="G159" s="96">
        <f t="shared" si="8"/>
        <v>3618481.8299999996</v>
      </c>
    </row>
    <row r="160" spans="1:9" x14ac:dyDescent="0.2">
      <c r="A160" s="21" t="s">
        <v>36</v>
      </c>
      <c r="B160" s="19">
        <f>'DOE25'!F500</f>
        <v>4057892.9</v>
      </c>
      <c r="C160" s="19">
        <f>'DOE25'!G500</f>
        <v>29241.02</v>
      </c>
      <c r="D160" s="19">
        <f>'DOE25'!H500</f>
        <v>0</v>
      </c>
      <c r="E160" s="19">
        <f>'DOE25'!I500</f>
        <v>0</v>
      </c>
      <c r="F160" s="19">
        <f>'DOE25'!J500</f>
        <v>0</v>
      </c>
      <c r="G160" s="96">
        <f t="shared" si="8"/>
        <v>4087133.92</v>
      </c>
    </row>
    <row r="161" spans="1:7" x14ac:dyDescent="0.2">
      <c r="A161" s="21" t="s">
        <v>37</v>
      </c>
      <c r="B161" s="19">
        <f>'DOE25'!F501</f>
        <v>7230118.129999999</v>
      </c>
      <c r="C161" s="19">
        <f>'DOE25'!G501</f>
        <v>475497.62000000029</v>
      </c>
      <c r="D161" s="19">
        <f>'DOE25'!H501</f>
        <v>0</v>
      </c>
      <c r="E161" s="19">
        <f>'DOE25'!I501</f>
        <v>0</v>
      </c>
      <c r="F161" s="19">
        <f>'DOE25'!J501</f>
        <v>0</v>
      </c>
      <c r="G161" s="96">
        <f t="shared" si="8"/>
        <v>7705615.7499999991</v>
      </c>
    </row>
    <row r="162" spans="1:7" x14ac:dyDescent="0.2">
      <c r="A162" s="21" t="s">
        <v>38</v>
      </c>
      <c r="B162" s="19">
        <f>'DOE25'!F502</f>
        <v>849360.15</v>
      </c>
      <c r="C162" s="19">
        <f>'DOE25'!G502</f>
        <v>148752.20000000001</v>
      </c>
      <c r="D162" s="19">
        <f>'DOE25'!H502</f>
        <v>0</v>
      </c>
      <c r="E162" s="19">
        <f>'DOE25'!I502</f>
        <v>0</v>
      </c>
      <c r="F162" s="19">
        <f>'DOE25'!J502</f>
        <v>0</v>
      </c>
      <c r="G162" s="96">
        <f t="shared" si="8"/>
        <v>998112.35000000009</v>
      </c>
    </row>
    <row r="163" spans="1:7" x14ac:dyDescent="0.2">
      <c r="A163" s="21" t="s">
        <v>39</v>
      </c>
      <c r="B163" s="19">
        <f>'DOE25'!F503</f>
        <v>918190.48</v>
      </c>
      <c r="C163" s="19">
        <f>'DOE25'!G503</f>
        <v>16243.03</v>
      </c>
      <c r="D163" s="19">
        <f>'DOE25'!H503</f>
        <v>0</v>
      </c>
      <c r="E163" s="19">
        <f>'DOE25'!I503</f>
        <v>0</v>
      </c>
      <c r="F163" s="19">
        <f>'DOE25'!J503</f>
        <v>0</v>
      </c>
      <c r="G163" s="96">
        <f t="shared" si="8"/>
        <v>934433.51</v>
      </c>
    </row>
    <row r="164" spans="1:7" x14ac:dyDescent="0.2">
      <c r="A164" s="21" t="s">
        <v>246</v>
      </c>
      <c r="B164" s="19">
        <f>'DOE25'!F504</f>
        <v>1767550.63</v>
      </c>
      <c r="C164" s="19">
        <f>'DOE25'!G504</f>
        <v>164995.23000000001</v>
      </c>
      <c r="D164" s="19">
        <f>'DOE25'!H504</f>
        <v>0</v>
      </c>
      <c r="E164" s="19">
        <f>'DOE25'!I504</f>
        <v>0</v>
      </c>
      <c r="F164" s="19">
        <f>'DOE25'!J504</f>
        <v>0</v>
      </c>
      <c r="G164" s="96">
        <f t="shared" si="8"/>
        <v>1932545.8599999999</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G118" sqref="G1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Kearsarge Regional</v>
      </c>
    </row>
    <row r="3" spans="1:4" x14ac:dyDescent="0.2">
      <c r="B3" s="136" t="s">
        <v>1799</v>
      </c>
    </row>
    <row r="4" spans="1:4" x14ac:dyDescent="0.2">
      <c r="B4" t="s">
        <v>61</v>
      </c>
      <c r="C4" s="128">
        <f>IF('DOE25'!F666+'DOE25'!F671=0,0,ROUND('DOE25'!F673,0))</f>
        <v>23466</v>
      </c>
    </row>
    <row r="5" spans="1:4" x14ac:dyDescent="0.2">
      <c r="B5" t="s">
        <v>700</v>
      </c>
      <c r="C5" s="128">
        <f>IF('DOE25'!G666+'DOE25'!G671=0,0,ROUND('DOE25'!G673,0))</f>
        <v>23527</v>
      </c>
    </row>
    <row r="6" spans="1:4" x14ac:dyDescent="0.2">
      <c r="B6" t="s">
        <v>62</v>
      </c>
      <c r="C6" s="128">
        <f>IF('DOE25'!H666+'DOE25'!H671=0,0,ROUND('DOE25'!H673,0))</f>
        <v>24505</v>
      </c>
    </row>
    <row r="7" spans="1:4" x14ac:dyDescent="0.2">
      <c r="B7" t="s">
        <v>701</v>
      </c>
      <c r="C7" s="128">
        <f>IF('DOE25'!I666+'DOE25'!I671=0,0,ROUND('DOE25'!I673,0))</f>
        <v>23775</v>
      </c>
    </row>
    <row r="9" spans="1:4" x14ac:dyDescent="0.2">
      <c r="A9" s="135" t="s">
        <v>94</v>
      </c>
      <c r="B9" s="136" t="s">
        <v>1800</v>
      </c>
      <c r="C9" s="130" t="s">
        <v>720</v>
      </c>
      <c r="D9" s="130" t="s">
        <v>721</v>
      </c>
    </row>
    <row r="10" spans="1:4" x14ac:dyDescent="0.2">
      <c r="A10">
        <v>1100</v>
      </c>
      <c r="B10" t="s">
        <v>702</v>
      </c>
      <c r="C10" s="128">
        <f>ROUND('DOE25'!L198+'DOE25'!L216+'DOE25'!L234+'DOE25'!L277+'DOE25'!L296+'DOE25'!L315,0)</f>
        <v>19554805</v>
      </c>
      <c r="D10" s="131">
        <f>ROUND((C10/$C$28)*100,1)</f>
        <v>43.1</v>
      </c>
    </row>
    <row r="11" spans="1:4" x14ac:dyDescent="0.2">
      <c r="A11">
        <v>1200</v>
      </c>
      <c r="B11" t="s">
        <v>703</v>
      </c>
      <c r="C11" s="128">
        <f>ROUND('DOE25'!L199+'DOE25'!L217+'DOE25'!L235+'DOE25'!L278+'DOE25'!L297+'DOE25'!L316,0)</f>
        <v>7813151</v>
      </c>
      <c r="D11" s="131">
        <f>ROUND((C11/$C$28)*100,1)</f>
        <v>17.2</v>
      </c>
    </row>
    <row r="12" spans="1:4" x14ac:dyDescent="0.2">
      <c r="A12">
        <v>1300</v>
      </c>
      <c r="B12" t="s">
        <v>704</v>
      </c>
      <c r="C12" s="128">
        <f>ROUND('DOE25'!L200+'DOE25'!L218+'DOE25'!L236+'DOE25'!L279+'DOE25'!L298+'DOE25'!L317,0)</f>
        <v>62987</v>
      </c>
      <c r="D12" s="131">
        <f>ROUND((C12/$C$28)*100,1)</f>
        <v>0.1</v>
      </c>
    </row>
    <row r="13" spans="1:4" x14ac:dyDescent="0.2">
      <c r="A13">
        <v>1400</v>
      </c>
      <c r="B13" t="s">
        <v>705</v>
      </c>
      <c r="C13" s="128">
        <f>ROUND('DOE25'!L201+'DOE25'!L219+'DOE25'!L237+'DOE25'!L280+'DOE25'!L299+'DOE25'!L318,0)</f>
        <v>578717</v>
      </c>
      <c r="D13" s="131">
        <f>ROUND((C13/$C$28)*100,1)</f>
        <v>1.3</v>
      </c>
    </row>
    <row r="14" spans="1:4" x14ac:dyDescent="0.2">
      <c r="D14" s="131"/>
    </row>
    <row r="15" spans="1:4" x14ac:dyDescent="0.2">
      <c r="A15">
        <v>2100</v>
      </c>
      <c r="B15" t="s">
        <v>706</v>
      </c>
      <c r="C15" s="128">
        <f>ROUND('DOE25'!L203+'DOE25'!L221+'DOE25'!L239+'DOE25'!L282+'DOE25'!L301+'DOE25'!L320,0)</f>
        <v>1970787</v>
      </c>
      <c r="D15" s="131">
        <f t="shared" ref="D15:D27" si="0">ROUND((C15/$C$28)*100,1)</f>
        <v>4.3</v>
      </c>
    </row>
    <row r="16" spans="1:4" x14ac:dyDescent="0.2">
      <c r="A16">
        <v>2200</v>
      </c>
      <c r="B16" t="s">
        <v>707</v>
      </c>
      <c r="C16" s="128">
        <f>ROUND('DOE25'!L204+'DOE25'!L222+'DOE25'!L240+'DOE25'!L283+'DOE25'!L302+'DOE25'!L321,0)</f>
        <v>1060748</v>
      </c>
      <c r="D16" s="131">
        <f t="shared" si="0"/>
        <v>2.2999999999999998</v>
      </c>
    </row>
    <row r="17" spans="1:4" x14ac:dyDescent="0.2">
      <c r="A17" s="132" t="s">
        <v>723</v>
      </c>
      <c r="B17" t="s">
        <v>738</v>
      </c>
      <c r="C17" s="128">
        <f>ROUND('DOE25'!L205+'DOE25'!L210+'DOE25'!L223+'DOE25'!L228+'DOE25'!L241+'DOE25'!L246+'DOE25'!L284+'DOE25'!L289+'DOE25'!L303+'DOE25'!L308+'DOE25'!L322+'DOE25'!L327,0)</f>
        <v>2149917</v>
      </c>
      <c r="D17" s="131">
        <f t="shared" si="0"/>
        <v>4.7</v>
      </c>
    </row>
    <row r="18" spans="1:4" x14ac:dyDescent="0.2">
      <c r="A18">
        <v>2400</v>
      </c>
      <c r="B18" t="s">
        <v>711</v>
      </c>
      <c r="C18" s="128">
        <f>ROUND('DOE25'!L206+'DOE25'!L224+'DOE25'!L242+'DOE25'!L285+'DOE25'!L304+'DOE25'!L323,0)</f>
        <v>2740549</v>
      </c>
      <c r="D18" s="131">
        <f t="shared" si="0"/>
        <v>6</v>
      </c>
    </row>
    <row r="19" spans="1:4" x14ac:dyDescent="0.2">
      <c r="A19">
        <v>2500</v>
      </c>
      <c r="B19" t="s">
        <v>708</v>
      </c>
      <c r="C19" s="128">
        <f>ROUND('DOE25'!L207+'DOE25'!L225+'DOE25'!L243+'DOE25'!L286+'DOE25'!L305+'DOE25'!L324,0)</f>
        <v>2245</v>
      </c>
      <c r="D19" s="131">
        <f t="shared" si="0"/>
        <v>0</v>
      </c>
    </row>
    <row r="20" spans="1:4" x14ac:dyDescent="0.2">
      <c r="A20">
        <v>2600</v>
      </c>
      <c r="B20" t="s">
        <v>709</v>
      </c>
      <c r="C20" s="128">
        <f>ROUND('DOE25'!L208+'DOE25'!L226+'DOE25'!L244+'DOE25'!L287+'DOE25'!L306+'DOE25'!L325,0)</f>
        <v>5953180</v>
      </c>
      <c r="D20" s="131">
        <f t="shared" si="0"/>
        <v>13.1</v>
      </c>
    </row>
    <row r="21" spans="1:4" x14ac:dyDescent="0.2">
      <c r="A21">
        <v>2700</v>
      </c>
      <c r="B21" t="s">
        <v>710</v>
      </c>
      <c r="C21" s="128">
        <f>ROUND('DOE25'!L209+'DOE25'!L227+'DOE25'!L245+'DOE25'!L288+'DOE25'!L307+'DOE25'!L326,0)</f>
        <v>2110143</v>
      </c>
      <c r="D21" s="131">
        <f t="shared" si="0"/>
        <v>4.7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71337</v>
      </c>
      <c r="D24" s="131">
        <f t="shared" si="0"/>
        <v>0.2</v>
      </c>
    </row>
    <row r="25" spans="1:4" x14ac:dyDescent="0.2">
      <c r="A25">
        <v>5120</v>
      </c>
      <c r="B25" t="s">
        <v>716</v>
      </c>
      <c r="C25" s="128">
        <f>ROUND('DOE25'!L262+'DOE25'!L343,0)</f>
        <v>905001</v>
      </c>
      <c r="D25" s="131">
        <f t="shared" si="0"/>
        <v>2</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348894.00999999995</v>
      </c>
      <c r="D27" s="131">
        <f t="shared" si="0"/>
        <v>0.8</v>
      </c>
    </row>
    <row r="28" spans="1:4" x14ac:dyDescent="0.2">
      <c r="B28" s="135" t="s">
        <v>719</v>
      </c>
      <c r="C28" s="129">
        <f>SUM(C10:C27)</f>
        <v>45322461.009999998</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45322461.009999998</v>
      </c>
    </row>
    <row r="31" spans="1:4" x14ac:dyDescent="0.2">
      <c r="B31" s="32"/>
      <c r="C31" s="129"/>
    </row>
    <row r="32" spans="1:4" x14ac:dyDescent="0.2">
      <c r="A32">
        <v>5100</v>
      </c>
      <c r="B32" s="32" t="s">
        <v>726</v>
      </c>
      <c r="C32" s="129">
        <f>ROUND('DOE25'!L261+'DOE25'!L342,0)</f>
        <v>1037720</v>
      </c>
    </row>
    <row r="34" spans="1:4" x14ac:dyDescent="0.2">
      <c r="A34" s="135" t="s">
        <v>94</v>
      </c>
      <c r="B34" s="136" t="s">
        <v>1801</v>
      </c>
      <c r="C34" s="130" t="s">
        <v>720</v>
      </c>
      <c r="D34" s="130" t="s">
        <v>721</v>
      </c>
    </row>
    <row r="35" spans="1:4" x14ac:dyDescent="0.2">
      <c r="A35">
        <v>1100</v>
      </c>
      <c r="B35" s="71" t="s">
        <v>727</v>
      </c>
      <c r="C35" s="128">
        <f>ROUND('DOE25'!F60+'DOE25'!G60+'DOE25'!H60+'DOE25'!I60+'DOE25'!J60,0)</f>
        <v>32565642</v>
      </c>
      <c r="D35" s="131">
        <f t="shared" ref="D35:D40" si="1">ROUND((C35/$C$41)*100,1)</f>
        <v>70.2</v>
      </c>
    </row>
    <row r="36" spans="1:4" x14ac:dyDescent="0.2">
      <c r="B36" s="71" t="s">
        <v>739</v>
      </c>
      <c r="C36" s="128">
        <f>SUM('DOE25'!F112:J112)-SUM('DOE25'!G97:G110)+('DOE25'!F175+'DOE25'!F176+'DOE25'!I175+'DOE25'!I176)-C35</f>
        <v>631160.27999999747</v>
      </c>
      <c r="D36" s="131">
        <f t="shared" si="1"/>
        <v>1.4</v>
      </c>
    </row>
    <row r="37" spans="1:4" x14ac:dyDescent="0.2">
      <c r="A37" s="132" t="s">
        <v>834</v>
      </c>
      <c r="B37" s="71" t="s">
        <v>728</v>
      </c>
      <c r="C37" s="128">
        <f>ROUND('DOE25'!F117+'DOE25'!F118,0)</f>
        <v>9870624</v>
      </c>
      <c r="D37" s="131">
        <f t="shared" si="1"/>
        <v>21.3</v>
      </c>
    </row>
    <row r="38" spans="1:4" x14ac:dyDescent="0.2">
      <c r="A38" s="132" t="s">
        <v>734</v>
      </c>
      <c r="B38" s="71" t="s">
        <v>729</v>
      </c>
      <c r="C38" s="128">
        <f>ROUND(SUM('DOE25'!F140:J140)-SUM('DOE25'!F117:F119),0)</f>
        <v>1157651</v>
      </c>
      <c r="D38" s="131">
        <f t="shared" si="1"/>
        <v>2.5</v>
      </c>
    </row>
    <row r="39" spans="1:4" x14ac:dyDescent="0.2">
      <c r="A39">
        <v>4000</v>
      </c>
      <c r="B39" s="71" t="s">
        <v>730</v>
      </c>
      <c r="C39" s="128">
        <f>ROUND('DOE25'!F170+'DOE25'!G170+'DOE25'!H170+'DOE25'!I170,0)</f>
        <v>2181925</v>
      </c>
      <c r="D39" s="131">
        <f t="shared" si="1"/>
        <v>4.7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46407002.280000001</v>
      </c>
      <c r="D41" s="133">
        <f>SUM(D35:D40)</f>
        <v>100.10000000000001</v>
      </c>
    </row>
    <row r="42" spans="1:4" x14ac:dyDescent="0.2">
      <c r="A42" s="132" t="s">
        <v>737</v>
      </c>
      <c r="B42" s="71" t="s">
        <v>733</v>
      </c>
      <c r="C42" s="128">
        <f>ROUND('DOE25'!F174+'DOE25'!I174+'DOE25'!F177+'DOE25'!I177,0)</f>
        <v>21490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G118" sqref="G118"/>
    </sheetView>
  </sheetViews>
  <sheetFormatPr defaultRowHeight="11.25" x14ac:dyDescent="0.2"/>
  <cols>
    <col min="1" max="1" width="10.33203125" customWidth="1"/>
    <col min="14" max="14" width="6.1640625" customWidth="1"/>
  </cols>
  <sheetData>
    <row r="1" spans="1:13" ht="16.5" thickTop="1" x14ac:dyDescent="0.25">
      <c r="A1" s="340" t="s">
        <v>766</v>
      </c>
      <c r="B1" s="341"/>
      <c r="C1" s="341"/>
      <c r="D1" s="341"/>
      <c r="E1" s="341"/>
      <c r="F1" s="341"/>
      <c r="G1" s="341"/>
      <c r="H1" s="341"/>
      <c r="I1" s="341"/>
      <c r="J1" s="154"/>
      <c r="K1" s="154"/>
      <c r="L1" s="154"/>
      <c r="M1" s="155"/>
    </row>
    <row r="2" spans="1:13" ht="12.75" x14ac:dyDescent="0.2">
      <c r="A2" s="345" t="s">
        <v>763</v>
      </c>
      <c r="B2" s="346"/>
      <c r="C2" s="346"/>
      <c r="D2" s="346"/>
      <c r="E2" s="346"/>
      <c r="F2" s="343" t="str">
        <f>'DOE25'!A2</f>
        <v>Kearsarge Regional</v>
      </c>
      <c r="G2" s="344"/>
      <c r="H2" s="344"/>
      <c r="I2" s="344"/>
      <c r="M2" s="156"/>
    </row>
    <row r="3" spans="1:13" x14ac:dyDescent="0.2">
      <c r="A3" s="157" t="s">
        <v>764</v>
      </c>
      <c r="B3" s="130" t="s">
        <v>765</v>
      </c>
      <c r="C3" s="326" t="s">
        <v>767</v>
      </c>
      <c r="D3" s="326"/>
      <c r="E3" s="326"/>
      <c r="F3" s="326"/>
      <c r="G3" s="326"/>
      <c r="H3" s="326"/>
      <c r="I3" s="326"/>
      <c r="J3" s="326"/>
      <c r="K3" s="326"/>
      <c r="L3" s="326"/>
      <c r="M3" s="342"/>
    </row>
    <row r="4" spans="1:13" x14ac:dyDescent="0.2">
      <c r="A4" s="158"/>
      <c r="B4" s="149"/>
      <c r="C4" s="333" t="s">
        <v>1816</v>
      </c>
      <c r="D4" s="333"/>
      <c r="E4" s="333"/>
      <c r="F4" s="333"/>
      <c r="G4" s="333"/>
      <c r="H4" s="333"/>
      <c r="I4" s="333"/>
      <c r="J4" s="333"/>
      <c r="K4" s="333"/>
      <c r="L4" s="333"/>
      <c r="M4" s="334"/>
    </row>
    <row r="5" spans="1:13" x14ac:dyDescent="0.2">
      <c r="A5" s="158"/>
      <c r="B5" s="149"/>
      <c r="C5" s="333"/>
      <c r="D5" s="333"/>
      <c r="E5" s="333"/>
      <c r="F5" s="333"/>
      <c r="G5" s="333"/>
      <c r="H5" s="333"/>
      <c r="I5" s="333"/>
      <c r="J5" s="333"/>
      <c r="K5" s="333"/>
      <c r="L5" s="333"/>
      <c r="M5" s="334"/>
    </row>
    <row r="6" spans="1:13" x14ac:dyDescent="0.2">
      <c r="A6" s="158">
        <v>10</v>
      </c>
      <c r="B6" s="149">
        <v>18</v>
      </c>
      <c r="C6" s="333" t="s">
        <v>1817</v>
      </c>
      <c r="D6" s="333"/>
      <c r="E6" s="333"/>
      <c r="F6" s="333"/>
      <c r="G6" s="333"/>
      <c r="H6" s="333"/>
      <c r="I6" s="333"/>
      <c r="J6" s="333"/>
      <c r="K6" s="333"/>
      <c r="L6" s="333"/>
      <c r="M6" s="334"/>
    </row>
    <row r="7" spans="1:13" x14ac:dyDescent="0.2">
      <c r="A7" s="158"/>
      <c r="B7" s="20"/>
      <c r="C7" s="319" t="s">
        <v>1818</v>
      </c>
      <c r="D7" s="20"/>
      <c r="E7" s="20"/>
      <c r="F7" s="20"/>
      <c r="G7" s="20"/>
      <c r="H7" s="20"/>
      <c r="I7" s="20"/>
      <c r="J7" s="20"/>
      <c r="K7" s="20"/>
      <c r="L7" s="20"/>
      <c r="M7" s="20"/>
    </row>
    <row r="8" spans="1:13" x14ac:dyDescent="0.2">
      <c r="A8" s="158">
        <v>14</v>
      </c>
      <c r="B8" s="149">
        <v>17</v>
      </c>
      <c r="C8" s="333" t="s">
        <v>1819</v>
      </c>
      <c r="D8" s="333"/>
      <c r="E8" s="333"/>
      <c r="F8" s="333"/>
      <c r="G8" s="333"/>
      <c r="H8" s="333"/>
      <c r="I8" s="333"/>
      <c r="J8" s="333"/>
      <c r="K8" s="333"/>
      <c r="L8" s="333"/>
      <c r="M8" s="334"/>
    </row>
    <row r="9" spans="1:13" x14ac:dyDescent="0.2">
      <c r="A9" s="158">
        <v>22</v>
      </c>
      <c r="B9" s="149">
        <v>21</v>
      </c>
      <c r="C9" s="333" t="s">
        <v>1820</v>
      </c>
      <c r="D9" s="333"/>
      <c r="E9" s="333"/>
      <c r="F9" s="333"/>
      <c r="G9" s="333"/>
      <c r="H9" s="333"/>
      <c r="I9" s="333"/>
      <c r="J9" s="333"/>
      <c r="K9" s="333"/>
      <c r="L9" s="333"/>
      <c r="M9" s="334"/>
    </row>
    <row r="10" spans="1:13" x14ac:dyDescent="0.2">
      <c r="A10" s="158">
        <v>23</v>
      </c>
      <c r="B10" s="149">
        <v>8</v>
      </c>
      <c r="C10" s="333" t="s">
        <v>1821</v>
      </c>
      <c r="D10" s="333"/>
      <c r="E10" s="333"/>
      <c r="F10" s="333"/>
      <c r="G10" s="333"/>
      <c r="H10" s="333"/>
      <c r="I10" s="333"/>
      <c r="J10" s="333"/>
      <c r="K10" s="333"/>
      <c r="L10" s="333"/>
      <c r="M10" s="334"/>
    </row>
    <row r="11" spans="1:13" x14ac:dyDescent="0.2">
      <c r="A11" s="158">
        <v>23</v>
      </c>
      <c r="B11" s="149">
        <v>12</v>
      </c>
      <c r="C11" s="333" t="s">
        <v>1822</v>
      </c>
      <c r="D11" s="333"/>
      <c r="E11" s="333"/>
      <c r="F11" s="333"/>
      <c r="G11" s="333"/>
      <c r="H11" s="333"/>
      <c r="I11" s="333"/>
      <c r="J11" s="333"/>
      <c r="K11" s="333"/>
      <c r="L11" s="333"/>
      <c r="M11" s="334"/>
    </row>
    <row r="12" spans="1:13" x14ac:dyDescent="0.2">
      <c r="A12" s="158">
        <v>4</v>
      </c>
      <c r="B12" s="149">
        <v>10</v>
      </c>
      <c r="C12" s="333" t="s">
        <v>1823</v>
      </c>
      <c r="D12" s="333"/>
      <c r="E12" s="333"/>
      <c r="F12" s="333"/>
      <c r="G12" s="333"/>
      <c r="H12" s="333"/>
      <c r="I12" s="333"/>
      <c r="J12" s="333"/>
      <c r="K12" s="333"/>
      <c r="L12" s="333"/>
      <c r="M12" s="334"/>
    </row>
    <row r="13" spans="1:13" x14ac:dyDescent="0.2">
      <c r="A13" s="158">
        <v>4</v>
      </c>
      <c r="B13" s="149">
        <v>11</v>
      </c>
      <c r="C13" s="333" t="s">
        <v>1824</v>
      </c>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831</v>
      </c>
      <c r="B72" s="337"/>
      <c r="C72" s="337"/>
      <c r="D72" s="337"/>
      <c r="E72" s="337"/>
    </row>
    <row r="73" spans="1:13" x14ac:dyDescent="0.2">
      <c r="A73" s="130" t="s">
        <v>764</v>
      </c>
      <c r="B73" s="130" t="s">
        <v>765</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password="B90A" sheet="1" objects="1" scenarios="1"/>
  <mergeCells count="222">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5"/>
      <c r="L3" s="279">
        <v>999</v>
      </c>
      <c r="M3" s="279" t="s">
        <v>1540</v>
      </c>
      <c r="N3" s="279" t="s">
        <v>1540</v>
      </c>
      <c r="O3" s="279">
        <v>99999</v>
      </c>
      <c r="P3" s="279" t="s">
        <v>1525</v>
      </c>
      <c r="Q3" s="277"/>
      <c r="R3" s="278"/>
      <c r="S3" s="280"/>
      <c r="T3" s="280"/>
      <c r="U3" s="280"/>
      <c r="V3" s="236"/>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140</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f>IFERROR(SMALL($T$4:$T$75,ROWS($T$4:T4)),"")</f>
        <v>32</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36</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f>IFERROR(SMALL($I$4:$I$325,ROWS($I$4:I5)),"")</f>
        <v>149</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f>IFERROR(SMALL($I$4:$I$325,ROWS($I$4:I6)),"")</f>
        <v>150</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t="str">
        <f>IF('School Level Expenditures'!$B$2='School Tables'!W6,'School Tables'!AD6,"")</f>
        <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f>IFERROR(SMALL($I$4:$I$325,ROWS($I$4:I7)),"")</f>
        <v>270</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f>IFERROR(SMALL($I$4:$I$325,ROWS($I$4:I8)),"")</f>
        <v>285</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t="str">
        <f>IFERROR(SMALL($I$4:$I$325,ROWS($I$4:I9)),"")</f>
        <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t="str">
        <f>IF('School Level Expenditures'!$B$2='School Tables'!W14,'School Tables'!AD14,"")</f>
        <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t="str">
        <f>IF('School Level Expenditures'!$B$2=A33,'School Tables'!H33,"")</f>
        <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t="str">
        <f>IF('School Level Expenditures'!$B$2=A34,'School Tables'!H34,"")</f>
        <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f>IF('School Level Expenditures'!$B$2='School Tables'!L35,'School Tables'!S35,"")</f>
        <v>32</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38.2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t="str">
        <f>IF('School Level Expenditures'!$B$2=A38,'School Tables'!H38,"")</f>
        <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f>IF('School Level Expenditures'!$B$2='School Tables'!W39,'School Tables'!AD39,"")</f>
        <v>36</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t="str">
        <f>IF('School Level Expenditures'!$B$2='School Tables'!L52,'School Tables'!S52,"")</f>
        <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t="str">
        <f>IF('School Level Expenditures'!$B$2=A53,'School Tables'!H53,"")</f>
        <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t="str">
        <f>IF('School Level Expenditures'!$B$2='School Tables'!W58,'School Tables'!AD58,"")</f>
        <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t="str">
        <f>IF('School Level Expenditures'!$B$2=A60,'School Tables'!H60,"")</f>
        <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51"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t="str">
        <f>IF('School Level Expenditures'!$B$2='School Tables'!L62,'School Tables'!S62,"")</f>
        <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t="str">
        <f>IF('School Level Expenditures'!$B$2='School Tables'!W66,'School Tables'!AD66,"")</f>
        <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t="str">
        <f>IF('School Level Expenditures'!$B$2=A69,'School Tables'!H69,"")</f>
        <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t="str">
        <f>IF('School Level Expenditures'!$B$2='School Tables'!L75,'School Tables'!S75,"")</f>
        <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6"/>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6"/>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6"/>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6"/>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6"/>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t="str">
        <f>IF('School Level Expenditures'!$B$2=A81,'School Tables'!H81,"")</f>
        <v/>
      </c>
      <c r="J81" s="281" t="str">
        <f>IFERROR(SMALL($I$4:$I$325,ROWS($I$4:I81)),"")</f>
        <v/>
      </c>
      <c r="K81" s="256" t="b">
        <f t="shared" si="5"/>
        <v>0</v>
      </c>
      <c r="L81" s="255"/>
      <c r="M81" s="255"/>
      <c r="N81" s="255"/>
      <c r="O81" s="216"/>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t="str">
        <f>IF('School Level Expenditures'!$B$2='School Tables'!W84,'School Tables'!AD84,"")</f>
        <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6"/>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6"/>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6"/>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6"/>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6"/>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6"/>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6"/>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6"/>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6"/>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6"/>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6"/>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6"/>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6"/>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6"/>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6"/>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6"/>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6"/>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6"/>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6"/>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6"/>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6"/>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6"/>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6"/>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6"/>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6"/>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t="str">
        <f>IF('School Level Expenditures'!$B$2=A136,'School Tables'!H136,"")</f>
        <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f>IF('School Level Expenditures'!$B$2=A143,'School Tables'!H143,"")</f>
        <v>140</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f>IF('School Level Expenditures'!$B$2=A152,'School Tables'!H152,"")</f>
        <v>149</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f>IF('School Level Expenditures'!$B$2=A153,'School Tables'!H153,"")</f>
        <v>150</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t="str">
        <f>IF('School Level Expenditures'!$B$2=A179,'School Tables'!H179,"")</f>
        <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t="str">
        <f>IF('School Level Expenditures'!$B$2=A187,'School Tables'!H187,"")</f>
        <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t="str">
        <f>IF('School Level Expenditures'!$B$2=A189,'School Tables'!H189,"")</f>
        <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t="str">
        <f>IF('School Level Expenditures'!$B$2=A212,'School Tables'!H212,"")</f>
        <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t="str">
        <f>IF('School Level Expenditures'!$B$2=A220,'School Tables'!H220,"")</f>
        <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t="str">
        <f>IF('School Level Expenditures'!$B$2=A238,'School Tables'!H238,"")</f>
        <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t="str">
        <f>IF('School Level Expenditures'!$B$2=A254,'School Tables'!H254,"")</f>
        <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t="str">
        <f>IF('School Level Expenditures'!$B$2=A262,'School Tables'!H262,"")</f>
        <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f>IF('School Level Expenditures'!$B$2=A273,'School Tables'!H273,"")</f>
        <v>270</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f>IF('School Level Expenditures'!$B$2=A288,'School Tables'!H288,"")</f>
        <v>285</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t="str">
        <f>IF('School Level Expenditures'!$B$2=A318,'School Tables'!H318,"")</f>
        <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t="str">
        <f>IF('School Level Expenditures'!$B$2=A319,'School Tables'!H319,"")</f>
        <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6"/>
    </row>
    <row r="327" spans="1:11" x14ac:dyDescent="0.2">
      <c r="A327" s="255"/>
      <c r="B327" s="255"/>
      <c r="C327" s="255"/>
      <c r="D327" s="255"/>
      <c r="E327" s="255"/>
      <c r="F327" s="216"/>
    </row>
    <row r="328" spans="1:11" x14ac:dyDescent="0.2">
      <c r="A328" s="255"/>
      <c r="B328" s="255"/>
      <c r="C328" s="255"/>
      <c r="D328" s="255"/>
      <c r="E328" s="255"/>
      <c r="F328" s="216"/>
    </row>
    <row r="329" spans="1:11" x14ac:dyDescent="0.2">
      <c r="A329" s="255"/>
      <c r="B329" s="255"/>
      <c r="C329" s="255"/>
      <c r="D329" s="255"/>
      <c r="E329" s="255"/>
      <c r="F329" s="216"/>
    </row>
    <row r="330" spans="1:11" x14ac:dyDescent="0.2">
      <c r="A330" s="255"/>
      <c r="B330" s="255"/>
      <c r="C330" s="255"/>
      <c r="D330" s="255"/>
      <c r="E330" s="255"/>
      <c r="F330" s="216"/>
    </row>
    <row r="331" spans="1:11" x14ac:dyDescent="0.2">
      <c r="A331" s="255"/>
      <c r="B331" s="255"/>
      <c r="C331" s="255"/>
      <c r="D331" s="255"/>
      <c r="E331" s="255"/>
      <c r="F331" s="216"/>
    </row>
    <row r="332" spans="1:11" x14ac:dyDescent="0.2">
      <c r="A332" s="255"/>
      <c r="B332" s="255"/>
      <c r="C332" s="255"/>
      <c r="D332" s="255"/>
      <c r="E332" s="255"/>
      <c r="F332" s="216"/>
    </row>
    <row r="333" spans="1:11" x14ac:dyDescent="0.2">
      <c r="A333" s="255"/>
      <c r="B333" s="255"/>
      <c r="C333" s="255"/>
      <c r="D333" s="255"/>
      <c r="E333" s="255"/>
      <c r="F333" s="216"/>
    </row>
    <row r="334" spans="1:11" x14ac:dyDescent="0.2">
      <c r="A334" s="255"/>
      <c r="B334" s="255"/>
      <c r="C334" s="255"/>
      <c r="D334" s="255"/>
      <c r="E334" s="255"/>
      <c r="F334" s="216"/>
    </row>
    <row r="335" spans="1:11" x14ac:dyDescent="0.2">
      <c r="A335" s="255"/>
      <c r="B335" s="255"/>
      <c r="C335" s="255"/>
      <c r="D335" s="255"/>
      <c r="E335" s="255"/>
      <c r="F335" s="216"/>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2023-08-25T15:19:33Z</cp:lastPrinted>
  <dcterms:created xsi:type="dcterms:W3CDTF">1997-12-04T19:04:30Z</dcterms:created>
  <dcterms:modified xsi:type="dcterms:W3CDTF">2023-12-28T18:49:02Z</dcterms:modified>
</cp:coreProperties>
</file>