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2124C6F4-840B-45DB-A4E2-AE7AFE41608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F49" i="1"/>
  <c r="K317" i="1" l="1"/>
  <c r="I598" i="1" l="1"/>
  <c r="P2" i="14" l="1"/>
  <c r="O2" i="14"/>
  <c r="Q43" i="14"/>
  <c r="P43" i="14"/>
  <c r="O43" i="14"/>
  <c r="N43" i="14"/>
  <c r="M43" i="14"/>
  <c r="L43" i="14"/>
  <c r="K43" i="14"/>
  <c r="Q33" i="14"/>
  <c r="P33" i="14"/>
  <c r="O33" i="14"/>
  <c r="N33" i="14"/>
  <c r="M33" i="14"/>
  <c r="L33" i="14"/>
  <c r="K33" i="14"/>
  <c r="Q21" i="14"/>
  <c r="P21" i="14"/>
  <c r="P3" i="14" s="1"/>
  <c r="O21" i="14"/>
  <c r="N21" i="14"/>
  <c r="M21" i="14"/>
  <c r="L21" i="14"/>
  <c r="K21" i="14"/>
  <c r="C2" i="1"/>
  <c r="B2" i="1"/>
  <c r="O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H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H79" i="2" s="1"/>
  <c r="D79" i="2"/>
  <c r="E79" i="2"/>
  <c r="C80" i="2"/>
  <c r="H80" i="2" s="1"/>
  <c r="E80" i="2"/>
  <c r="C85" i="2"/>
  <c r="F85" i="2"/>
  <c r="C87" i="2"/>
  <c r="H87" i="2" s="1"/>
  <c r="E87" i="2"/>
  <c r="F87" i="2"/>
  <c r="C89" i="2"/>
  <c r="H89" i="2" s="1"/>
  <c r="D89" i="2"/>
  <c r="E89" i="2"/>
  <c r="F89" i="2"/>
  <c r="C90" i="2"/>
  <c r="H90" i="2" s="1"/>
  <c r="C93" i="2"/>
  <c r="H93" i="2" s="1"/>
  <c r="F93" i="2"/>
  <c r="C94" i="2"/>
  <c r="F94" i="2"/>
  <c r="D96" i="2"/>
  <c r="E96" i="2"/>
  <c r="F96" i="2"/>
  <c r="G96" i="2"/>
  <c r="H96" i="2" s="1"/>
  <c r="C97" i="2"/>
  <c r="D97" i="2"/>
  <c r="E97" i="2"/>
  <c r="F97" i="2"/>
  <c r="G97" i="2"/>
  <c r="C98" i="2"/>
  <c r="D98" i="2"/>
  <c r="E98" i="2"/>
  <c r="G98" i="2"/>
  <c r="C99" i="2"/>
  <c r="D99" i="2"/>
  <c r="E99" i="2"/>
  <c r="F99" i="2"/>
  <c r="C100" i="2"/>
  <c r="D100" i="2"/>
  <c r="E100" i="2"/>
  <c r="F100" i="2"/>
  <c r="C101" i="2"/>
  <c r="H101" i="2" s="1"/>
  <c r="D101" i="2"/>
  <c r="E101" i="2"/>
  <c r="F101" i="2"/>
  <c r="C102" i="2"/>
  <c r="D102" i="2"/>
  <c r="E102" i="2"/>
  <c r="F102" i="2"/>
  <c r="C112" i="2"/>
  <c r="D115" i="2"/>
  <c r="F115" i="2"/>
  <c r="G115" i="2"/>
  <c r="C119" i="2"/>
  <c r="E120" i="2"/>
  <c r="E124" i="2"/>
  <c r="C125" i="2"/>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I170" i="1"/>
  <c r="H35" i="2" l="1"/>
  <c r="I409" i="1"/>
  <c r="H69" i="2"/>
  <c r="H30" i="2"/>
  <c r="H28" i="2"/>
  <c r="H25" i="2"/>
  <c r="H143" i="2"/>
  <c r="D144" i="2"/>
  <c r="H102" i="2"/>
  <c r="H100" i="2"/>
  <c r="H98" i="2"/>
  <c r="H73" i="2"/>
  <c r="H11" i="2"/>
  <c r="E111" i="2"/>
  <c r="H137" i="2"/>
  <c r="H97" i="2"/>
  <c r="D18" i="13"/>
  <c r="C18" i="13" s="1"/>
  <c r="D15" i="13"/>
  <c r="C15" i="13" s="1"/>
  <c r="C12" i="10"/>
  <c r="C120" i="2"/>
  <c r="H72" i="2"/>
  <c r="H34" i="2"/>
  <c r="H132" i="2"/>
  <c r="H44" i="2"/>
  <c r="H94" i="2"/>
  <c r="H27" i="2"/>
  <c r="H24" i="2"/>
  <c r="C13" i="10"/>
  <c r="H99" i="2"/>
  <c r="H76" i="2"/>
  <c r="H58" i="2"/>
  <c r="H47" i="2"/>
  <c r="J652" i="1"/>
  <c r="H477" i="1"/>
  <c r="H625" i="1" s="1"/>
  <c r="J625" i="1" s="1"/>
  <c r="G409" i="1"/>
  <c r="H646" i="1" s="1"/>
  <c r="G662" i="1"/>
  <c r="D29" i="13"/>
  <c r="E121" i="2"/>
  <c r="E112" i="2"/>
  <c r="H125" i="2"/>
  <c r="H120" i="2"/>
  <c r="H112" i="2"/>
  <c r="N2" i="14"/>
  <c r="N3" i="14" s="1"/>
  <c r="M2" i="14"/>
  <c r="M3" i="14" s="1"/>
  <c r="C110" i="2"/>
  <c r="C121" i="2"/>
  <c r="H121" i="2" s="1"/>
  <c r="D6" i="13"/>
  <c r="C6" i="13" s="1"/>
  <c r="L2" i="14"/>
  <c r="L3" i="14" s="1"/>
  <c r="E13" i="13"/>
  <c r="C13" i="13" s="1"/>
  <c r="K2" i="14"/>
  <c r="K3" i="14" s="1"/>
  <c r="G646" i="1"/>
  <c r="D78" i="2"/>
  <c r="D81" i="2" s="1"/>
  <c r="H77" i="2"/>
  <c r="H59" i="2"/>
  <c r="G62" i="2"/>
  <c r="H61" i="2"/>
  <c r="H48" i="2"/>
  <c r="H36" i="2"/>
  <c r="H21" i="2"/>
  <c r="H29" i="2"/>
  <c r="H23" i="2"/>
  <c r="H12" i="2"/>
  <c r="H9" i="2"/>
  <c r="H17" i="2"/>
  <c r="H15" i="2"/>
  <c r="H13" i="2"/>
  <c r="H8"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2" i="2" l="1"/>
  <c r="J646" i="1"/>
  <c r="H111" i="2"/>
  <c r="H16" i="2"/>
  <c r="I662" i="1"/>
  <c r="H42" i="2"/>
  <c r="H85" i="2"/>
  <c r="H134" i="2"/>
  <c r="L572" i="1"/>
  <c r="H91" i="2"/>
  <c r="E51" i="2"/>
  <c r="D128" i="2"/>
  <c r="D145" i="2" s="1"/>
  <c r="H127" i="2"/>
  <c r="H114" i="2"/>
  <c r="E128" i="2"/>
  <c r="H123" i="2"/>
  <c r="H118" i="2"/>
  <c r="H122" i="2"/>
  <c r="H103" i="2"/>
  <c r="H78" i="2"/>
  <c r="C81" i="2"/>
  <c r="H81" i="2" s="1"/>
  <c r="H57" i="2"/>
  <c r="F194" i="1"/>
  <c r="G628" i="1" s="1"/>
  <c r="J628" i="1" s="1"/>
  <c r="H50" i="2"/>
  <c r="D51"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<sst xmlns="http://schemas.openxmlformats.org/spreadsheetml/2006/main" count="6562" uniqueCount="1816">
  <si>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</si>
  <si>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</si>
  <si>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</si>
  <si>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</si>
  <si>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</si>
  <si>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</si>
  <si>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</si>
  <si>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</si>
  <si>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</si>
  <si>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</si>
  <si>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</si>
  <si>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</si>
  <si>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</si>
  <si>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</si>
  <si>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</si>
  <si>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</si>
  <si>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</si>
  <si>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</si>
  <si>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</si>
  <si>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</si>
  <si>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</si>
  <si>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</si>
  <si>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</si>
  <si>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</si>
  <si>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</si>
  <si>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</si>
  <si>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</si>
  <si>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</si>
  <si>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</si>
  <si>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</si>
  <si>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</si>
  <si>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</si>
  <si>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</si>
  <si>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</si>
  <si>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</si>
  <si>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</si>
  <si>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</si>
  <si>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</si>
  <si>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</si>
  <si>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</si>
  <si>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</si>
  <si>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</si>
  <si>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</si>
  <si>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</si>
  <si>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</si>
  <si>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</si>
  <si>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</si>
  <si>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</si>
  <si>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</si>
  <si>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</si>
  <si>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</si>
  <si>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</si>
  <si>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</si>
  <si>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</si>
  <si>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</si>
  <si>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</si>
  <si>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</si>
  <si>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</si>
  <si>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</si>
  <si>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</si>
  <si>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</si>
  <si>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</si>
  <si>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</si>
  <si>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</si>
  <si>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</si>
  <si>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</si>
  <si>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</si>
  <si>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</si>
  <si>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</si>
  <si>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</si>
  <si>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</si>
  <si>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</si>
  <si>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</si>
  <si>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</si>
  <si>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</si>
  <si>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</si>
  <si>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</si>
  <si>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</si>
  <si>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</si>
  <si>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</si>
  <si>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</si>
  <si>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</si>
  <si>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</si>
  <si>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</si>
  <si>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</si>
  <si>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</si>
  <si>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</si>
  <si>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</si>
  <si>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</si>
  <si>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</si>
  <si>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</si>
  <si>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</si>
  <si>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</si>
  <si>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</si>
  <si>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</si>
  <si>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</si>
  <si>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</si>
  <si>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</si>
  <si>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</si>
  <si>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</si>
  <si>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</si>
  <si>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</si>
  <si>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</si>
  <si>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</si>
  <si>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</si>
  <si>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</si>
  <si>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</si>
  <si>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</si>
  <si>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</si>
  <si>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</si>
  <si>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</si>
  <si>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</si>
  <si>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</si>
  <si>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</si>
  <si>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</si>
  <si>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</si>
  <si>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</si>
  <si>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</si>
  <si>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</si>
  <si>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</si>
  <si>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</si>
  <si>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</si>
  <si>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</si>
  <si>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</si>
  <si>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</si>
  <si>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</si>
  <si>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</si>
  <si>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</si>
  <si>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</si>
  <si>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</si>
  <si>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</si>
  <si>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</si>
  <si>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</si>
  <si>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</si>
  <si>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</si>
  <si>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</si>
  <si>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</si>
  <si>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</si>
  <si>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</si>
  <si>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</si>
  <si>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</si>
  <si>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</si>
  <si>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</si>
  <si>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</si>
  <si>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</si>
  <si>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</si>
  <si>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</si>
  <si>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</si>
  <si>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</si>
  <si>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</si>
  <si>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</si>
  <si>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</si>
  <si>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</si>
  <si>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</si>
  <si>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</si>
  <si>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</si>
  <si>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</si>
  <si>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</si>
  <si>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</si>
  <si>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</si>
  <si>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</si>
  <si>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</si>
  <si>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</si>
  <si>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</si>
  <si>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</si>
  <si>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</si>
  <si>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</si>
  <si>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</si>
  <si>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</si>
  <si>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</si>
  <si>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</si>
  <si>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</si>
  <si>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</si>
  <si>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</si>
  <si>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</si>
  <si>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</si>
  <si>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</si>
  <si>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</si>
  <si>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</si>
  <si>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</si>
  <si>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</si>
  <si>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</si>
  <si>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</si>
  <si>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</si>
  <si>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</si>
  <si>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</si>
  <si>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</si>
  <si>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</si>
  <si>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</si>
  <si>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</si>
  <si>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</si>
  <si>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</si>
  <si>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</si>
  <si>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</si>
  <si>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</si>
  <si>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</si>
  <si>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</si>
  <si>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</si>
  <si>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</si>
  <si>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</si>
  <si>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</si>
  <si>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</si>
  <si>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</si>
  <si>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</si>
  <si>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</si>
  <si>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</si>
  <si>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</si>
  <si>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</si>
  <si>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</si>
  <si>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</si>
  <si>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</si>
  <si>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</si>
  <si>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</si>
  <si>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</si>
  <si>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</si>
  <si>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</si>
  <si>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</si>
  <si>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</si>
  <si>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</si>
  <si>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</si>
  <si>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</si>
  <si>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</si>
  <si>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</si>
  <si>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</si>
  <si>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</si>
  <si>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</si>
  <si>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</si>
  <si>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</si>
  <si>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</si>
  <si>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</si>
  <si>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</si>
  <si>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</si>
  <si>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</si>
  <si>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</si>
  <si>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</si>
  <si>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</si>
  <si>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</si>
  <si>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</si>
  <si>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</si>
  <si>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</si>
  <si>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</si>
  <si>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</si>
  <si>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</si>
  <si>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</si>
  <si>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</si>
  <si>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</si>
  <si>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</si>
  <si>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</si>
  <si>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</si>
  <si>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</si>
  <si>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</si>
  <si>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</si>
  <si>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</si>
  <si>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</si>
  <si>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</si>
  <si>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</si>
  <si>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</si>
  <si>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</si>
  <si>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</si>
  <si>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</si>
  <si>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</si>
  <si>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</si>
  <si>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</si>
  <si>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</si>
  <si>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</si>
  <si>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</si>
  <si>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</si>
  <si>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</si>
  <si>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</si>
  <si>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</si>
  <si>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</si>
  <si>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</si>
  <si>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</si>
  <si>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</si>
  <si>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</si>
  <si>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</si>
  <si>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</si>
  <si>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</si>
  <si>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</si>
  <si>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</si>
  <si>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</si>
  <si>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</si>
  <si>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</si>
  <si>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</si>
  <si>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</si>
  <si>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</si>
  <si>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</si>
  <si>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</si>
  <si>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</si>
  <si>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</si>
  <si>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</si>
  <si>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</si>
  <si>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</si>
  <si>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</si>
  <si>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</si>
  <si>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</si>
  <si>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</si>
  <si>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</si>
  <si>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</si>
  <si>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</si>
  <si>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</si>
  <si>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</si>
  <si>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</si>
  <si>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</si>
  <si>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</si>
  <si>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</si>
  <si>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</si>
  <si>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</si>
  <si>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</si>
  <si>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</si>
  <si>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</si>
  <si>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</si>
  <si>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</si>
  <si>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</si>
  <si>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</si>
  <si>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</si>
  <si>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</si>
  <si>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</si>
  <si>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</si>
  <si>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</si>
  <si>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</si>
  <si>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</si>
  <si>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</si>
  <si>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</si>
  <si>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</si>
  <si>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</si>
  <si>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</si>
  <si>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</si>
  <si>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</si>
  <si>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</si>
  <si>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</si>
  <si>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</si>
  <si>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</si>
  <si>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</si>
  <si>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</si>
  <si>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</si>
  <si>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</si>
  <si>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</si>
  <si>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</si>
  <si>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</si>
  <si>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</si>
  <si>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</si>
  <si>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</si>
  <si>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</si>
  <si>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</si>
  <si>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</si>
  <si>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</si>
  <si>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</si>
  <si>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</si>
  <si>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</si>
  <si>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</si>
  <si>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</si>
  <si>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</si>
  <si>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</si>
  <si>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</si>
  <si>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</si>
  <si>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</si>
  <si>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</si>
  <si>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</si>
  <si>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</si>
  <si>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</si>
  <si>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</si>
  <si>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</si>
  <si>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</si>
  <si>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</si>
  <si>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</si>
  <si>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</si>
  <si>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</si>
  <si>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</si>
  <si>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</si>
  <si>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</si>
  <si>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</si>
  <si>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</si>
  <si>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</si>
  <si>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</si>
  <si>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</si>
  <si>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</si>
  <si>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</si>
  <si>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</si>
  <si>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</si>
  <si>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</si>
  <si>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</si>
  <si>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</si>
  <si>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</si>
  <si>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</si>
  <si>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</si>
  <si>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</si>
  <si>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</si>
  <si>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</si>
  <si>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</si>
  <si>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</si>
  <si>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</si>
  <si>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</si>
  <si>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</si>
  <si>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</si>
  <si>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</si>
  <si>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</si>
  <si>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</si>
  <si>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</si>
  <si>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</si>
  <si>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</si>
  <si>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</si>
  <si>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</si>
  <si>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</si>
  <si>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</si>
  <si>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</si>
  <si>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</si>
  <si>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</si>
  <si>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</si>
  <si>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</si>
  <si>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</si>
  <si>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</si>
  <si>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</si>
  <si>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</si>
  <si>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</si>
  <si>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</si>
  <si>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</si>
  <si>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</si>
  <si>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</si>
  <si>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</si>
  <si>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</si>
  <si>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</si>
  <si>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</si>
  <si>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</si>
  <si>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</si>
  <si>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</si>
  <si>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</si>
  <si>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</si>
  <si>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</si>
  <si>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</si>
  <si>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</si>
  <si>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</si>
  <si>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</si>
  <si>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</si>
  <si>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</si>
  <si>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</si>
  <si>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</si>
  <si>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</si>
  <si>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</si>
  <si>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</si>
  <si>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</si>
  <si>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</si>
  <si>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</si>
  <si>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</si>
  <si>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</si>
  <si>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</si>
  <si>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</si>
  <si>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</si>
  <si>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</si>
  <si>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</si>
  <si>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</si>
  <si>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</si>
  <si>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</si>
  <si>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</si>
  <si>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</si>
  <si>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</si>
  <si>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</si>
  <si>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</si>
  <si>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</si>
  <si>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</si>
  <si>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</si>
  <si>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</si>
  <si>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</si>
  <si>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</si>
  <si>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</si>
  <si>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</si>
  <si>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</si>
  <si>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</si>
  <si>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</si>
  <si>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</si>
  <si>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</si>
  <si>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</si>
  <si>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</si>
  <si>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</si>
  <si>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</si>
  <si>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</si>
  <si>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</si>
  <si>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</si>
  <si>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</si>
  <si>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</si>
  <si>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</si>
  <si>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</si>
  <si>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</si>
  <si>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</si>
  <si>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</si>
  <si>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</si>
  <si>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</si>
  <si>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</si>
  <si>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</si>
  <si>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</si>
  <si>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</si>
  <si>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</si>
  <si>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</si>
  <si>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</si>
  <si>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</si>
  <si>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</si>
  <si>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</si>
  <si>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</si>
  <si>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</si>
  <si>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</si>
  <si>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</si>
  <si>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</si>
  <si>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</si>
  <si>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</si>
  <si>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</si>
  <si>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</si>
  <si>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</si>
  <si>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</si>
  <si>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</si>
  <si>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</si>
  <si>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</si>
  <si>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</si>
  <si>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</si>
  <si>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</si>
  <si>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</si>
  <si>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</si>
  <si>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</si>
  <si>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</si>
  <si>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</si>
  <si>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</si>
  <si>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</si>
  <si>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</si>
  <si>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</si>
  <si>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</si>
  <si>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</si>
  <si>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</si>
  <si>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</si>
  <si>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</si>
  <si>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</si>
  <si>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</si>
  <si>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</si>
  <si>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</si>
  <si>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</si>
  <si>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</si>
  <si>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</si>
  <si>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</si>
  <si>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</si>
  <si>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</si>
  <si>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</si>
  <si>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</si>
  <si>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</si>
  <si>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</si>
  <si>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</si>
  <si>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</si>
  <si>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</si>
  <si>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</si>
  <si>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</si>
  <si>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</si>
  <si>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</si>
  <si>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</si>
  <si>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</si>
  <si>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</si>
  <si>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</si>
  <si>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</si>
  <si>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</si>
  <si>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</si>
  <si>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</si>
  <si>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</si>
  <si>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</si>
  <si>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</si>
  <si>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</si>
  <si>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</si>
  <si>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</si>
  <si>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</si>
  <si>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</si>
  <si>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</si>
  <si>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</si>
  <si>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</si>
  <si>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</si>
  <si>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</si>
  <si>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</si>
  <si>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</si>
  <si>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</si>
  <si>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</si>
  <si>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</si>
  <si>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</si>
  <si>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</si>
  <si>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</si>
  <si>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</si>
  <si>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</si>
  <si>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</si>
  <si>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</si>
  <si>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</si>
  <si>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</si>
  <si>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</si>
  <si>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</si>
  <si>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</si>
  <si>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</si>
  <si>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</si>
  <si>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</si>
  <si>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</si>
  <si>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</si>
  <si>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</si>
  <si>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</si>
  <si>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</si>
  <si>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</si>
  <si>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</si>
  <si>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</si>
  <si>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</si>
  <si>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</si>
  <si>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</si>
  <si>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</si>
  <si>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</si>
  <si>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</si>
  <si>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</si>
  <si>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</si>
  <si>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</si>
  <si>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</si>
  <si>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</si>
  <si>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</si>
  <si>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</si>
  <si>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</si>
  <si>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</si>
  <si>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</si>
  <si>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</si>
  <si>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</si>
  <si>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</si>
  <si>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</si>
  <si>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</si>
  <si>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</si>
  <si>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</si>
  <si>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</si>
  <si>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</si>
  <si>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</si>
  <si>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</si>
  <si>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</si>
  <si>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</si>
  <si>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</si>
  <si>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</si>
  <si>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</si>
  <si>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</si>
  <si>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</si>
  <si>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</si>
  <si>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</si>
  <si>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</si>
  <si>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</si>
  <si>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</si>
  <si>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</si>
  <si>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</si>
  <si>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</si>
  <si>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</si>
  <si>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</si>
  <si>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</si>
  <si>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</si>
  <si>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</si>
  <si>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</si>
  <si>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</si>
  <si>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</si>
  <si>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</si>
  <si>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</si>
  <si>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</si>
  <si>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</si>
  <si>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</si>
  <si>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</si>
  <si>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</si>
  <si>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</si>
  <si>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</si>
  <si>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</si>
  <si>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</si>
  <si>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</si>
  <si>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</si>
  <si>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</si>
  <si>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</si>
  <si>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</si>
  <si>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</si>
  <si>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</si>
  <si>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</si>
  <si>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</si>
  <si>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</si>
  <si>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</si>
  <si>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</si>
  <si>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</si>
  <si>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</si>
  <si>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</si>
  <si>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</si>
  <si>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</si>
  <si>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</si>
  <si>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</si>
  <si>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</si>
  <si>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</si>
  <si>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</si>
  <si>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</si>
  <si>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</si>
  <si>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</si>
  <si>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</si>
  <si>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</si>
  <si>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</si>
  <si>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</si>
  <si>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</si>
  <si>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</si>
  <si>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</si>
  <si>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</si>
  <si>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</si>
  <si>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</si>
  <si>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</si>
  <si>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</si>
  <si>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</si>
  <si>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</si>
  <si>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</si>
  <si>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</si>
  <si>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</si>
  <si>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</si>
  <si>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</si>
  <si>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</si>
  <si>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</si>
  <si>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</si>
  <si>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</si>
  <si>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</si>
  <si>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</si>
  <si>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</si>
  <si>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</si>
  <si>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</si>
  <si>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</si>
  <si>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</si>
  <si>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</si>
  <si>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</si>
  <si>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</si>
  <si>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</si>
  <si>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</si>
  <si>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</si>
  <si>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</si>
  <si>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</si>
  <si>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</si>
  <si>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</si>
  <si>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</si>
  <si>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</si>
  <si>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</si>
  <si>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</si>
  <si>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</si>
  <si>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</si>
  <si>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</si>
  <si>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</si>
  <si>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</si>
  <si>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</si>
  <si>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</si>
  <si>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</si>
  <si>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</si>
  <si>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</si>
  <si>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</si>
  <si>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</si>
  <si>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</si>
  <si>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</si>
  <si>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</si>
  <si>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</si>
  <si>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</si>
  <si>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</si>
  <si>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</si>
  <si>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</si>
  <si>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</si>
  <si>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</si>
  <si>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</si>
  <si>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</si>
  <si>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</si>
  <si>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</si>
  <si>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</si>
  <si>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</si>
  <si>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</si>
  <si>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</si>
  <si>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</si>
  <si>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</si>
  <si>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</si>
  <si>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</si>
  <si>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</si>
  <si>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</si>
  <si>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</si>
  <si>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</si>
  <si>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</si>
  <si>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</si>
  <si>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</si>
  <si>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</si>
  <si>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</si>
  <si>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</si>
  <si>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</si>
  <si>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</si>
  <si>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</si>
  <si>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</si>
  <si>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</si>
  <si>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</si>
  <si>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</si>
  <si>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</si>
  <si>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</si>
  <si>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</si>
  <si>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</si>
  <si>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</si>
  <si>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</si>
  <si>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</si>
  <si>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</si>
  <si>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</si>
  <si>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</si>
  <si>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</si>
  <si>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</si>
  <si>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</si>
  <si>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</si>
  <si>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</si>
  <si>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</si>
  <si>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</si>
  <si>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</si>
  <si>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</si>
  <si>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</si>
  <si>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</si>
  <si>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</si>
  <si>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</si>
  <si>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</si>
  <si>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</si>
  <si>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</si>
  <si>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</si>
  <si>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</si>
  <si>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</si>
  <si>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</si>
  <si>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</si>
  <si>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</si>
  <si>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</si>
  <si>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</si>
  <si>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</si>
  <si>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</si>
  <si>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</si>
  <si>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</si>
  <si>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</si>
  <si>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</si>
  <si>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</si>
  <si>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</si>
  <si>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</si>
  <si>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</si>
  <si>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</si>
  <si>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</si>
  <si>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</si>
  <si>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</si>
  <si>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</si>
  <si>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</si>
  <si>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</si>
  <si>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</si>
  <si>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</si>
  <si>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</si>
  <si>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</si>
  <si>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</si>
  <si>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</si>
  <si>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</si>
  <si>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</si>
  <si>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</si>
  <si>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</si>
  <si>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</si>
  <si>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</si>
  <si>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</si>
  <si>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</si>
  <si>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</si>
  <si>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</si>
  <si>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</si>
  <si>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</si>
  <si>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</si>
  <si>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</si>
  <si>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</si>
  <si>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</si>
  <si>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</si>
  <si>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</si>
  <si>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</si>
  <si>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</si>
  <si>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</si>
  <si>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</si>
  <si>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</si>
  <si>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</si>
  <si>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</si>
  <si>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</si>
  <si>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</si>
  <si>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</si>
  <si>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</si>
  <si>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</si>
  <si>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</si>
  <si>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</si>
  <si>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</si>
  <si>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</si>
  <si>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</si>
  <si>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</si>
  <si>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</si>
  <si>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</si>
  <si>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</si>
  <si>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</si>
  <si>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</si>
  <si>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</si>
  <si>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</si>
  <si>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</si>
  <si>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</si>
  <si>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</si>
  <si>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</si>
  <si>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</si>
  <si>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</si>
  <si>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</si>
  <si>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</si>
  <si>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</si>
  <si>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</si>
  <si>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</si>
  <si>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</si>
  <si>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</si>
  <si>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</si>
  <si>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</si>
  <si>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</si>
  <si>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</si>
  <si>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</si>
  <si>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</si>
  <si>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</si>
  <si>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</si>
  <si>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</si>
  <si>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</si>
  <si>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</si>
  <si>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</si>
  <si>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</si>
  <si>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</si>
  <si>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</si>
  <si>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</si>
  <si>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</si>
  <si>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</si>
  <si>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</si>
  <si>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</si>
  <si>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</si>
  <si>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</si>
  <si>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</si>
  <si>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</si>
  <si>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</si>
  <si>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</si>
  <si>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</si>
  <si>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</si>
  <si>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</si>
  <si>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</si>
  <si>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</si>
  <si>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</si>
  <si>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</si>
  <si>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</si>
  <si>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</si>
  <si>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</si>
  <si>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</si>
  <si>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</si>
  <si>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</si>
  <si>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</si>
  <si>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</si>
  <si>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</si>
  <si>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</si>
  <si>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</si>
  <si>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</si>
  <si>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</si>
  <si>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</si>
  <si>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</si>
  <si>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</si>
  <si>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</si>
  <si>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</si>
  <si>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</si>
  <si>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</si>
  <si>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</si>
  <si>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</si>
  <si>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</si>
  <si>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</si>
  <si>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</si>
  <si>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</si>
  <si>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</si>
  <si>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</si>
  <si>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</si>
  <si>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</si>
  <si>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</si>
  <si>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</si>
  <si>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</si>
  <si>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</si>
  <si>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</si>
  <si>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</si>
  <si>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</si>
  <si>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</si>
  <si>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</si>
  <si>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</si>
  <si>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</si>
  <si>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</si>
  <si>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</si>
  <si>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</si>
  <si>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</si>
  <si>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</si>
  <si>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</si>
  <si>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</si>
  <si>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</si>
  <si>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</si>
  <si>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</si>
  <si>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</si>
  <si>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</si>
  <si>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</si>
  <si>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</si>
  <si>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</si>
  <si>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</si>
  <si>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</si>
  <si>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</si>
  <si>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</si>
  <si>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</si>
  <si>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</si>
  <si>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</si>
  <si>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</si>
  <si>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</si>
  <si>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</si>
  <si>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</si>
  <si>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</si>
  <si>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</si>
  <si>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</si>
  <si>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</si>
  <si>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</si>
  <si>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</si>
  <si>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</si>
  <si>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</si>
  <si>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</si>
  <si>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</si>
  <si>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</si>
  <si>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</si>
  <si>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</si>
  <si>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</si>
  <si>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</si>
  <si>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</si>
  <si>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</si>
  <si>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</si>
  <si>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</si>
  <si>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</si>
  <si>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</si>
  <si>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</si>
  <si>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</si>
  <si>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</si>
  <si>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</si>
  <si>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</si>
  <si>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</si>
  <si>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</si>
  <si>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</si>
  <si>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</si>
  <si>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</si>
  <si>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</si>
  <si>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</si>
  <si>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</si>
  <si>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</si>
  <si>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</si>
  <si>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</si>
  <si>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</si>
  <si>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</si>
  <si>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</si>
  <si>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</si>
  <si>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</si>
  <si>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</si>
  <si>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</si>
  <si>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</si>
  <si>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</si>
  <si>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</si>
  <si>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</si>
  <si>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</si>
  <si>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</si>
  <si>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</si>
  <si>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</si>
  <si>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</si>
  <si>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</si>
  <si>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</si>
  <si>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</si>
  <si>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</si>
  <si>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</si>
  <si>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</si>
  <si>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</si>
  <si>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</si>
  <si>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</si>
  <si>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</si>
  <si>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</si>
  <si>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</si>
  <si>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</si>
  <si>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</si>
  <si>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</si>
  <si>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</si>
  <si>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</si>
  <si>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</si>
  <si>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</si>
  <si>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</si>
  <si>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</si>
  <si>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</si>
  <si>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</si>
  <si>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</si>
  <si>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</si>
  <si>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</si>
  <si>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</si>
  <si>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</si>
  <si>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</si>
  <si>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</si>
  <si>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</si>
  <si>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</si>
  <si>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</si>
  <si>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</si>
  <si>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</si>
  <si>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</si>
  <si>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</si>
  <si>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</si>
  <si>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</si>
  <si>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</si>
  <si>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</si>
  <si>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</si>
  <si>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</si>
  <si>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</si>
  <si>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</si>
  <si>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</si>
  <si>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</si>
  <si>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</si>
  <si>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</si>
  <si>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</si>
  <si>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</si>
  <si>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</si>
  <si>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</si>
  <si>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</si>
  <si>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</si>
  <si>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</si>
  <si>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</si>
  <si>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</si>
  <si>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</si>
  <si>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</si>
  <si>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</si>
  <si>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</si>
  <si>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</si>
  <si>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</si>
  <si>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</si>
  <si>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</si>
  <si>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</si>
  <si>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</si>
  <si>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</si>
  <si>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</si>
  <si>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</si>
  <si>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</si>
  <si>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</si>
  <si>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</si>
  <si>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</si>
  <si>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</si>
  <si>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</si>
  <si>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</si>
  <si>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</si>
  <si>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</si>
  <si>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</si>
  <si>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</si>
  <si>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</si>
  <si>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</si>
  <si>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</si>
  <si>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</si>
  <si>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</si>
  <si>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</si>
  <si>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</si>
  <si>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</si>
  <si>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</si>
  <si>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</si>
  <si>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</si>
  <si>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</si>
  <si>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</si>
  <si>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</si>
  <si>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</si>
  <si>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</si>
  <si>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</si>
  <si>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</si>
  <si>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</si>
  <si>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</si>
  <si>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</si>
  <si>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</si>
  <si>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</si>
  <si>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</si>
  <si>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</si>
  <si>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</si>
  <si>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</si>
  <si>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</si>
  <si>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</si>
  <si>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</si>
  <si>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</si>
  <si>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</si>
  <si>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</si>
  <si>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</si>
  <si>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</si>
  <si>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</si>
  <si>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</si>
  <si>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</si>
  <si>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</si>
  <si>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</si>
  <si>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</si>
  <si>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</si>
  <si>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</si>
  <si>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</si>
  <si>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</si>
  <si>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</si>
  <si>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</si>
  <si>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</si>
  <si>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</si>
  <si>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</si>
  <si>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</si>
  <si>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</si>
  <si>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</si>
  <si>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</si>
  <si>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</si>
  <si>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</si>
  <si>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</si>
  <si>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</si>
  <si>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</si>
  <si>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</si>
  <si>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</si>
  <si>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</si>
  <si>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</si>
  <si>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</si>
  <si>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</si>
  <si>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</si>
  <si>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</si>
  <si>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</si>
  <si>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</si>
  <si>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</si>
  <si>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</si>
  <si>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</si>
  <si>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</si>
  <si>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</si>
  <si>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</si>
  <si>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</si>
  <si>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</si>
  <si>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</si>
  <si>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</si>
  <si>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</si>
  <si>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</si>
  <si>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</si>
  <si>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</si>
  <si>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</si>
  <si>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</si>
  <si>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</si>
  <si>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</si>
  <si>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</si>
  <si>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</si>
  <si>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</si>
  <si>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</si>
  <si>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</si>
  <si>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</si>
  <si>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</si>
  <si>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</si>
  <si>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</si>
  <si>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</si>
  <si>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</si>
  <si>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</si>
  <si>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</si>
  <si>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</si>
  <si>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</si>
  <si>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</si>
  <si>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</si>
  <si>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</si>
  <si>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</si>
  <si>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</si>
  <si>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</si>
  <si>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</si>
  <si>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</si>
  <si>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</si>
  <si>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</si>
  <si>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</si>
  <si>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</si>
  <si>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</si>
  <si>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</si>
  <si>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</si>
  <si>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</si>
  <si>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</si>
  <si>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</si>
  <si>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</si>
  <si>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</si>
  <si>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</si>
  <si>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</si>
  <si>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</si>
  <si>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</si>
  <si>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</si>
  <si>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</si>
  <si>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</si>
  <si>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</si>
  <si>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</si>
  <si>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</si>
  <si>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</si>
  <si>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</si>
  <si>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</si>
  <si>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</si>
  <si>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</si>
  <si>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</si>
  <si>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</si>
  <si>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</si>
  <si>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</si>
  <si>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</si>
  <si>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</si>
  <si>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</si>
  <si>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</si>
  <si>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</si>
  <si>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</si>
  <si>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</si>
  <si>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</si>
  <si>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</si>
  <si>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</si>
  <si>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</si>
  <si>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</si>
  <si>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</si>
  <si>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</si>
  <si>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</si>
  <si>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</si>
  <si>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</si>
  <si>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</si>
  <si>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</si>
  <si>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</si>
  <si>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</si>
  <si>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</si>
  <si>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</si>
  <si>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</si>
  <si>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</si>
  <si>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</si>
  <si>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</si>
  <si>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</si>
  <si>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</si>
  <si>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</si>
  <si>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</si>
  <si>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</si>
  <si>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</si>
  <si>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</si>
  <si>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</si>
  <si>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</si>
  <si>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</si>
  <si>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</si>
  <si>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</si>
  <si>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</si>
  <si>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</si>
  <si>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</si>
  <si>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</si>
  <si>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</si>
  <si>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</si>
  <si>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</si>
  <si>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</si>
  <si>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</si>
  <si>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</si>
  <si>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</si>
  <si>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</si>
  <si>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</si>
  <si>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</si>
  <si>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</si>
  <si>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</si>
  <si>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</si>
  <si>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</si>
  <si>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</si>
  <si>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</si>
  <si>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</si>
  <si>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</si>
  <si>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</si>
  <si>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</si>
  <si>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</si>
  <si>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</si>
  <si>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</si>
  <si>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</si>
  <si>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</si>
  <si>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</si>
  <si>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</si>
  <si>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</si>
  <si>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</si>
  <si>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</si>
  <si>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</si>
  <si>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</si>
  <si>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</si>
  <si>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</si>
  <si>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</si>
  <si>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</si>
  <si>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</si>
  <si>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</si>
  <si>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</si>
  <si>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</si>
  <si>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</si>
  <si>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</si>
  <si>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</si>
  <si>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</si>
  <si>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</si>
  <si>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</si>
  <si>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</si>
  <si>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</si>
  <si>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</si>
  <si>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</si>
  <si>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</si>
  <si>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</si>
  <si>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</si>
  <si>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</si>
  <si>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</si>
  <si>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</si>
  <si>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</si>
  <si>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</si>
  <si>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</si>
  <si>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</si>
  <si>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</si>
  <si>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</si>
  <si>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</si>
  <si>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</si>
  <si>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</si>
  <si>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</si>
  <si>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</si>
  <si>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</si>
  <si>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</si>
  <si>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</si>
  <si>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</si>
  <si>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</si>
  <si>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</si>
  <si>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</si>
  <si>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</si>
  <si>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</si>
  <si>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</si>
  <si>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</si>
  <si>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</si>
  <si>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</si>
  <si>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</si>
  <si>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</si>
  <si>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</si>
  <si>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</si>
  <si>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</si>
  <si>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</si>
  <si>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</si>
  <si>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</si>
  <si>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</si>
  <si>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</si>
  <si>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</si>
  <si>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</si>
  <si>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</si>
  <si>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</si>
  <si>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</si>
  <si>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</si>
  <si>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</si>
  <si>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</si>
  <si>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</si>
  <si>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</si>
  <si>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</si>
  <si>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</si>
  <si>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</si>
  <si>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</si>
  <si>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</si>
  <si>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</si>
  <si>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</si>
  <si>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</si>
  <si>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</si>
  <si>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</si>
  <si>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</si>
  <si>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</si>
  <si>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</si>
  <si>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</si>
  <si>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</si>
  <si>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</si>
  <si>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</si>
  <si>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</si>
  <si>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</si>
  <si>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</si>
  <si>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</si>
  <si>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</si>
  <si>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</si>
  <si>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</si>
  <si>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</si>
  <si>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</si>
  <si>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</si>
  <si>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</si>
  <si>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</si>
  <si>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</si>
  <si>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</si>
  <si>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</si>
  <si>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</si>
  <si>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</si>
  <si>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</si>
  <si>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</si>
  <si>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</si>
  <si>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</si>
  <si>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</si>
  <si>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</si>
  <si>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</si>
  <si>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</si>
  <si>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</si>
  <si>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</si>
  <si>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</si>
  <si>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</si>
  <si>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</si>
  <si>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</si>
  <si>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</si>
  <si>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</si>
  <si>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</si>
  <si>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</si>
  <si>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</si>
  <si>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</si>
  <si>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</si>
  <si>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</si>
  <si>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</si>
  <si>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</si>
  <si>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</si>
  <si>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</si>
  <si>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</si>
  <si>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</si>
  <si>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</si>
  <si>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</si>
  <si>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</si>
  <si>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</si>
  <si>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</si>
  <si>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</si>
  <si>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</si>
  <si>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</si>
  <si>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</si>
  <si>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</si>
  <si>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</si>
  <si>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</si>
  <si>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</si>
  <si>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</si>
  <si>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</si>
  <si>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</si>
  <si>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</si>
  <si>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</si>
  <si>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</si>
  <si>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</si>
  <si>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</si>
  <si>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</si>
  <si>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</si>
  <si>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</si>
  <si>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</si>
  <si>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</si>
  <si>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</si>
  <si>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</si>
  <si>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</si>
  <si>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</si>
  <si>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</si>
  <si>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</si>
  <si>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</si>
  <si>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</si>
  <si>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</si>
  <si>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</si>
  <si>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</si>
  <si>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</si>
  <si>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</si>
  <si>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</si>
  <si>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</si>
  <si>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</si>
  <si>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</si>
  <si>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</si>
  <si>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</si>
  <si>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</si>
  <si>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</si>
  <si>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</si>
  <si>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</si>
  <si>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</si>
  <si>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</si>
  <si>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</si>
  <si>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</si>
  <si>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</si>
  <si>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</si>
  <si>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</si>
  <si>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</si>
  <si>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</si>
  <si>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</si>
  <si>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</si>
  <si>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</si>
  <si>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</si>
  <si>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</si>
  <si>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</si>
  <si>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</si>
  <si>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</si>
  <si>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</si>
  <si>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</si>
  <si>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</si>
  <si>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</si>
  <si>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</si>
  <si>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</si>
  <si>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</si>
  <si>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</si>
  <si>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</si>
  <si>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</si>
  <si>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</si>
  <si>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</si>
  <si>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</si>
  <si>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</si>
  <si>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</si>
  <si>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</si>
  <si>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</si>
  <si>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</si>
  <si>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</si>
  <si>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</si>
  <si>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</si>
  <si>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</si>
  <si>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</si>
  <si>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</si>
  <si>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</si>
  <si>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</si>
  <si>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</si>
  <si>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</si>
  <si>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</si>
  <si>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</si>
  <si>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</si>
  <si>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</si>
  <si>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</si>
  <si>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</si>
  <si>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</si>
  <si>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</si>
  <si>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</si>
  <si>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</si>
  <si>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</si>
  <si>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</si>
  <si>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</si>
  <si>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</si>
  <si>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</si>
  <si>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</si>
  <si>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</si>
  <si>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</si>
  <si>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</si>
  <si>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</si>
  <si>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</si>
  <si>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</si>
  <si>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</si>
  <si>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</si>
  <si>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</si>
  <si>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</si>
  <si>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</si>
  <si>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</si>
  <si>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</si>
  <si>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</si>
  <si>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</si>
  <si>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</si>
  <si>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</si>
  <si>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</si>
  <si>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</si>
  <si>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</si>
  <si>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</si>
  <si>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</si>
  <si>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</si>
  <si>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</si>
  <si>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</si>
  <si>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</si>
  <si>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</si>
  <si>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</si>
  <si>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</si>
  <si>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</si>
  <si>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</si>
  <si>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</si>
  <si>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</si>
  <si>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</si>
  <si>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</si>
  <si>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</si>
  <si>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</si>
  <si>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</si>
  <si>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</si>
  <si>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</si>
  <si>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</si>
  <si>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</si>
  <si>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</si>
  <si>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</si>
  <si>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</si>
  <si>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</si>
  <si>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</si>
  <si>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</si>
  <si>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</si>
  <si>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</si>
  <si>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</si>
  <si>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</si>
  <si>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</si>
  <si>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</si>
  <si>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</si>
  <si>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</si>
  <si>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</si>
  <si>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</si>
  <si>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</si>
  <si>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</si>
  <si>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</si>
  <si>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</si>
  <si>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</si>
  <si>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</si>
  <si>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</si>
  <si>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</si>
  <si>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</si>
  <si>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</si>
  <si>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</si>
  <si>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</si>
  <si>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</si>
  <si>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</si>
  <si>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</si>
  <si>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</si>
  <si>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</si>
  <si>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</si>
  <si>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</si>
  <si>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</si>
  <si>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</si>
  <si>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</si>
  <si>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</si>
  <si>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</si>
  <si>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</si>
  <si>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</si>
  <si>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</si>
  <si>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</si>
  <si>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</si>
  <si>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</si>
  <si>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</si>
  <si>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</si>
  <si>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</si>
  <si>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</si>
  <si>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</si>
  <si>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</si>
  <si>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</si>
  <si>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</si>
  <si>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</si>
  <si>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</si>
  <si>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</si>
  <si>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</si>
  <si>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</si>
  <si>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</si>
  <si>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</si>
  <si>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</si>
  <si>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</si>
  <si>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</si>
  <si>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</si>
  <si>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</si>
  <si>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</si>
  <si>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</si>
  <si>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</si>
  <si>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</si>
  <si>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</si>
  <si>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</si>
  <si>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</si>
  <si>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</si>
  <si>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</si>
  <si>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</si>
  <si>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</si>
  <si>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</si>
  <si>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</si>
  <si>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</si>
  <si>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</si>
  <si>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</si>
  <si>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</si>
  <si>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</si>
  <si>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</si>
  <si>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</si>
  <si>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</si>
  <si>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</si>
  <si>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</si>
  <si>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</si>
  <si>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</si>
  <si>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</si>
  <si>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</si>
  <si>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</si>
  <si>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</si>
  <si>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</si>
  <si>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</si>
  <si>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</si>
  <si>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</si>
  <si>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</si>
  <si>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</si>
  <si>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</si>
  <si>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</si>
  <si>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</si>
  <si>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</si>
  <si>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</si>
  <si>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</si>
  <si>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</si>
  <si>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</si>
  <si>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</si>
  <si>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</si>
  <si>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</si>
  <si>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</si>
  <si>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</si>
  <si>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</si>
  <si>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</si>
  <si>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</si>
  <si>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</si>
  <si>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</si>
  <si>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</si>
  <si>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</si>
  <si>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</si>
  <si>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</si>
  <si>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</si>
  <si>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</si>
  <si>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</si>
  <si>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</si>
  <si>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</si>
  <si>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</si>
  <si>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</si>
  <si>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</si>
  <si>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</si>
  <si>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</si>
  <si>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</si>
  <si>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</si>
  <si>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</si>
  <si>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</si>
  <si>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</si>
  <si>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</si>
  <si>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</si>
  <si>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</si>
  <si>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</si>
  <si>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</si>
  <si>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</si>
  <si>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</si>
  <si>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</si>
  <si>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</si>
  <si>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</si>
  <si>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</si>
  <si>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</si>
  <si>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</si>
  <si>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</si>
  <si>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</si>
  <si>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</si>
  <si>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</si>
  <si>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</si>
  <si>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</si>
  <si>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</si>
  <si>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</si>
  <si>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</si>
  <si>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</si>
  <si>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</si>
  <si>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</si>
  <si>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</si>
  <si>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</si>
  <si>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</si>
  <si>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</si>
  <si>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</si>
  <si>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</si>
  <si>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</si>
  <si>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</si>
  <si>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</si>
  <si>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</si>
  <si>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</si>
  <si>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</si>
  <si>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</si>
  <si>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</si>
  <si>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</si>
  <si>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</si>
  <si>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</si>
  <si>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</si>
  <si>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</si>
  <si>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</si>
  <si>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</si>
  <si>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</si>
  <si>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</si>
  <si>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</si>
  <si>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07/10</t>
  </si>
  <si>
    <t>7/10</t>
  </si>
  <si>
    <t>08/39</t>
  </si>
  <si>
    <t>FY 23 Charter School Sped Aid not received until end of September.  Permission to receive it in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</si>
</sst>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1149</v>
      </c>
      <c r="B2">
        <f>INDEX('School Tables'!$AH$3:$AH$209,MATCH('DOE25'!A2,'School Tables'!$AJ$3:$AJ$209,0))</f>
        <v>279</v>
      </c>
      <c r="C2">
        <f>INDEX('School Tables'!$AI$3:$AI$209,MATCH('DOE25'!A2,'School Tables'!$AJ$3:$AJ$209,0))</f>
        <v>279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7622996.6699999999</v>
      </c>
      <c r="G9" s="18">
        <v>601265.30000000005</v>
      </c>
      <c r="H9" s="18">
        <v>127935.76</v>
      </c>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1493102.73</v>
      </c>
      <c r="G10" s="18">
        <v>0</v>
      </c>
      <c r="H10" s="18">
        <v>0</v>
      </c>
      <c r="I10" s="18"/>
      <c r="J10" s="13">
        <f>SUM(I441)</f>
        <v>1587346.63</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334329.14</v>
      </c>
      <c r="G12" s="18">
        <v>0</v>
      </c>
      <c r="H12" s="18">
        <v>0</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519551.53</v>
      </c>
      <c r="G13" s="18">
        <v>63533.33</v>
      </c>
      <c r="H13" s="18">
        <v>356267.92</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7636.21</v>
      </c>
      <c r="G14" s="18">
        <v>4434.34</v>
      </c>
      <c r="H14" s="18">
        <v>51592.75</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2857.6</v>
      </c>
      <c r="G17" s="18">
        <v>0</v>
      </c>
      <c r="H17" s="18">
        <v>4800</v>
      </c>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9980473.8800000008</v>
      </c>
      <c r="G19" s="38">
        <f>SUM(G9:G18)</f>
        <v>669232.97</v>
      </c>
      <c r="H19" s="38">
        <f>SUM(H9:H18)</f>
        <v>540596.42999999993</v>
      </c>
      <c r="I19" s="38">
        <f>SUM(I9:I18)</f>
        <v>0</v>
      </c>
      <c r="J19" s="38">
        <f>SUM(J9:J18)</f>
        <v>1587346.63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0</v>
      </c>
      <c r="H22" s="18">
        <v>334329.14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22750.7</v>
      </c>
      <c r="G23" s="18">
        <v>0</v>
      </c>
      <c r="H23" s="18">
        <v>1073.45</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583476.44999999995</v>
      </c>
      <c r="G24" s="18">
        <v>0</v>
      </c>
      <c r="H24" s="18">
        <v>89052.9</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-0.01</v>
      </c>
      <c r="G28" s="18">
        <v>0</v>
      </c>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1476611.31</v>
      </c>
      <c r="G29" s="18">
        <v>0</v>
      </c>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34497.839999999997</v>
      </c>
      <c r="H30" s="18">
        <v>15051.12</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2082838.45</v>
      </c>
      <c r="G32" s="38">
        <f>SUM(G22:G31)</f>
        <v>34497.839999999997</v>
      </c>
      <c r="H32" s="38">
        <f>SUM(H22:H31)</f>
        <v>439506.61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2857.6</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v>634735.13</v>
      </c>
      <c r="H37" s="18">
        <v>48791.63</v>
      </c>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v>-30630.29</v>
      </c>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861316</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31341.62</v>
      </c>
      <c r="I48" s="18"/>
      <c r="J48" s="13">
        <f>SUM(I460)</f>
        <v>1587346.63</v>
      </c>
      <c r="K48" s="23" t="s">
        <v>288</v>
      </c>
      <c r="L48" s="23" t="s">
        <v>288</v>
      </c>
      <c r="M48" s="8"/>
      <c r="N48" s="165"/>
    </row>
    <row r="49" spans="1:14" s="3" customFormat="1" ht="12.2" customHeight="1" x14ac:dyDescent="0.15">
      <c r="A49" s="1" t="s">
        <v>858</v>
      </c>
      <c r="B49" s="2" t="s">
        <v>289</v>
      </c>
      <c r="C49" s="6">
        <v>34</v>
      </c>
      <c r="D49" s="2"/>
      <c r="E49" s="6">
        <v>753</v>
      </c>
      <c r="F49" s="18">
        <f>1488228.86+590155</f>
        <v>2078383.86</v>
      </c>
      <c r="G49" s="18"/>
      <c r="H49" s="18">
        <v>51586.86</v>
      </c>
      <c r="I49" s="18"/>
      <c r="J49" s="13">
        <f>I455</f>
        <v>0</v>
      </c>
      <c r="K49" s="23"/>
      <c r="L49" s="23"/>
      <c r="M49" s="8"/>
      <c r="N49" s="165"/>
    </row>
    <row r="50" spans="1:14" s="3" customFormat="1" ht="12.2" customHeight="1" thickBot="1" x14ac:dyDescent="0.2">
      <c r="A50" s="28" t="s">
        <v>839</v>
      </c>
      <c r="B50" s="2" t="s">
        <v>289</v>
      </c>
      <c r="C50" s="56">
        <v>35</v>
      </c>
      <c r="D50" s="2" t="s">
        <v>653</v>
      </c>
      <c r="E50" s="6">
        <v>770</v>
      </c>
      <c r="F50" s="18">
        <f>5545232.97-590155</f>
        <v>4955077.97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7897635.4299999997</v>
      </c>
      <c r="G51" s="38">
        <f>SUM(G35:G50)</f>
        <v>634735.13</v>
      </c>
      <c r="H51" s="38">
        <f>SUM(H35:H50)</f>
        <v>101089.81999999999</v>
      </c>
      <c r="I51" s="38">
        <f>SUM(I35:I50)</f>
        <v>0</v>
      </c>
      <c r="J51" s="38">
        <f>SUM(J35:J50)</f>
        <v>1587346.63</v>
      </c>
      <c r="K51" s="42" t="s">
        <v>288</v>
      </c>
      <c r="L51" s="42" t="s">
        <v>288</v>
      </c>
      <c r="N51" s="131"/>
    </row>
    <row r="52" spans="1:14" s="3" customFormat="1" ht="12.2" customHeight="1" thickTop="1" x14ac:dyDescent="0.15">
      <c r="A52" s="35" t="s">
        <v>455</v>
      </c>
      <c r="B52" s="36" t="s">
        <v>289</v>
      </c>
      <c r="C52" s="6">
        <v>37</v>
      </c>
      <c r="D52" s="36" t="s">
        <v>653</v>
      </c>
      <c r="E52" s="36"/>
      <c r="F52" s="38">
        <f>F51+F32</f>
        <v>9980473.879999999</v>
      </c>
      <c r="G52" s="38">
        <f>G51+G32</f>
        <v>669232.97</v>
      </c>
      <c r="H52" s="38">
        <f>H51+H32</f>
        <v>540596.42999999993</v>
      </c>
      <c r="I52" s="38">
        <f>I51+I32</f>
        <v>0</v>
      </c>
      <c r="J52" s="38">
        <f>J51+J32</f>
        <v>1587346.63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31907557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31907557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74946.16</v>
      </c>
      <c r="G63" s="23" t="s">
        <v>288</v>
      </c>
      <c r="H63" s="18">
        <v>136781.88</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v>7000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v>180459.5</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9038670.3100000005</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3123307.28</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109568.21</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12346491.960000001</v>
      </c>
      <c r="G79" s="42" t="s">
        <v>288</v>
      </c>
      <c r="H79" s="38">
        <f>SUM(H63:H78)</f>
        <v>324241.38</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368515.62</v>
      </c>
      <c r="G96" s="18"/>
      <c r="H96" s="18"/>
      <c r="I96" s="18"/>
      <c r="J96" s="18">
        <v>56064.11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931070.98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11043</v>
      </c>
      <c r="G98" s="23" t="s">
        <v>288</v>
      </c>
      <c r="H98" s="18">
        <v>40661.25</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66845.58</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102600.95</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125444.26</v>
      </c>
      <c r="G105" s="18"/>
      <c r="H105" s="18">
        <v>29125.85</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4875.76</v>
      </c>
      <c r="G109" s="18"/>
      <c r="H109" s="18">
        <v>22.65</v>
      </c>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240654.42</v>
      </c>
      <c r="G110" s="18">
        <v>23484</v>
      </c>
      <c r="H110" s="18">
        <v>1547.56</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817378.64</v>
      </c>
      <c r="G111" s="38">
        <f>SUM(G96:G110)</f>
        <v>954554.98</v>
      </c>
      <c r="H111" s="38">
        <f>SUM(H96:H110)</f>
        <v>173958.26</v>
      </c>
      <c r="I111" s="38">
        <f>SUM(I96:I110)</f>
        <v>0</v>
      </c>
      <c r="J111" s="38">
        <f>SUM(J96:J110)</f>
        <v>56064.11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45071427.600000001</v>
      </c>
      <c r="G112" s="38">
        <f>G60+G111</f>
        <v>954554.98</v>
      </c>
      <c r="H112" s="38">
        <f>H60+H79+H94+H111</f>
        <v>498199.64</v>
      </c>
      <c r="I112" s="38">
        <f>I60+I111</f>
        <v>0</v>
      </c>
      <c r="J112" s="38">
        <f>J60+J111</f>
        <v>56064.11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13177371.85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2545092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336211.66</v>
      </c>
      <c r="G120" s="18"/>
      <c r="H120" s="18">
        <v>16575</v>
      </c>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16058675.51</v>
      </c>
      <c r="G121" s="38">
        <f>SUM(G117:G120)</f>
        <v>0</v>
      </c>
      <c r="H121" s="38">
        <f>SUM(H117:H120)</f>
        <v>16575</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712989.8</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633984.43999999994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242660.47</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5347.2</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13665.39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1594981.91</v>
      </c>
      <c r="G136" s="38">
        <f>SUM(G123:G135)</f>
        <v>13665.39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17653657.419999998</v>
      </c>
      <c r="G140" s="38">
        <f>G121+SUM(G136:G137)</f>
        <v>13665.39</v>
      </c>
      <c r="H140" s="38">
        <f>H121+SUM(H136:H139)</f>
        <v>16575</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831343.53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222113.19</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210856.08</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230186.53</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920007.99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933423.57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65012.93</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228.85</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2105691.7599999998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65012.93</v>
      </c>
      <c r="G163" s="38">
        <f>SUM(G150:G162)</f>
        <v>920007.99</v>
      </c>
      <c r="H163" s="38">
        <f>SUM(H150:H162)</f>
        <v>4533843.51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65012.93</v>
      </c>
      <c r="G170" s="38">
        <f>G147+G163+SUM(G164:G169)</f>
        <v>920007.99</v>
      </c>
      <c r="H170" s="38">
        <f>H147+H163+SUM(H164:H169)</f>
        <v>4533843.51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600000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v>0</v>
      </c>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600000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20000</v>
      </c>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20000</v>
      </c>
      <c r="G193" s="38">
        <f>G184+SUM(G189:G192)</f>
        <v>0</v>
      </c>
      <c r="H193" s="38">
        <f>+H184+SUM(H189:H192)</f>
        <v>0</v>
      </c>
      <c r="I193" s="38">
        <f>I178+I184+SUM(I189:I192)</f>
        <v>0</v>
      </c>
      <c r="J193" s="38">
        <f>J184</f>
        <v>600000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62810097.949999996</v>
      </c>
      <c r="G194" s="38">
        <f>G112+G140+G170+G193</f>
        <v>1888228.3599999999</v>
      </c>
      <c r="H194" s="38">
        <f>H112+H140+H170+H193</f>
        <v>5048618.1499999994</v>
      </c>
      <c r="I194" s="38">
        <f>I112+I140+I170+I193</f>
        <v>0</v>
      </c>
      <c r="J194" s="38">
        <f>J112+J140+J193</f>
        <v>656064.11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5421190.4699999997</v>
      </c>
      <c r="G198" s="18">
        <v>2882663.1800000006</v>
      </c>
      <c r="H198" s="18">
        <v>14719.16</v>
      </c>
      <c r="I198" s="18">
        <v>216408.94</v>
      </c>
      <c r="J198" s="18">
        <v>29019.21</v>
      </c>
      <c r="K198" s="18">
        <v>11335.08</v>
      </c>
      <c r="L198" s="13">
        <f>SUM(F198:K198)</f>
        <v>8575336.040000001</v>
      </c>
      <c r="M198" s="8"/>
      <c r="N198" s="165"/>
    </row>
    <row r="199" spans="1:14" s="3" customFormat="1" ht="12.2" customHeight="1" x14ac:dyDescent="0.15">
      <c r="A199" s="1" t="s">
        <v>439</v>
      </c>
      <c r="B199" s="2" t="s">
        <v>341</v>
      </c>
      <c r="C199" s="2" t="s">
        <v>291</v>
      </c>
      <c r="D199" s="2" t="s">
        <v>431</v>
      </c>
      <c r="E199" s="6">
        <v>1200</v>
      </c>
      <c r="F199" s="18">
        <v>2742956.4</v>
      </c>
      <c r="G199" s="18">
        <v>1303893.01</v>
      </c>
      <c r="H199" s="18">
        <v>641638.30999999994</v>
      </c>
      <c r="I199" s="18">
        <v>25509.34</v>
      </c>
      <c r="J199" s="18">
        <v>1241.6600000000001</v>
      </c>
      <c r="K199" s="18">
        <v>0</v>
      </c>
      <c r="L199" s="13">
        <f>SUM(F199:K199)</f>
        <v>4715238.72</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11454.75</v>
      </c>
      <c r="G201" s="18">
        <v>2677.1399999999994</v>
      </c>
      <c r="H201" s="18">
        <v>255</v>
      </c>
      <c r="I201" s="18">
        <v>0</v>
      </c>
      <c r="J201" s="18">
        <v>0</v>
      </c>
      <c r="K201" s="18">
        <v>0</v>
      </c>
      <c r="L201" s="13">
        <f>SUM(F201:K201)</f>
        <v>14386.89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1697107.0299999998</v>
      </c>
      <c r="G203" s="18">
        <v>962243.25999999954</v>
      </c>
      <c r="H203" s="18">
        <v>95620.97</v>
      </c>
      <c r="I203" s="18">
        <v>7980.2400000000007</v>
      </c>
      <c r="J203" s="18">
        <v>0</v>
      </c>
      <c r="K203" s="18">
        <v>464</v>
      </c>
      <c r="L203" s="13">
        <f t="shared" ref="L203:L209" si="0">SUM(F203:K203)</f>
        <v>2763415.4999999995</v>
      </c>
      <c r="M203" s="8"/>
      <c r="N203" s="165"/>
    </row>
    <row r="204" spans="1:14" s="3" customFormat="1" ht="12.2" customHeight="1" x14ac:dyDescent="0.15">
      <c r="A204" s="1" t="s">
        <v>443</v>
      </c>
      <c r="B204" s="2" t="s">
        <v>341</v>
      </c>
      <c r="C204" s="2" t="s">
        <v>295</v>
      </c>
      <c r="D204" s="2" t="s">
        <v>431</v>
      </c>
      <c r="E204" s="6">
        <v>2200</v>
      </c>
      <c r="F204" s="18">
        <v>295453.42000000004</v>
      </c>
      <c r="G204" s="18">
        <v>161241.52000000005</v>
      </c>
      <c r="H204" s="18">
        <v>43291.44</v>
      </c>
      <c r="I204" s="18">
        <v>27322.43</v>
      </c>
      <c r="J204" s="18">
        <v>1250.1399999999999</v>
      </c>
      <c r="K204" s="18">
        <v>0</v>
      </c>
      <c r="L204" s="13">
        <f t="shared" si="0"/>
        <v>528558.95000000007</v>
      </c>
      <c r="M204" s="8"/>
      <c r="N204" s="165"/>
    </row>
    <row r="205" spans="1:14" s="3" customFormat="1" ht="12.2" customHeight="1" x14ac:dyDescent="0.15">
      <c r="A205" s="1" t="s">
        <v>444</v>
      </c>
      <c r="B205" s="2" t="s">
        <v>341</v>
      </c>
      <c r="C205" s="2" t="s">
        <v>296</v>
      </c>
      <c r="D205" s="2" t="s">
        <v>431</v>
      </c>
      <c r="E205" s="6">
        <v>2300</v>
      </c>
      <c r="F205" s="18">
        <v>248290.06999999998</v>
      </c>
      <c r="G205" s="18">
        <v>181940.72</v>
      </c>
      <c r="H205" s="18">
        <v>907142.32</v>
      </c>
      <c r="I205" s="18">
        <v>7322.47</v>
      </c>
      <c r="J205" s="18">
        <v>0</v>
      </c>
      <c r="K205" s="18">
        <v>36914.42</v>
      </c>
      <c r="L205" s="13">
        <f t="shared" si="0"/>
        <v>1381609.9999999998</v>
      </c>
      <c r="M205" s="8"/>
      <c r="N205" s="165"/>
    </row>
    <row r="206" spans="1:14" s="3" customFormat="1" ht="12.2" customHeight="1" x14ac:dyDescent="0.15">
      <c r="A206" s="1" t="s">
        <v>445</v>
      </c>
      <c r="B206" s="2" t="s">
        <v>341</v>
      </c>
      <c r="C206" s="2" t="s">
        <v>297</v>
      </c>
      <c r="D206" s="2" t="s">
        <v>431</v>
      </c>
      <c r="E206" s="6">
        <v>2400</v>
      </c>
      <c r="F206" s="18">
        <v>723134.42</v>
      </c>
      <c r="G206" s="18">
        <v>343681.10999999993</v>
      </c>
      <c r="H206" s="18">
        <v>26897.920000000002</v>
      </c>
      <c r="I206" s="18">
        <v>3236.95</v>
      </c>
      <c r="J206" s="18">
        <v>0</v>
      </c>
      <c r="K206" s="18">
        <v>1270</v>
      </c>
      <c r="L206" s="13">
        <f t="shared" si="0"/>
        <v>1098220.3999999999</v>
      </c>
      <c r="M206" s="8"/>
      <c r="N206" s="165"/>
    </row>
    <row r="207" spans="1:14" s="3" customFormat="1" ht="12.2" customHeight="1" x14ac:dyDescent="0.15">
      <c r="A207" s="1" t="s">
        <v>446</v>
      </c>
      <c r="B207" s="2" t="s">
        <v>341</v>
      </c>
      <c r="C207" s="2" t="s">
        <v>298</v>
      </c>
      <c r="D207" s="2" t="s">
        <v>431</v>
      </c>
      <c r="E207" s="6">
        <v>2500</v>
      </c>
      <c r="F207" s="18">
        <v>0</v>
      </c>
      <c r="G207" s="18">
        <v>0</v>
      </c>
      <c r="H207" s="18">
        <v>9600</v>
      </c>
      <c r="I207" s="18">
        <v>0</v>
      </c>
      <c r="J207" s="18">
        <v>0</v>
      </c>
      <c r="K207" s="18">
        <v>700</v>
      </c>
      <c r="L207" s="13">
        <f t="shared" si="0"/>
        <v>10300</v>
      </c>
      <c r="M207" s="8"/>
      <c r="N207" s="165"/>
    </row>
    <row r="208" spans="1:14" s="3" customFormat="1" ht="12.2" customHeight="1" x14ac:dyDescent="0.15">
      <c r="A208" s="1" t="s">
        <v>447</v>
      </c>
      <c r="B208" s="2" t="s">
        <v>341</v>
      </c>
      <c r="C208" s="2" t="s">
        <v>299</v>
      </c>
      <c r="D208" s="2" t="s">
        <v>431</v>
      </c>
      <c r="E208" s="6">
        <v>2600</v>
      </c>
      <c r="F208" s="18">
        <v>557787.26</v>
      </c>
      <c r="G208" s="18">
        <v>261542.86</v>
      </c>
      <c r="H208" s="18">
        <v>266677.33</v>
      </c>
      <c r="I208" s="18">
        <v>364949.62</v>
      </c>
      <c r="J208" s="18">
        <v>89263.98</v>
      </c>
      <c r="K208" s="18">
        <v>8698.82</v>
      </c>
      <c r="L208" s="13">
        <f t="shared" si="0"/>
        <v>1548919.8699999999</v>
      </c>
      <c r="M208" s="8"/>
      <c r="N208" s="165"/>
    </row>
    <row r="209" spans="1:14" s="3" customFormat="1" ht="12.2" customHeight="1" x14ac:dyDescent="0.15">
      <c r="A209" s="1" t="s">
        <v>448</v>
      </c>
      <c r="B209" s="2" t="s">
        <v>341</v>
      </c>
      <c r="C209" s="2" t="s">
        <v>300</v>
      </c>
      <c r="D209" s="2" t="s">
        <v>431</v>
      </c>
      <c r="E209" s="6">
        <v>2700</v>
      </c>
      <c r="F209" s="18">
        <v>0</v>
      </c>
      <c r="G209" s="18">
        <v>0</v>
      </c>
      <c r="H209" s="18">
        <v>505106.87</v>
      </c>
      <c r="I209" s="18">
        <v>0</v>
      </c>
      <c r="J209" s="18">
        <v>0</v>
      </c>
      <c r="K209" s="18">
        <v>0</v>
      </c>
      <c r="L209" s="13">
        <f t="shared" si="0"/>
        <v>505106.87</v>
      </c>
      <c r="M209" s="8"/>
      <c r="N209" s="165"/>
    </row>
    <row r="210" spans="1:14" s="3" customFormat="1" ht="12.2" customHeight="1" x14ac:dyDescent="0.15">
      <c r="A210" s="1" t="s">
        <v>449</v>
      </c>
      <c r="B210" s="2" t="s">
        <v>341</v>
      </c>
      <c r="C210" s="2" t="s">
        <v>343</v>
      </c>
      <c r="D210" s="2" t="s">
        <v>431</v>
      </c>
      <c r="E210" s="6">
        <v>2800</v>
      </c>
      <c r="F210" s="18">
        <v>7500</v>
      </c>
      <c r="G210" s="18">
        <v>2181.0099999999998</v>
      </c>
      <c r="H210" s="18">
        <v>14005.5</v>
      </c>
      <c r="I210" s="18">
        <v>155074.15</v>
      </c>
      <c r="J210" s="18">
        <v>377534.36</v>
      </c>
      <c r="K210" s="18">
        <v>0</v>
      </c>
      <c r="L210" s="13">
        <f>SUM(F210:K210)</f>
        <v>556295.02</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11704873.819999998</v>
      </c>
      <c r="G212" s="38">
        <f t="shared" si="1"/>
        <v>6102063.8100000005</v>
      </c>
      <c r="H212" s="38">
        <f t="shared" si="1"/>
        <v>2524954.8199999998</v>
      </c>
      <c r="I212" s="38">
        <f t="shared" si="1"/>
        <v>807804.14</v>
      </c>
      <c r="J212" s="38">
        <f t="shared" si="1"/>
        <v>498309.35</v>
      </c>
      <c r="K212" s="38">
        <f t="shared" si="1"/>
        <v>59382.32</v>
      </c>
      <c r="L212" s="38">
        <f t="shared" si="1"/>
        <v>21697388.260000002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2907929.79</v>
      </c>
      <c r="G216" s="18">
        <v>1467067.09</v>
      </c>
      <c r="H216" s="18">
        <v>4627.47</v>
      </c>
      <c r="I216" s="18">
        <v>71906.650000000009</v>
      </c>
      <c r="J216" s="18">
        <v>7574.02</v>
      </c>
      <c r="K216" s="18">
        <v>0</v>
      </c>
      <c r="L216" s="13">
        <f>SUM(F216:K216)</f>
        <v>4459105.0199999996</v>
      </c>
      <c r="M216" s="8"/>
      <c r="N216" s="165"/>
    </row>
    <row r="217" spans="1:14" s="3" customFormat="1" ht="12.2" customHeight="1" x14ac:dyDescent="0.15">
      <c r="A217" s="1" t="s">
        <v>439</v>
      </c>
      <c r="B217" s="2" t="s">
        <v>346</v>
      </c>
      <c r="C217" s="2" t="s">
        <v>291</v>
      </c>
      <c r="D217" s="2" t="s">
        <v>431</v>
      </c>
      <c r="E217" s="6">
        <v>1200</v>
      </c>
      <c r="F217" s="18">
        <v>1173841.43</v>
      </c>
      <c r="G217" s="18">
        <v>648039.52000000014</v>
      </c>
      <c r="H217" s="18">
        <v>1435230.29</v>
      </c>
      <c r="I217" s="18">
        <v>12590.05</v>
      </c>
      <c r="J217" s="18">
        <v>1138.98</v>
      </c>
      <c r="K217" s="18">
        <v>3336</v>
      </c>
      <c r="L217" s="13">
        <f>SUM(F217:K217)</f>
        <v>3274176.27</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86057.38</v>
      </c>
      <c r="G219" s="18">
        <v>19676.47</v>
      </c>
      <c r="H219" s="18">
        <v>9385.5</v>
      </c>
      <c r="I219" s="18">
        <v>13696.78</v>
      </c>
      <c r="J219" s="18">
        <v>4680</v>
      </c>
      <c r="K219" s="18">
        <v>4331</v>
      </c>
      <c r="L219" s="13">
        <f>SUM(F219:K219)</f>
        <v>137827.13</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642412.76</v>
      </c>
      <c r="G221" s="18">
        <v>346526.00999999995</v>
      </c>
      <c r="H221" s="18">
        <v>167714.56</v>
      </c>
      <c r="I221" s="18">
        <v>5454.71</v>
      </c>
      <c r="J221" s="18">
        <v>134.6</v>
      </c>
      <c r="K221" s="18">
        <v>369</v>
      </c>
      <c r="L221" s="13">
        <f t="shared" ref="L221:L227" si="2">SUM(F221:K221)</f>
        <v>1162611.6400000001</v>
      </c>
      <c r="M221" s="8"/>
      <c r="N221" s="165"/>
    </row>
    <row r="222" spans="1:14" s="3" customFormat="1" ht="12.2" customHeight="1" x14ac:dyDescent="0.15">
      <c r="A222" s="1" t="s">
        <v>443</v>
      </c>
      <c r="B222" s="2" t="s">
        <v>346</v>
      </c>
      <c r="C222" s="2" t="s">
        <v>295</v>
      </c>
      <c r="D222" s="2" t="s">
        <v>431</v>
      </c>
      <c r="E222" s="6">
        <v>2200</v>
      </c>
      <c r="F222" s="18">
        <v>145889.04</v>
      </c>
      <c r="G222" s="18">
        <v>61727.46</v>
      </c>
      <c r="H222" s="18">
        <v>34951.19</v>
      </c>
      <c r="I222" s="18">
        <v>32300.890000000003</v>
      </c>
      <c r="J222" s="18">
        <v>5240.3500000000004</v>
      </c>
      <c r="K222" s="18">
        <v>2282</v>
      </c>
      <c r="L222" s="13">
        <f t="shared" si="2"/>
        <v>282390.93</v>
      </c>
      <c r="M222" s="8"/>
      <c r="N222" s="165"/>
    </row>
    <row r="223" spans="1:14" s="3" customFormat="1" ht="12.2" customHeight="1" x14ac:dyDescent="0.15">
      <c r="A223" s="1" t="s">
        <v>444</v>
      </c>
      <c r="B223" s="2" t="s">
        <v>346</v>
      </c>
      <c r="C223" s="2" t="s">
        <v>296</v>
      </c>
      <c r="D223" s="2" t="s">
        <v>431</v>
      </c>
      <c r="E223" s="6">
        <v>2300</v>
      </c>
      <c r="F223" s="18">
        <v>119708.89</v>
      </c>
      <c r="G223" s="18">
        <v>87403.650000000009</v>
      </c>
      <c r="H223" s="18">
        <v>494624.67</v>
      </c>
      <c r="I223" s="18">
        <v>4133.2700000000004</v>
      </c>
      <c r="J223" s="18">
        <v>0</v>
      </c>
      <c r="K223" s="18">
        <v>9045.09</v>
      </c>
      <c r="L223" s="13">
        <f t="shared" si="2"/>
        <v>714915.57</v>
      </c>
      <c r="M223" s="8"/>
      <c r="N223" s="165"/>
    </row>
    <row r="224" spans="1:14" s="3" customFormat="1" ht="12.2" customHeight="1" x14ac:dyDescent="0.15">
      <c r="A224" s="1" t="s">
        <v>445</v>
      </c>
      <c r="B224" s="2" t="s">
        <v>346</v>
      </c>
      <c r="C224" s="2" t="s">
        <v>297</v>
      </c>
      <c r="D224" s="2" t="s">
        <v>431</v>
      </c>
      <c r="E224" s="6">
        <v>2400</v>
      </c>
      <c r="F224" s="18">
        <v>368814.64</v>
      </c>
      <c r="G224" s="18">
        <v>180134.18</v>
      </c>
      <c r="H224" s="18">
        <v>20689.219999999998</v>
      </c>
      <c r="I224" s="18">
        <v>0</v>
      </c>
      <c r="J224" s="18">
        <v>0</v>
      </c>
      <c r="K224" s="18">
        <v>4522.51</v>
      </c>
      <c r="L224" s="13">
        <f t="shared" si="2"/>
        <v>574160.55000000005</v>
      </c>
      <c r="M224" s="8"/>
      <c r="N224" s="165"/>
    </row>
    <row r="225" spans="1:14" s="3" customFormat="1" ht="12.2" customHeight="1" x14ac:dyDescent="0.15">
      <c r="A225" s="1" t="s">
        <v>446</v>
      </c>
      <c r="B225" s="2" t="s">
        <v>346</v>
      </c>
      <c r="C225" s="2" t="s">
        <v>298</v>
      </c>
      <c r="D225" s="2" t="s">
        <v>431</v>
      </c>
      <c r="E225" s="6">
        <v>2500</v>
      </c>
      <c r="F225" s="18">
        <v>0</v>
      </c>
      <c r="G225" s="18">
        <v>0</v>
      </c>
      <c r="H225" s="18">
        <v>6600.01</v>
      </c>
      <c r="I225" s="18">
        <v>0</v>
      </c>
      <c r="J225" s="18">
        <v>0</v>
      </c>
      <c r="K225" s="18">
        <v>0</v>
      </c>
      <c r="L225" s="13">
        <f t="shared" si="2"/>
        <v>6600.01</v>
      </c>
      <c r="M225" s="8"/>
      <c r="N225" s="165"/>
    </row>
    <row r="226" spans="1:14" s="3" customFormat="1" ht="12.2" customHeight="1" x14ac:dyDescent="0.15">
      <c r="A226" s="1" t="s">
        <v>447</v>
      </c>
      <c r="B226" s="2" t="s">
        <v>346</v>
      </c>
      <c r="C226" s="2" t="s">
        <v>299</v>
      </c>
      <c r="D226" s="2" t="s">
        <v>431</v>
      </c>
      <c r="E226" s="6">
        <v>2600</v>
      </c>
      <c r="F226" s="18">
        <v>349716.64</v>
      </c>
      <c r="G226" s="18">
        <v>180597.38000000003</v>
      </c>
      <c r="H226" s="18">
        <v>207685.09</v>
      </c>
      <c r="I226" s="18">
        <v>257789.91999999998</v>
      </c>
      <c r="J226" s="18">
        <v>57338.82</v>
      </c>
      <c r="K226" s="18">
        <v>7293.45</v>
      </c>
      <c r="L226" s="13">
        <f t="shared" si="2"/>
        <v>1060421.3</v>
      </c>
      <c r="M226" s="8"/>
      <c r="N226" s="165"/>
    </row>
    <row r="227" spans="1:14" s="3" customFormat="1" ht="12.2" customHeight="1" x14ac:dyDescent="0.15">
      <c r="A227" s="1" t="s">
        <v>448</v>
      </c>
      <c r="B227" s="2" t="s">
        <v>346</v>
      </c>
      <c r="C227" s="2" t="s">
        <v>300</v>
      </c>
      <c r="D227" s="2" t="s">
        <v>431</v>
      </c>
      <c r="E227" s="6">
        <v>2700</v>
      </c>
      <c r="F227" s="18">
        <v>647.87</v>
      </c>
      <c r="G227" s="18">
        <v>143.35000000000002</v>
      </c>
      <c r="H227" s="18">
        <v>563201.76</v>
      </c>
      <c r="I227" s="18">
        <v>0</v>
      </c>
      <c r="J227" s="18">
        <v>0</v>
      </c>
      <c r="K227" s="18">
        <v>0</v>
      </c>
      <c r="L227" s="13">
        <f t="shared" si="2"/>
        <v>563992.98</v>
      </c>
      <c r="M227" s="8"/>
      <c r="N227" s="165"/>
    </row>
    <row r="228" spans="1:14" s="3" customFormat="1" ht="12.2" customHeight="1" x14ac:dyDescent="0.15">
      <c r="A228" s="1" t="s">
        <v>449</v>
      </c>
      <c r="B228" s="2" t="s">
        <v>346</v>
      </c>
      <c r="C228" s="2" t="s">
        <v>343</v>
      </c>
      <c r="D228" s="2" t="s">
        <v>431</v>
      </c>
      <c r="E228" s="6">
        <v>2800</v>
      </c>
      <c r="F228" s="18">
        <v>2812.5</v>
      </c>
      <c r="G228" s="18">
        <v>818.16</v>
      </c>
      <c r="H228" s="18">
        <v>9170.4500000000007</v>
      </c>
      <c r="I228" s="18">
        <v>62273.47</v>
      </c>
      <c r="J228" s="18">
        <v>190181.78</v>
      </c>
      <c r="K228" s="18">
        <v>0</v>
      </c>
      <c r="L228" s="13">
        <f>SUM(F228:K228)</f>
        <v>265256.36</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5797830.9399999985</v>
      </c>
      <c r="G230" s="38">
        <f>SUM(G216:G229)</f>
        <v>2992133.2700000005</v>
      </c>
      <c r="H230" s="38">
        <f>SUM(H216:H229)</f>
        <v>2953880.21</v>
      </c>
      <c r="I230" s="38">
        <f>SUM(I216:I229)</f>
        <v>460145.74</v>
      </c>
      <c r="J230" s="38">
        <f>SUM(J216:J229)</f>
        <v>266288.55</v>
      </c>
      <c r="K230" s="38">
        <f t="shared" si="3"/>
        <v>31179.05</v>
      </c>
      <c r="L230" s="38">
        <f t="shared" si="3"/>
        <v>12501457.76</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5087736.8099999996</v>
      </c>
      <c r="G234" s="18">
        <v>2767459.3</v>
      </c>
      <c r="H234" s="18">
        <v>61125.039999999994</v>
      </c>
      <c r="I234" s="18">
        <v>166630.79999999999</v>
      </c>
      <c r="J234" s="18">
        <v>67208.25</v>
      </c>
      <c r="K234" s="18">
        <v>250</v>
      </c>
      <c r="L234" s="13">
        <f>SUM(F234:K234)</f>
        <v>8150410.1999999993</v>
      </c>
      <c r="M234" s="8"/>
      <c r="N234" s="165"/>
    </row>
    <row r="235" spans="1:14" s="3" customFormat="1" ht="12.2" customHeight="1" x14ac:dyDescent="0.15">
      <c r="A235" s="1" t="s">
        <v>439</v>
      </c>
      <c r="B235" s="2" t="s">
        <v>350</v>
      </c>
      <c r="C235" s="2" t="s">
        <v>291</v>
      </c>
      <c r="D235" s="2" t="s">
        <v>431</v>
      </c>
      <c r="E235" s="6">
        <v>1200</v>
      </c>
      <c r="F235" s="18">
        <v>1370742.19</v>
      </c>
      <c r="G235" s="18">
        <v>635385.05000000016</v>
      </c>
      <c r="H235" s="18">
        <v>1799345.42</v>
      </c>
      <c r="I235" s="18">
        <v>5940.8899999999994</v>
      </c>
      <c r="J235" s="18">
        <v>616.29999999999995</v>
      </c>
      <c r="K235" s="18">
        <v>0</v>
      </c>
      <c r="L235" s="13">
        <f>SUM(F235:K235)</f>
        <v>3812029.85</v>
      </c>
      <c r="M235" s="8"/>
      <c r="N235" s="165"/>
    </row>
    <row r="236" spans="1:14" s="3" customFormat="1" ht="12.2" customHeight="1" x14ac:dyDescent="0.15">
      <c r="A236" s="1" t="s">
        <v>440</v>
      </c>
      <c r="B236" s="2" t="s">
        <v>350</v>
      </c>
      <c r="C236" s="2" t="s">
        <v>292</v>
      </c>
      <c r="D236" s="2" t="s">
        <v>431</v>
      </c>
      <c r="E236" s="6">
        <v>1300</v>
      </c>
      <c r="F236" s="18">
        <v>826485.36</v>
      </c>
      <c r="G236" s="18">
        <v>407167.00999999995</v>
      </c>
      <c r="H236" s="18">
        <v>58788.65</v>
      </c>
      <c r="I236" s="18">
        <v>34825.880000000005</v>
      </c>
      <c r="J236" s="18">
        <v>5782.77</v>
      </c>
      <c r="K236" s="18">
        <v>1386.12</v>
      </c>
      <c r="L236" s="13">
        <f>SUM(F236:K236)</f>
        <v>1334435.79</v>
      </c>
      <c r="M236" s="8"/>
      <c r="N236" s="165"/>
    </row>
    <row r="237" spans="1:14" s="3" customFormat="1" ht="12.2" customHeight="1" x14ac:dyDescent="0.15">
      <c r="A237" s="1" t="s">
        <v>441</v>
      </c>
      <c r="B237" s="2" t="s">
        <v>350</v>
      </c>
      <c r="C237" s="2" t="s">
        <v>293</v>
      </c>
      <c r="D237" s="2" t="s">
        <v>431</v>
      </c>
      <c r="E237" s="6">
        <v>1400</v>
      </c>
      <c r="F237" s="18">
        <v>395236.74</v>
      </c>
      <c r="G237" s="18">
        <v>89802.819999999978</v>
      </c>
      <c r="H237" s="18">
        <v>143966.69</v>
      </c>
      <c r="I237" s="18">
        <v>26811.059999999994</v>
      </c>
      <c r="J237" s="18">
        <v>34181.93</v>
      </c>
      <c r="K237" s="18">
        <v>26213.93</v>
      </c>
      <c r="L237" s="13">
        <f>SUM(F237:K237)</f>
        <v>716213.17</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999629.89</v>
      </c>
      <c r="G239" s="18">
        <v>475261.94</v>
      </c>
      <c r="H239" s="18">
        <v>186205.87000000002</v>
      </c>
      <c r="I239" s="18">
        <v>5052.13</v>
      </c>
      <c r="J239" s="18">
        <v>1969.01</v>
      </c>
      <c r="K239" s="18">
        <v>1446</v>
      </c>
      <c r="L239" s="13">
        <f t="shared" ref="L239:L245" si="4">SUM(F239:K239)</f>
        <v>1669564.84</v>
      </c>
      <c r="M239" s="8"/>
      <c r="N239" s="165"/>
    </row>
    <row r="240" spans="1:14" s="3" customFormat="1" ht="12.2" customHeight="1" x14ac:dyDescent="0.15">
      <c r="A240" s="1" t="s">
        <v>443</v>
      </c>
      <c r="B240" s="2" t="s">
        <v>350</v>
      </c>
      <c r="C240" s="2" t="s">
        <v>295</v>
      </c>
      <c r="D240" s="2" t="s">
        <v>431</v>
      </c>
      <c r="E240" s="6">
        <v>2200</v>
      </c>
      <c r="F240" s="18">
        <v>172068.35</v>
      </c>
      <c r="G240" s="18">
        <v>123308.18999999999</v>
      </c>
      <c r="H240" s="18">
        <v>32926.36</v>
      </c>
      <c r="I240" s="18">
        <v>59085.120000000003</v>
      </c>
      <c r="J240" s="18">
        <v>6325.8</v>
      </c>
      <c r="K240" s="18">
        <v>1187.75</v>
      </c>
      <c r="L240" s="13">
        <f t="shared" si="4"/>
        <v>394901.56999999995</v>
      </c>
      <c r="M240" s="8"/>
      <c r="N240" s="165"/>
    </row>
    <row r="241" spans="1:14" s="3" customFormat="1" ht="12.2" customHeight="1" x14ac:dyDescent="0.15">
      <c r="A241" s="1" t="s">
        <v>444</v>
      </c>
      <c r="B241" s="2" t="s">
        <v>350</v>
      </c>
      <c r="C241" s="2" t="s">
        <v>296</v>
      </c>
      <c r="D241" s="2" t="s">
        <v>431</v>
      </c>
      <c r="E241" s="6">
        <v>2300</v>
      </c>
      <c r="F241" s="18">
        <v>166562.12</v>
      </c>
      <c r="G241" s="18">
        <v>116560.07999999996</v>
      </c>
      <c r="H241" s="18">
        <v>1189380.3999999999</v>
      </c>
      <c r="I241" s="18">
        <v>8535.11</v>
      </c>
      <c r="J241" s="18">
        <v>0</v>
      </c>
      <c r="K241" s="18">
        <v>10796.46</v>
      </c>
      <c r="L241" s="13">
        <f t="shared" si="4"/>
        <v>1491834.17</v>
      </c>
      <c r="M241" s="8"/>
      <c r="N241" s="165"/>
    </row>
    <row r="242" spans="1:14" s="3" customFormat="1" ht="12.2" customHeight="1" x14ac:dyDescent="0.15">
      <c r="A242" s="1" t="s">
        <v>445</v>
      </c>
      <c r="B242" s="2" t="s">
        <v>350</v>
      </c>
      <c r="C242" s="2" t="s">
        <v>297</v>
      </c>
      <c r="D242" s="2" t="s">
        <v>431</v>
      </c>
      <c r="E242" s="6">
        <v>2400</v>
      </c>
      <c r="F242" s="18">
        <v>1020462.5900000001</v>
      </c>
      <c r="G242" s="18">
        <v>507101.70999999996</v>
      </c>
      <c r="H242" s="18">
        <v>58214.030000000006</v>
      </c>
      <c r="I242" s="18">
        <v>43023.26</v>
      </c>
      <c r="J242" s="18">
        <v>44542.03</v>
      </c>
      <c r="K242" s="18">
        <v>12712.85</v>
      </c>
      <c r="L242" s="13">
        <f t="shared" si="4"/>
        <v>1686056.4700000002</v>
      </c>
      <c r="M242" s="8"/>
      <c r="N242" s="165"/>
    </row>
    <row r="243" spans="1:14" s="3" customFormat="1" ht="12.2" customHeight="1" x14ac:dyDescent="0.15">
      <c r="A243" s="1" t="s">
        <v>446</v>
      </c>
      <c r="B243" s="2" t="s">
        <v>350</v>
      </c>
      <c r="C243" s="2" t="s">
        <v>298</v>
      </c>
      <c r="D243" s="2" t="s">
        <v>431</v>
      </c>
      <c r="E243" s="6">
        <v>2500</v>
      </c>
      <c r="F243" s="18">
        <v>0</v>
      </c>
      <c r="G243" s="18">
        <v>0</v>
      </c>
      <c r="H243" s="18">
        <v>13799.99</v>
      </c>
      <c r="I243" s="18">
        <v>0</v>
      </c>
      <c r="J243" s="18">
        <v>0</v>
      </c>
      <c r="K243" s="18">
        <v>0</v>
      </c>
      <c r="L243" s="13">
        <f t="shared" si="4"/>
        <v>13799.99</v>
      </c>
      <c r="M243" s="8"/>
      <c r="N243" s="165"/>
    </row>
    <row r="244" spans="1:14" s="3" customFormat="1" ht="12.2" customHeight="1" x14ac:dyDescent="0.15">
      <c r="A244" s="1" t="s">
        <v>447</v>
      </c>
      <c r="B244" s="2" t="s">
        <v>350</v>
      </c>
      <c r="C244" s="2" t="s">
        <v>299</v>
      </c>
      <c r="D244" s="2" t="s">
        <v>431</v>
      </c>
      <c r="E244" s="6">
        <v>2600</v>
      </c>
      <c r="F244" s="18">
        <v>820409.48</v>
      </c>
      <c r="G244" s="18">
        <v>416966.41000000009</v>
      </c>
      <c r="H244" s="18">
        <v>616053.29</v>
      </c>
      <c r="I244" s="18">
        <v>784886.08999999985</v>
      </c>
      <c r="J244" s="18">
        <v>228559.49</v>
      </c>
      <c r="K244" s="18">
        <v>13934.57</v>
      </c>
      <c r="L244" s="13">
        <f t="shared" si="4"/>
        <v>2880809.3299999996</v>
      </c>
      <c r="M244" s="8"/>
      <c r="N244" s="165"/>
    </row>
    <row r="245" spans="1:14" s="3" customFormat="1" ht="12.2" customHeight="1" x14ac:dyDescent="0.15">
      <c r="A245" s="1" t="s">
        <v>448</v>
      </c>
      <c r="B245" s="2" t="s">
        <v>350</v>
      </c>
      <c r="C245" s="2" t="s">
        <v>300</v>
      </c>
      <c r="D245" s="2" t="s">
        <v>431</v>
      </c>
      <c r="E245" s="6">
        <v>2700</v>
      </c>
      <c r="F245" s="18">
        <v>0</v>
      </c>
      <c r="G245" s="18">
        <v>0</v>
      </c>
      <c r="H245" s="18">
        <v>1063860.54</v>
      </c>
      <c r="I245" s="18">
        <v>0</v>
      </c>
      <c r="J245" s="18">
        <v>0</v>
      </c>
      <c r="K245" s="18">
        <v>2049</v>
      </c>
      <c r="L245" s="13">
        <f t="shared" si="4"/>
        <v>1065909.54</v>
      </c>
      <c r="M245" s="8"/>
      <c r="N245" s="165"/>
    </row>
    <row r="246" spans="1:14" s="3" customFormat="1" ht="12.2" customHeight="1" x14ac:dyDescent="0.15">
      <c r="A246" s="1" t="s">
        <v>449</v>
      </c>
      <c r="B246" s="2" t="s">
        <v>350</v>
      </c>
      <c r="C246" s="2" t="s">
        <v>343</v>
      </c>
      <c r="D246" s="2" t="s">
        <v>431</v>
      </c>
      <c r="E246" s="6">
        <v>2800</v>
      </c>
      <c r="F246" s="18">
        <v>3750</v>
      </c>
      <c r="G246" s="18">
        <v>1090.8399999999999</v>
      </c>
      <c r="H246" s="18">
        <v>32021.309999999998</v>
      </c>
      <c r="I246" s="18">
        <v>188330.66999999998</v>
      </c>
      <c r="J246" s="18">
        <v>285350.67</v>
      </c>
      <c r="K246" s="18">
        <v>0</v>
      </c>
      <c r="L246" s="13">
        <f>SUM(F246:K246)</f>
        <v>510543.49</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10863083.529999999</v>
      </c>
      <c r="G248" s="38">
        <f t="shared" si="5"/>
        <v>5540103.3500000006</v>
      </c>
      <c r="H248" s="38">
        <f t="shared" si="5"/>
        <v>5255687.5899999989</v>
      </c>
      <c r="I248" s="38">
        <f t="shared" si="5"/>
        <v>1323121.0099999998</v>
      </c>
      <c r="J248" s="38">
        <f t="shared" si="5"/>
        <v>674536.25</v>
      </c>
      <c r="K248" s="38">
        <f t="shared" si="5"/>
        <v>69976.679999999993</v>
      </c>
      <c r="L248" s="38">
        <f t="shared" si="5"/>
        <v>23726508.409999993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2400</v>
      </c>
      <c r="I254" s="18">
        <v>0</v>
      </c>
      <c r="J254" s="18">
        <v>0</v>
      </c>
      <c r="K254" s="18">
        <v>0</v>
      </c>
      <c r="L254" s="13">
        <f t="shared" si="6"/>
        <v>2400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3967135.99</v>
      </c>
      <c r="I256" s="18">
        <v>0</v>
      </c>
      <c r="J256" s="18">
        <v>0</v>
      </c>
      <c r="K256" s="18">
        <v>8170.44</v>
      </c>
      <c r="L256" s="13">
        <f t="shared" si="6"/>
        <v>3975306.43</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3969535.99</v>
      </c>
      <c r="I257" s="38">
        <f t="shared" si="7"/>
        <v>0</v>
      </c>
      <c r="J257" s="38">
        <f t="shared" si="7"/>
        <v>0</v>
      </c>
      <c r="K257" s="38">
        <f t="shared" si="7"/>
        <v>8170.44</v>
      </c>
      <c r="L257" s="38">
        <f>SUM(F257:K257)</f>
        <v>3977706.43</v>
      </c>
      <c r="M257" s="8"/>
      <c r="N257" s="165"/>
    </row>
    <row r="258" spans="1:14" s="3" customFormat="1" ht="12.2" customHeight="1" thickTop="1" x14ac:dyDescent="0.15">
      <c r="A258" s="35" t="s">
        <v>462</v>
      </c>
      <c r="B258" s="37">
        <v>10</v>
      </c>
      <c r="C258" s="37">
        <v>8</v>
      </c>
      <c r="D258" s="36" t="s">
        <v>431</v>
      </c>
      <c r="E258" s="37"/>
      <c r="F258" s="38">
        <f t="shared" ref="F258:L258" si="8">F212+F230+F248+F257</f>
        <v>28365788.289999999</v>
      </c>
      <c r="G258" s="38">
        <f t="shared" si="8"/>
        <v>14634300.430000003</v>
      </c>
      <c r="H258" s="38">
        <f t="shared" si="8"/>
        <v>14704058.609999998</v>
      </c>
      <c r="I258" s="38">
        <f t="shared" si="8"/>
        <v>2591070.8899999997</v>
      </c>
      <c r="J258" s="38">
        <f t="shared" si="8"/>
        <v>1439134.15</v>
      </c>
      <c r="K258" s="38">
        <f t="shared" si="8"/>
        <v>168708.49</v>
      </c>
      <c r="L258" s="38">
        <f t="shared" si="8"/>
        <v>61903060.859999992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1326140.3799999999</v>
      </c>
      <c r="L261" s="13">
        <f>SUM(F261:K261)</f>
        <v>1326140.3799999999</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973235.12</v>
      </c>
      <c r="L262" s="13">
        <f>SUM(F262:K262)</f>
        <v>973235.12</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600000</v>
      </c>
      <c r="L267" s="13">
        <f t="shared" si="9"/>
        <v>600000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2899375.5</v>
      </c>
      <c r="L271" s="38">
        <f t="shared" si="9"/>
        <v>2899375.5</v>
      </c>
      <c r="M271" s="8"/>
      <c r="N271" s="165"/>
    </row>
    <row r="272" spans="1:14" s="33" customFormat="1" ht="12.2" customHeight="1" thickTop="1" x14ac:dyDescent="0.2">
      <c r="A272" s="40" t="s">
        <v>464</v>
      </c>
      <c r="B272" s="37">
        <v>10</v>
      </c>
      <c r="C272" s="37">
        <v>18</v>
      </c>
      <c r="D272" s="36" t="s">
        <v>431</v>
      </c>
      <c r="E272" s="37"/>
      <c r="F272" s="39">
        <f t="shared" ref="F272:L272" si="11">F258+F271</f>
        <v>28365788.289999999</v>
      </c>
      <c r="G272" s="39">
        <f t="shared" si="11"/>
        <v>14634300.430000003</v>
      </c>
      <c r="H272" s="39">
        <f t="shared" si="11"/>
        <v>14704058.609999998</v>
      </c>
      <c r="I272" s="39">
        <f t="shared" si="11"/>
        <v>2591070.8899999997</v>
      </c>
      <c r="J272" s="39">
        <f t="shared" si="11"/>
        <v>1439134.15</v>
      </c>
      <c r="K272" s="39">
        <f t="shared" si="11"/>
        <v>3068083.99</v>
      </c>
      <c r="L272" s="39">
        <f t="shared" si="11"/>
        <v>64802436.359999992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430775.78</v>
      </c>
      <c r="G277" s="18">
        <v>149670.73000000001</v>
      </c>
      <c r="H277" s="18">
        <v>9246.48</v>
      </c>
      <c r="I277" s="18">
        <v>77127.95</v>
      </c>
      <c r="J277" s="18">
        <v>16445.57</v>
      </c>
      <c r="K277" s="18">
        <v>2009.38</v>
      </c>
      <c r="L277" s="13">
        <f>SUM(F277:K277)</f>
        <v>685275.8899999999</v>
      </c>
      <c r="M277" s="8"/>
      <c r="N277" s="165"/>
    </row>
    <row r="278" spans="1:14" s="3" customFormat="1" ht="12.2" customHeight="1" x14ac:dyDescent="0.15">
      <c r="A278" s="1" t="s">
        <v>439</v>
      </c>
      <c r="B278" s="2" t="s">
        <v>357</v>
      </c>
      <c r="C278" s="2" t="s">
        <v>291</v>
      </c>
      <c r="D278" s="2" t="s">
        <v>431</v>
      </c>
      <c r="E278" s="6">
        <v>1200</v>
      </c>
      <c r="F278" s="18">
        <v>116674.85</v>
      </c>
      <c r="G278" s="18">
        <v>59437.43</v>
      </c>
      <c r="H278" s="18">
        <v>1785</v>
      </c>
      <c r="I278" s="18">
        <v>2995.27</v>
      </c>
      <c r="J278" s="18">
        <v>12851.029999999999</v>
      </c>
      <c r="K278" s="18">
        <v>0</v>
      </c>
      <c r="L278" s="13">
        <f>SUM(F278:K278)</f>
        <v>193743.58</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109.89</v>
      </c>
      <c r="J279" s="18">
        <v>0</v>
      </c>
      <c r="K279" s="18">
        <v>0</v>
      </c>
      <c r="L279" s="13">
        <f>SUM(F279:K279)</f>
        <v>109.89</v>
      </c>
      <c r="M279" s="8"/>
      <c r="N279" s="165"/>
    </row>
    <row r="280" spans="1:14" s="3" customFormat="1" ht="12.2" customHeight="1" x14ac:dyDescent="0.15">
      <c r="A280" s="1" t="s">
        <v>441</v>
      </c>
      <c r="B280" s="2" t="s">
        <v>357</v>
      </c>
      <c r="C280" s="2" t="s">
        <v>293</v>
      </c>
      <c r="D280" s="2" t="s">
        <v>431</v>
      </c>
      <c r="E280" s="6">
        <v>1400</v>
      </c>
      <c r="F280" s="18">
        <v>4762.8499999999995</v>
      </c>
      <c r="G280" s="18">
        <v>1217.57</v>
      </c>
      <c r="H280" s="18">
        <v>1834.7819</v>
      </c>
      <c r="I280" s="18">
        <v>1145.5</v>
      </c>
      <c r="J280" s="18">
        <v>195</v>
      </c>
      <c r="K280" s="18">
        <v>5539.49</v>
      </c>
      <c r="L280" s="13">
        <f>SUM(F280:K280)</f>
        <v>14695.1919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103519.06</v>
      </c>
      <c r="G282" s="18">
        <v>37071.869999999995</v>
      </c>
      <c r="H282" s="18">
        <v>24485.86</v>
      </c>
      <c r="I282" s="18">
        <v>6796.9699999999993</v>
      </c>
      <c r="J282" s="18">
        <v>0</v>
      </c>
      <c r="K282" s="18">
        <v>8251.4599999999991</v>
      </c>
      <c r="L282" s="13">
        <f t="shared" ref="L282:L288" si="12">SUM(F282:K282)</f>
        <v>180125.21999999997</v>
      </c>
      <c r="M282" s="8"/>
      <c r="N282" s="165"/>
    </row>
    <row r="283" spans="1:14" s="3" customFormat="1" ht="12.2" customHeight="1" x14ac:dyDescent="0.15">
      <c r="A283" s="1" t="s">
        <v>443</v>
      </c>
      <c r="B283" s="2" t="s">
        <v>357</v>
      </c>
      <c r="C283" s="2" t="s">
        <v>295</v>
      </c>
      <c r="D283" s="2" t="s">
        <v>431</v>
      </c>
      <c r="E283" s="6">
        <v>2200</v>
      </c>
      <c r="F283" s="18">
        <v>59525.701000000001</v>
      </c>
      <c r="G283" s="18">
        <v>12574.891599999997</v>
      </c>
      <c r="H283" s="18">
        <v>228056.34400000001</v>
      </c>
      <c r="I283" s="18">
        <v>60507.135600000001</v>
      </c>
      <c r="J283" s="18">
        <v>0</v>
      </c>
      <c r="K283" s="18">
        <v>0</v>
      </c>
      <c r="L283" s="13">
        <f t="shared" si="12"/>
        <v>360664.0722</v>
      </c>
      <c r="M283" s="8"/>
      <c r="N283" s="165"/>
    </row>
    <row r="284" spans="1:14" s="3" customFormat="1" ht="12.2" customHeight="1" x14ac:dyDescent="0.15">
      <c r="A284" s="1" t="s">
        <v>444</v>
      </c>
      <c r="B284" s="2" t="s">
        <v>357</v>
      </c>
      <c r="C284" s="2" t="s">
        <v>296</v>
      </c>
      <c r="D284" s="2" t="s">
        <v>431</v>
      </c>
      <c r="E284" s="6">
        <v>2300</v>
      </c>
      <c r="F284" s="18">
        <v>44884.47</v>
      </c>
      <c r="G284" s="18">
        <v>29488.670000000002</v>
      </c>
      <c r="H284" s="18">
        <v>1131.0531000000001</v>
      </c>
      <c r="I284" s="18">
        <v>880.71</v>
      </c>
      <c r="J284" s="18">
        <v>0</v>
      </c>
      <c r="K284" s="18">
        <v>0</v>
      </c>
      <c r="L284" s="13">
        <f t="shared" si="12"/>
        <v>76384.90310000001</v>
      </c>
      <c r="M284" s="8"/>
      <c r="N284" s="165"/>
    </row>
    <row r="285" spans="1:14" s="3" customFormat="1" ht="12.2" customHeight="1" x14ac:dyDescent="0.15">
      <c r="A285" s="1" t="s">
        <v>445</v>
      </c>
      <c r="B285" s="2" t="s">
        <v>357</v>
      </c>
      <c r="C285" s="2" t="s">
        <v>297</v>
      </c>
      <c r="D285" s="2" t="s">
        <v>431</v>
      </c>
      <c r="E285" s="6">
        <v>2400</v>
      </c>
      <c r="F285" s="18">
        <v>12155.491599999999</v>
      </c>
      <c r="G285" s="18">
        <v>7632.3267000000014</v>
      </c>
      <c r="H285" s="18">
        <v>432.34129999999999</v>
      </c>
      <c r="I285" s="18">
        <v>0</v>
      </c>
      <c r="J285" s="18">
        <v>0</v>
      </c>
      <c r="K285" s="18">
        <v>1154.5332000000001</v>
      </c>
      <c r="L285" s="13">
        <f t="shared" si="12"/>
        <v>21374.692800000001</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89054.092100000009</v>
      </c>
      <c r="L286" s="13">
        <f t="shared" si="12"/>
        <v>89054.092100000009</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599.95000000000005</v>
      </c>
      <c r="K287" s="18">
        <v>0</v>
      </c>
      <c r="L287" s="13">
        <f t="shared" si="12"/>
        <v>599.95000000000005</v>
      </c>
      <c r="M287" s="8"/>
      <c r="N287" s="165"/>
    </row>
    <row r="288" spans="1:14" s="3" customFormat="1" ht="12.2" customHeight="1" x14ac:dyDescent="0.15">
      <c r="A288" s="1" t="s">
        <v>448</v>
      </c>
      <c r="B288" s="2" t="s">
        <v>357</v>
      </c>
      <c r="C288" s="2" t="s">
        <v>300</v>
      </c>
      <c r="D288" s="2" t="s">
        <v>431</v>
      </c>
      <c r="E288" s="6">
        <v>2700</v>
      </c>
      <c r="F288" s="18">
        <v>0</v>
      </c>
      <c r="G288" s="18">
        <v>0</v>
      </c>
      <c r="H288" s="18">
        <v>7295.3</v>
      </c>
      <c r="I288" s="18">
        <v>0</v>
      </c>
      <c r="J288" s="18">
        <v>0</v>
      </c>
      <c r="K288" s="18">
        <v>1459.2</v>
      </c>
      <c r="L288" s="13">
        <f t="shared" si="12"/>
        <v>8754.5</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772298.20259999996</v>
      </c>
      <c r="G291" s="39">
        <f t="shared" si="13"/>
        <v>297093.48829999997</v>
      </c>
      <c r="H291" s="39">
        <f t="shared" si="13"/>
        <v>274267.16029999999</v>
      </c>
      <c r="I291" s="39">
        <f t="shared" si="13"/>
        <v>149563.42559999999</v>
      </c>
      <c r="J291" s="39">
        <f t="shared" si="13"/>
        <v>30091.55</v>
      </c>
      <c r="K291" s="39">
        <f t="shared" si="13"/>
        <v>107468.1553</v>
      </c>
      <c r="L291" s="38">
        <f t="shared" si="13"/>
        <v>1630781.9820999999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215</v>
      </c>
      <c r="I296" s="18">
        <v>0</v>
      </c>
      <c r="J296" s="18">
        <v>43.800000000000004</v>
      </c>
      <c r="K296" s="18">
        <v>134.80000000000001</v>
      </c>
      <c r="L296" s="13">
        <f>SUM(F296:K296)</f>
        <v>393.6</v>
      </c>
      <c r="M296" s="8"/>
      <c r="N296" s="165"/>
    </row>
    <row r="297" spans="1:14" s="3" customFormat="1" ht="12.2" customHeight="1" x14ac:dyDescent="0.15">
      <c r="A297" s="1" t="s">
        <v>439</v>
      </c>
      <c r="B297" s="2" t="s">
        <v>358</v>
      </c>
      <c r="C297" s="2" t="s">
        <v>291</v>
      </c>
      <c r="D297" s="2" t="s">
        <v>431</v>
      </c>
      <c r="E297" s="6">
        <v>1200</v>
      </c>
      <c r="F297" s="18">
        <v>53479.29</v>
      </c>
      <c r="G297" s="18">
        <v>33596.729999999996</v>
      </c>
      <c r="H297" s="18">
        <v>0</v>
      </c>
      <c r="I297" s="18">
        <v>0</v>
      </c>
      <c r="J297" s="18">
        <v>0</v>
      </c>
      <c r="K297" s="18">
        <v>0</v>
      </c>
      <c r="L297" s="13">
        <f>SUM(F297:K297)</f>
        <v>87076.01999999999</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59.400000000000006</v>
      </c>
      <c r="J298" s="18">
        <v>0</v>
      </c>
      <c r="K298" s="18">
        <v>0</v>
      </c>
      <c r="L298" s="13">
        <f>SUM(F298:K298)</f>
        <v>59.400000000000006</v>
      </c>
      <c r="M298" s="8"/>
      <c r="N298" s="165"/>
    </row>
    <row r="299" spans="1:14" s="3" customFormat="1" ht="12.2" customHeight="1" x14ac:dyDescent="0.15">
      <c r="A299" s="1" t="s">
        <v>441</v>
      </c>
      <c r="B299" s="2" t="s">
        <v>358</v>
      </c>
      <c r="C299" s="2" t="s">
        <v>293</v>
      </c>
      <c r="D299" s="2" t="s">
        <v>431</v>
      </c>
      <c r="E299" s="6">
        <v>1400</v>
      </c>
      <c r="F299" s="18">
        <v>0</v>
      </c>
      <c r="G299" s="18">
        <v>0</v>
      </c>
      <c r="H299" s="18">
        <v>1941.7739999999999</v>
      </c>
      <c r="I299" s="18">
        <v>0</v>
      </c>
      <c r="J299" s="18">
        <v>0</v>
      </c>
      <c r="K299" s="18">
        <v>1368</v>
      </c>
      <c r="L299" s="13">
        <f>SUM(F299:K299)</f>
        <v>3309.7739999999999</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57599.6</v>
      </c>
      <c r="I301" s="18">
        <v>0</v>
      </c>
      <c r="J301" s="18">
        <v>0</v>
      </c>
      <c r="K301" s="18">
        <v>0</v>
      </c>
      <c r="L301" s="13">
        <f t="shared" ref="L301:L307" si="14">SUM(F301:K301)</f>
        <v>57599.6</v>
      </c>
      <c r="M301" s="8"/>
      <c r="N301" s="165"/>
    </row>
    <row r="302" spans="1:14" s="3" customFormat="1" ht="12.2" customHeight="1" x14ac:dyDescent="0.15">
      <c r="A302" s="1" t="s">
        <v>443</v>
      </c>
      <c r="B302" s="2" t="s">
        <v>358</v>
      </c>
      <c r="C302" s="2" t="s">
        <v>295</v>
      </c>
      <c r="D302" s="2" t="s">
        <v>431</v>
      </c>
      <c r="E302" s="6">
        <v>2200</v>
      </c>
      <c r="F302" s="18">
        <v>13820.46</v>
      </c>
      <c r="G302" s="18">
        <v>2965.4359999999997</v>
      </c>
      <c r="H302" s="18">
        <v>100264.59</v>
      </c>
      <c r="I302" s="18">
        <v>4011.1759999999999</v>
      </c>
      <c r="J302" s="18">
        <v>0</v>
      </c>
      <c r="K302" s="18">
        <v>0</v>
      </c>
      <c r="L302" s="13">
        <f t="shared" si="14"/>
        <v>121061.66200000001</v>
      </c>
      <c r="M302" s="8"/>
      <c r="N302" s="165"/>
    </row>
    <row r="303" spans="1:14" s="3" customFormat="1" ht="12.2" customHeight="1" x14ac:dyDescent="0.15">
      <c r="A303" s="1" t="s">
        <v>444</v>
      </c>
      <c r="B303" s="2" t="s">
        <v>358</v>
      </c>
      <c r="C303" s="2" t="s">
        <v>296</v>
      </c>
      <c r="D303" s="2" t="s">
        <v>431</v>
      </c>
      <c r="E303" s="6">
        <v>2300</v>
      </c>
      <c r="F303" s="18">
        <v>0</v>
      </c>
      <c r="G303" s="18">
        <v>0</v>
      </c>
      <c r="H303" s="18">
        <v>127.926</v>
      </c>
      <c r="I303" s="18">
        <v>0</v>
      </c>
      <c r="J303" s="18">
        <v>0</v>
      </c>
      <c r="K303" s="18">
        <v>0</v>
      </c>
      <c r="L303" s="13">
        <f t="shared" si="14"/>
        <v>127.926</v>
      </c>
      <c r="M303" s="8"/>
      <c r="N303" s="165"/>
    </row>
    <row r="304" spans="1:14" s="3" customFormat="1" ht="12.2" customHeight="1" x14ac:dyDescent="0.15">
      <c r="A304" s="1" t="s">
        <v>445</v>
      </c>
      <c r="B304" s="2" t="s">
        <v>358</v>
      </c>
      <c r="C304" s="2" t="s">
        <v>297</v>
      </c>
      <c r="D304" s="2" t="s">
        <v>431</v>
      </c>
      <c r="E304" s="6">
        <v>2400</v>
      </c>
      <c r="F304" s="18">
        <v>6570.5360000000001</v>
      </c>
      <c r="G304" s="18">
        <v>4125.5820000000012</v>
      </c>
      <c r="H304" s="18">
        <v>233.69800000000001</v>
      </c>
      <c r="I304" s="18">
        <v>515.91999999999996</v>
      </c>
      <c r="J304" s="18">
        <v>0</v>
      </c>
      <c r="K304" s="18">
        <v>624.07200000000012</v>
      </c>
      <c r="L304" s="13">
        <f t="shared" si="14"/>
        <v>12069.808000000003</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27397.065999999999</v>
      </c>
      <c r="L305" s="13">
        <f t="shared" si="14"/>
        <v>27397.065999999999</v>
      </c>
      <c r="M305" s="8"/>
      <c r="N305" s="165"/>
    </row>
    <row r="306" spans="1:14" s="3" customFormat="1" ht="12.2" customHeight="1" x14ac:dyDescent="0.15">
      <c r="A306" s="1" t="s">
        <v>447</v>
      </c>
      <c r="B306" s="2" t="s">
        <v>358</v>
      </c>
      <c r="C306" s="2" t="s">
        <v>299</v>
      </c>
      <c r="D306" s="2" t="s">
        <v>431</v>
      </c>
      <c r="E306" s="6">
        <v>2600</v>
      </c>
      <c r="F306" s="18">
        <v>0</v>
      </c>
      <c r="G306" s="18">
        <v>0</v>
      </c>
      <c r="H306" s="18">
        <v>369.25</v>
      </c>
      <c r="I306" s="18">
        <v>0</v>
      </c>
      <c r="J306" s="18">
        <v>0</v>
      </c>
      <c r="K306" s="18">
        <v>0</v>
      </c>
      <c r="L306" s="13">
        <f t="shared" si="14"/>
        <v>369.25</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512</v>
      </c>
      <c r="L307" s="13">
        <f t="shared" si="14"/>
        <v>512</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13954.51</v>
      </c>
      <c r="K308" s="18">
        <v>0</v>
      </c>
      <c r="L308" s="13">
        <f>SUM(F308:K308)</f>
        <v>13954.51</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73870.285999999993</v>
      </c>
      <c r="G310" s="39">
        <f t="shared" si="15"/>
        <v>40687.748</v>
      </c>
      <c r="H310" s="39">
        <f t="shared" si="15"/>
        <v>160751.83799999999</v>
      </c>
      <c r="I310" s="39">
        <f t="shared" si="15"/>
        <v>4586.4960000000001</v>
      </c>
      <c r="J310" s="39">
        <f t="shared" si="15"/>
        <v>13998.31</v>
      </c>
      <c r="K310" s="39">
        <f t="shared" si="15"/>
        <v>30035.937999999998</v>
      </c>
      <c r="L310" s="38">
        <f t="shared" si="15"/>
        <v>323930.61599999998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165</v>
      </c>
      <c r="G315" s="18">
        <v>41.190000000000005</v>
      </c>
      <c r="H315" s="18">
        <v>2464.25</v>
      </c>
      <c r="I315" s="18">
        <v>2047.5</v>
      </c>
      <c r="J315" s="18">
        <v>63608.13</v>
      </c>
      <c r="K315" s="18">
        <v>289.82</v>
      </c>
      <c r="L315" s="13">
        <f>SUM(F315:K315)</f>
        <v>68615.89</v>
      </c>
      <c r="M315" s="8"/>
      <c r="N315" s="165"/>
    </row>
    <row r="316" spans="1:14" s="3" customFormat="1" ht="12.2" customHeight="1" x14ac:dyDescent="0.15">
      <c r="A316" s="1" t="s">
        <v>439</v>
      </c>
      <c r="B316" s="2" t="s">
        <v>359</v>
      </c>
      <c r="C316" s="2" t="s">
        <v>291</v>
      </c>
      <c r="D316" s="2" t="s">
        <v>431</v>
      </c>
      <c r="E316" s="6">
        <v>1200</v>
      </c>
      <c r="F316" s="18">
        <v>43449.9</v>
      </c>
      <c r="G316" s="18">
        <v>28509.62</v>
      </c>
      <c r="H316" s="18">
        <v>0</v>
      </c>
      <c r="I316" s="18">
        <v>0</v>
      </c>
      <c r="J316" s="18">
        <v>0</v>
      </c>
      <c r="K316" s="18">
        <v>0</v>
      </c>
      <c r="L316" s="13">
        <f>SUM(F316:K316)</f>
        <v>71959.520000000004</v>
      </c>
      <c r="M316" s="8"/>
      <c r="N316" s="165"/>
    </row>
    <row r="317" spans="1:14" s="3" customFormat="1" ht="12.2" customHeight="1" x14ac:dyDescent="0.15">
      <c r="A317" s="1" t="s">
        <v>440</v>
      </c>
      <c r="B317" s="2" t="s">
        <v>359</v>
      </c>
      <c r="C317" s="2" t="s">
        <v>292</v>
      </c>
      <c r="D317" s="2" t="s">
        <v>431</v>
      </c>
      <c r="E317" s="6">
        <v>1300</v>
      </c>
      <c r="F317" s="18">
        <v>192.5</v>
      </c>
      <c r="G317" s="18">
        <v>56</v>
      </c>
      <c r="H317" s="18">
        <v>11450</v>
      </c>
      <c r="I317" s="18">
        <v>49003.58</v>
      </c>
      <c r="J317" s="18">
        <v>162850.76999999999</v>
      </c>
      <c r="K317" s="18">
        <f>5921.99+11425</f>
        <v>17346.989999999998</v>
      </c>
      <c r="L317" s="13">
        <f>SUM(F317:K317)</f>
        <v>240899.83999999997</v>
      </c>
      <c r="M317" s="8"/>
      <c r="N317" s="165"/>
    </row>
    <row r="318" spans="1:14" s="3" customFormat="1" ht="12.2" customHeight="1" x14ac:dyDescent="0.15">
      <c r="A318" s="1" t="s">
        <v>441</v>
      </c>
      <c r="B318" s="2" t="s">
        <v>359</v>
      </c>
      <c r="C318" s="2" t="s">
        <v>293</v>
      </c>
      <c r="D318" s="2" t="s">
        <v>431</v>
      </c>
      <c r="E318" s="6">
        <v>1400</v>
      </c>
      <c r="F318" s="18">
        <v>3260</v>
      </c>
      <c r="G318" s="18">
        <v>311.12000000000006</v>
      </c>
      <c r="H318" s="18">
        <v>5792.3140999999996</v>
      </c>
      <c r="I318" s="18">
        <v>264.28999999999996</v>
      </c>
      <c r="J318" s="18">
        <v>0</v>
      </c>
      <c r="K318" s="18">
        <v>2941.2</v>
      </c>
      <c r="L318" s="13">
        <f>SUM(F318:K318)</f>
        <v>12568.9241</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118667.91</v>
      </c>
      <c r="G320" s="18">
        <v>75895.62000000001</v>
      </c>
      <c r="H320" s="18">
        <v>28430.739999999998</v>
      </c>
      <c r="I320" s="18">
        <v>1256.1199999999999</v>
      </c>
      <c r="J320" s="18">
        <v>0</v>
      </c>
      <c r="K320" s="18">
        <v>0</v>
      </c>
      <c r="L320" s="13">
        <f t="shared" ref="L320:L326" si="16">SUM(F320:K320)</f>
        <v>224250.39</v>
      </c>
      <c r="M320" s="8"/>
      <c r="N320" s="165"/>
    </row>
    <row r="321" spans="1:14" s="3" customFormat="1" ht="12.2" customHeight="1" x14ac:dyDescent="0.15">
      <c r="A321" s="1" t="s">
        <v>443</v>
      </c>
      <c r="B321" s="2" t="s">
        <v>359</v>
      </c>
      <c r="C321" s="2" t="s">
        <v>295</v>
      </c>
      <c r="D321" s="2" t="s">
        <v>431</v>
      </c>
      <c r="E321" s="6">
        <v>2200</v>
      </c>
      <c r="F321" s="18">
        <v>105544.039</v>
      </c>
      <c r="G321" s="18">
        <v>56397.00239999999</v>
      </c>
      <c r="H321" s="18">
        <v>100751.246</v>
      </c>
      <c r="I321" s="18">
        <v>1897.3083999999999</v>
      </c>
      <c r="J321" s="18">
        <v>0</v>
      </c>
      <c r="K321" s="18">
        <v>7000</v>
      </c>
      <c r="L321" s="13">
        <f t="shared" si="16"/>
        <v>271589.59579999995</v>
      </c>
      <c r="M321" s="8"/>
      <c r="N321" s="165"/>
    </row>
    <row r="322" spans="1:14" s="3" customFormat="1" ht="12.2" customHeight="1" x14ac:dyDescent="0.15">
      <c r="A322" s="1" t="s">
        <v>444</v>
      </c>
      <c r="B322" s="2" t="s">
        <v>359</v>
      </c>
      <c r="C322" s="2" t="s">
        <v>296</v>
      </c>
      <c r="D322" s="2" t="s">
        <v>431</v>
      </c>
      <c r="E322" s="6">
        <v>2300</v>
      </c>
      <c r="F322" s="18">
        <v>40360.369999999995</v>
      </c>
      <c r="G322" s="18">
        <v>17711.47</v>
      </c>
      <c r="H322" s="18">
        <v>275.04090000000002</v>
      </c>
      <c r="I322" s="18">
        <v>0</v>
      </c>
      <c r="J322" s="18">
        <v>0</v>
      </c>
      <c r="K322" s="18">
        <v>0</v>
      </c>
      <c r="L322" s="13">
        <f t="shared" si="16"/>
        <v>58346.880899999996</v>
      </c>
      <c r="M322" s="8"/>
      <c r="N322" s="165"/>
    </row>
    <row r="323" spans="1:14" s="3" customFormat="1" ht="12.2" customHeight="1" x14ac:dyDescent="0.15">
      <c r="A323" s="1" t="s">
        <v>445</v>
      </c>
      <c r="B323" s="2" t="s">
        <v>359</v>
      </c>
      <c r="C323" s="2" t="s">
        <v>297</v>
      </c>
      <c r="D323" s="2" t="s">
        <v>431</v>
      </c>
      <c r="E323" s="6">
        <v>2400</v>
      </c>
      <c r="F323" s="18">
        <v>14126.652399999999</v>
      </c>
      <c r="G323" s="18">
        <v>8870.0013000000017</v>
      </c>
      <c r="H323" s="18">
        <v>502.45069999999998</v>
      </c>
      <c r="I323" s="18">
        <v>0</v>
      </c>
      <c r="J323" s="18">
        <v>0</v>
      </c>
      <c r="K323" s="18">
        <v>1341.7547999999999</v>
      </c>
      <c r="L323" s="13">
        <f t="shared" si="16"/>
        <v>24840.859200000003</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76063.661899999992</v>
      </c>
      <c r="L324" s="13">
        <f t="shared" si="16"/>
        <v>76063.661899999992</v>
      </c>
      <c r="M324" s="8"/>
      <c r="N324" s="165"/>
    </row>
    <row r="325" spans="1:14" s="3" customFormat="1" ht="12.2" customHeight="1" x14ac:dyDescent="0.15">
      <c r="A325" s="1" t="s">
        <v>447</v>
      </c>
      <c r="B325" s="2" t="s">
        <v>359</v>
      </c>
      <c r="C325" s="2" t="s">
        <v>299</v>
      </c>
      <c r="D325" s="2" t="s">
        <v>431</v>
      </c>
      <c r="E325" s="6">
        <v>2600</v>
      </c>
      <c r="F325" s="18">
        <v>5893.92</v>
      </c>
      <c r="G325" s="18">
        <v>475.68</v>
      </c>
      <c r="H325" s="18">
        <v>23538.52</v>
      </c>
      <c r="I325" s="18">
        <v>10411.120000000001</v>
      </c>
      <c r="J325" s="18">
        <v>0</v>
      </c>
      <c r="K325" s="18">
        <v>0</v>
      </c>
      <c r="L325" s="13">
        <f t="shared" si="16"/>
        <v>40319.240000000005</v>
      </c>
      <c r="M325" s="8"/>
      <c r="N325" s="165"/>
    </row>
    <row r="326" spans="1:14" s="3" customFormat="1" ht="12.2" customHeight="1" x14ac:dyDescent="0.15">
      <c r="A326" s="1" t="s">
        <v>448</v>
      </c>
      <c r="B326" s="2" t="s">
        <v>359</v>
      </c>
      <c r="C326" s="2" t="s">
        <v>300</v>
      </c>
      <c r="D326" s="2" t="s">
        <v>431</v>
      </c>
      <c r="E326" s="6">
        <v>2700</v>
      </c>
      <c r="F326" s="18">
        <v>0</v>
      </c>
      <c r="G326" s="18">
        <v>0</v>
      </c>
      <c r="H326" s="18">
        <v>1928.9</v>
      </c>
      <c r="I326" s="18">
        <v>0</v>
      </c>
      <c r="J326" s="18">
        <v>0</v>
      </c>
      <c r="K326" s="18">
        <v>1100.8</v>
      </c>
      <c r="L326" s="13">
        <f t="shared" si="16"/>
        <v>3029.7</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52180.4</v>
      </c>
      <c r="K327" s="18">
        <v>0</v>
      </c>
      <c r="L327" s="13">
        <f>SUM(F327:K327)</f>
        <v>52180.4</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331660.29139999999</v>
      </c>
      <c r="G329" s="39">
        <f t="shared" si="17"/>
        <v>188267.70369999998</v>
      </c>
      <c r="H329" s="39">
        <f t="shared" si="17"/>
        <v>175133.46169999996</v>
      </c>
      <c r="I329" s="39">
        <f t="shared" si="17"/>
        <v>64879.91840000001</v>
      </c>
      <c r="J329" s="39">
        <f t="shared" si="17"/>
        <v>278639.3</v>
      </c>
      <c r="K329" s="39">
        <f t="shared" si="17"/>
        <v>106084.22669999998</v>
      </c>
      <c r="L329" s="38">
        <f t="shared" si="17"/>
        <v>1144664.9018999999</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236537.52000000002</v>
      </c>
      <c r="G334" s="18">
        <v>61571.209999999992</v>
      </c>
      <c r="H334" s="18">
        <v>25619.97</v>
      </c>
      <c r="I334" s="18">
        <v>38072.490000000005</v>
      </c>
      <c r="J334" s="18">
        <v>5413.6100000000006</v>
      </c>
      <c r="K334" s="18">
        <v>2847.9799999999996</v>
      </c>
      <c r="L334" s="13">
        <f t="shared" si="18"/>
        <v>370062.77999999991</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1618446</v>
      </c>
      <c r="I337" s="18">
        <v>1673.95</v>
      </c>
      <c r="J337" s="18">
        <v>216.3</v>
      </c>
      <c r="K337" s="18">
        <v>0</v>
      </c>
      <c r="L337" s="13">
        <f t="shared" si="18"/>
        <v>1620336.25</v>
      </c>
      <c r="M337" s="8"/>
      <c r="N337" s="165"/>
    </row>
    <row r="338" spans="1:43" s="3" customFormat="1" ht="12.2" customHeight="1" thickTop="1" thickBot="1" x14ac:dyDescent="0.2">
      <c r="A338" s="46" t="s">
        <v>467</v>
      </c>
      <c r="B338" s="37">
        <v>14</v>
      </c>
      <c r="C338" s="47">
        <v>6</v>
      </c>
      <c r="D338" s="44" t="s">
        <v>431</v>
      </c>
      <c r="E338" s="47"/>
      <c r="F338" s="38">
        <f t="shared" ref="F338:K338" si="19">SUM(F333:F337)</f>
        <v>236537.52000000002</v>
      </c>
      <c r="G338" s="38">
        <f t="shared" si="19"/>
        <v>61571.209999999992</v>
      </c>
      <c r="H338" s="38">
        <f t="shared" si="19"/>
        <v>1644065.97</v>
      </c>
      <c r="I338" s="38">
        <f t="shared" si="19"/>
        <v>39746.44</v>
      </c>
      <c r="J338" s="38">
        <f t="shared" si="19"/>
        <v>5629.9100000000008</v>
      </c>
      <c r="K338" s="38">
        <f t="shared" si="19"/>
        <v>2847.9799999999996</v>
      </c>
      <c r="L338" s="38">
        <f t="shared" si="18"/>
        <v>1990399.0299999998</v>
      </c>
      <c r="M338" s="8"/>
      <c r="N338" s="165"/>
    </row>
    <row r="339" spans="1:43" s="3" customFormat="1" ht="12.2" customHeight="1" thickTop="1" x14ac:dyDescent="0.15">
      <c r="A339" s="35" t="s">
        <v>468</v>
      </c>
      <c r="B339" s="37">
        <v>14</v>
      </c>
      <c r="C339" s="37">
        <v>7</v>
      </c>
      <c r="D339" s="36" t="s">
        <v>431</v>
      </c>
      <c r="E339" s="37"/>
      <c r="F339" s="38">
        <f t="shared" ref="F339:L339" si="20">F291+F310+F329+F338</f>
        <v>1414366.2999999998</v>
      </c>
      <c r="G339" s="38">
        <f t="shared" si="20"/>
        <v>587620.14999999991</v>
      </c>
      <c r="H339" s="38">
        <f t="shared" si="20"/>
        <v>2254218.4299999997</v>
      </c>
      <c r="I339" s="38">
        <f t="shared" si="20"/>
        <v>258776.28000000003</v>
      </c>
      <c r="J339" s="38">
        <f t="shared" si="20"/>
        <v>328359.06999999995</v>
      </c>
      <c r="K339" s="38">
        <f t="shared" si="20"/>
        <v>246436.30000000002</v>
      </c>
      <c r="L339" s="38">
        <f t="shared" si="20"/>
        <v>5089776.5299999993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1414366.2999999998</v>
      </c>
      <c r="G353" s="38">
        <f>G339</f>
        <v>587620.14999999991</v>
      </c>
      <c r="H353" s="38">
        <f>H339</f>
        <v>2254218.4299999997</v>
      </c>
      <c r="I353" s="38">
        <f>I339</f>
        <v>258776.28000000003</v>
      </c>
      <c r="J353" s="38">
        <f>J339</f>
        <v>328359.06999999995</v>
      </c>
      <c r="K353" s="38">
        <f>K339+K352</f>
        <v>246436.30000000002</v>
      </c>
      <c r="L353" s="38">
        <f>L339+L352</f>
        <v>5089776.5299999993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165647.12</v>
      </c>
      <c r="G359" s="18">
        <v>46018.95</v>
      </c>
      <c r="H359" s="18">
        <v>3074.6499999999996</v>
      </c>
      <c r="I359" s="18">
        <v>270315.73000000004</v>
      </c>
      <c r="J359" s="18">
        <v>12691</v>
      </c>
      <c r="K359" s="18">
        <v>0</v>
      </c>
      <c r="L359" s="13">
        <f>SUM(F359:K359)</f>
        <v>497747.45000000007</v>
      </c>
      <c r="M359" s="8"/>
      <c r="N359" s="165"/>
    </row>
    <row r="360" spans="1:22" s="3" customFormat="1" ht="12.2" customHeight="1" x14ac:dyDescent="0.15">
      <c r="A360" s="1" t="s">
        <v>542</v>
      </c>
      <c r="B360" s="2" t="s">
        <v>366</v>
      </c>
      <c r="C360" s="6">
        <v>2</v>
      </c>
      <c r="D360" s="2" t="s">
        <v>431</v>
      </c>
      <c r="E360" s="6"/>
      <c r="F360" s="18">
        <v>121699.1</v>
      </c>
      <c r="G360" s="18">
        <v>63894.41</v>
      </c>
      <c r="H360" s="18">
        <v>1173</v>
      </c>
      <c r="I360" s="18">
        <v>249990.41999999998</v>
      </c>
      <c r="J360" s="18">
        <v>0</v>
      </c>
      <c r="K360" s="18">
        <v>0</v>
      </c>
      <c r="L360" s="13">
        <f>SUM(F360:K360)</f>
        <v>436756.93</v>
      </c>
      <c r="M360" s="8"/>
      <c r="N360" s="165"/>
    </row>
    <row r="361" spans="1:22" s="3" customFormat="1" ht="12.2" customHeight="1" x14ac:dyDescent="0.15">
      <c r="A361" s="3" t="s">
        <v>543</v>
      </c>
      <c r="B361" s="2" t="s">
        <v>366</v>
      </c>
      <c r="C361" s="6">
        <v>3</v>
      </c>
      <c r="D361" s="2" t="s">
        <v>431</v>
      </c>
      <c r="E361" s="6"/>
      <c r="F361" s="18">
        <v>304832.18</v>
      </c>
      <c r="G361" s="18">
        <v>169788.66</v>
      </c>
      <c r="H361" s="18">
        <v>26247.579999999998</v>
      </c>
      <c r="I361" s="18">
        <v>459247.18</v>
      </c>
      <c r="J361" s="18">
        <v>60783.09</v>
      </c>
      <c r="K361" s="18">
        <v>1820.39</v>
      </c>
      <c r="L361" s="13">
        <f>SUM(F361:K361)</f>
        <v>1022719.08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592178.39999999991</v>
      </c>
      <c r="G363" s="38">
        <f t="shared" si="22"/>
        <v>279702.02</v>
      </c>
      <c r="H363" s="38">
        <f t="shared" si="22"/>
        <v>30495.229999999996</v>
      </c>
      <c r="I363" s="38">
        <f t="shared" si="22"/>
        <v>979553.33000000007</v>
      </c>
      <c r="J363" s="38">
        <f t="shared" si="22"/>
        <v>73474.09</v>
      </c>
      <c r="K363" s="38">
        <f t="shared" si="22"/>
        <v>1820.39</v>
      </c>
      <c r="L363" s="38">
        <f t="shared" si="22"/>
        <v>1957223.46</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268860.45</v>
      </c>
      <c r="G368" s="18">
        <v>241958.81</v>
      </c>
      <c r="H368" s="18">
        <v>417734.23</v>
      </c>
      <c r="I368" s="13">
        <f>SUM(F368:H368)</f>
        <v>928553.49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1455.28</v>
      </c>
      <c r="G369" s="53">
        <v>8031.61</v>
      </c>
      <c r="H369" s="53">
        <v>41512.949999999997</v>
      </c>
      <c r="I369" s="13">
        <f>SUM(F369:H369)</f>
        <v>50999.839999999997</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270315.73000000004</v>
      </c>
      <c r="G370" s="38">
        <f>SUM(G368:G369)</f>
        <v>249990.41999999998</v>
      </c>
      <c r="H370" s="38">
        <f>SUM(H368:H369)</f>
        <v>459247.18</v>
      </c>
      <c r="I370" s="38">
        <f>SUM(I368:I369)</f>
        <v>979553.33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450000</v>
      </c>
      <c r="H397" s="18">
        <v>42817.84</v>
      </c>
      <c r="I397" s="18"/>
      <c r="J397" s="23" t="s">
        <v>288</v>
      </c>
      <c r="K397" s="23" t="s">
        <v>288</v>
      </c>
      <c r="L397" s="13">
        <f t="shared" si="26"/>
        <v>492817.83999999997</v>
      </c>
      <c r="M397" s="8"/>
      <c r="N397" s="165"/>
    </row>
    <row r="398" spans="1:14" s="3" customFormat="1" ht="12.2" customHeight="1" x14ac:dyDescent="0.15">
      <c r="A398" s="62" t="s">
        <v>515</v>
      </c>
      <c r="B398" s="2" t="s">
        <v>381</v>
      </c>
      <c r="C398" s="6">
        <v>10</v>
      </c>
      <c r="D398" s="2" t="s">
        <v>432</v>
      </c>
      <c r="E398" s="6"/>
      <c r="F398" s="18"/>
      <c r="G398" s="18">
        <v>150000</v>
      </c>
      <c r="H398" s="18">
        <v>12983.6</v>
      </c>
      <c r="I398" s="18"/>
      <c r="J398" s="23" t="s">
        <v>288</v>
      </c>
      <c r="K398" s="23" t="s">
        <v>288</v>
      </c>
      <c r="L398" s="13">
        <f t="shared" si="26"/>
        <v>162983.6</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262.67</v>
      </c>
      <c r="I401" s="18"/>
      <c r="J401" s="23" t="s">
        <v>288</v>
      </c>
      <c r="K401" s="23" t="s">
        <v>288</v>
      </c>
      <c r="L401" s="13">
        <f t="shared" si="26"/>
        <v>262.67</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600000</v>
      </c>
      <c r="H402" s="38">
        <f>SUM(H396:H401)</f>
        <v>56064.109999999993</v>
      </c>
      <c r="I402" s="38">
        <f>SUM(I396:I401)</f>
        <v>0</v>
      </c>
      <c r="J402" s="42" t="s">
        <v>288</v>
      </c>
      <c r="K402" s="42" t="s">
        <v>288</v>
      </c>
      <c r="L402" s="38">
        <f>SUM(L396:L401)</f>
        <v>656064.11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600000</v>
      </c>
      <c r="H409" s="38">
        <f>H394+H402+H408</f>
        <v>56064.109999999993</v>
      </c>
      <c r="I409" s="38">
        <f>I394+I402+I408</f>
        <v>0</v>
      </c>
      <c r="J409" s="23" t="s">
        <v>288</v>
      </c>
      <c r="K409" s="23" t="s">
        <v>288</v>
      </c>
      <c r="L409" s="38">
        <f>L394+L402+L408</f>
        <v>656064.11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1587346.63</v>
      </c>
      <c r="H441" s="18"/>
      <c r="I441" s="13">
        <f t="shared" si="33"/>
        <v>1587346.63</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1587346.63</v>
      </c>
      <c r="H447" s="13">
        <f>SUM(H440:H446)</f>
        <v>0</v>
      </c>
      <c r="I447" s="13">
        <f>SUM(I440:I446)</f>
        <v>1587346.63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1587346.63</v>
      </c>
      <c r="H460" s="18"/>
      <c r="I460" s="13">
        <f t="shared" si="34"/>
        <v>1587346.63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1587346.63</v>
      </c>
      <c r="H461" s="65">
        <f>SUM(H455:H460)</f>
        <v>0</v>
      </c>
      <c r="I461" s="65">
        <f>SUM(I455:I460)</f>
        <v>1587346.63</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1587346.63</v>
      </c>
      <c r="H462" s="39">
        <f>H453+H461</f>
        <v>0</v>
      </c>
      <c r="I462" s="39">
        <f>I453+I461</f>
        <v>1587346.63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9889973.8399999999</v>
      </c>
      <c r="G466" s="18">
        <v>703730.23</v>
      </c>
      <c r="H466" s="18">
        <v>142248.20000000001</v>
      </c>
      <c r="I466" s="18">
        <v>0</v>
      </c>
      <c r="J466" s="18">
        <v>931282.52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62810097.950000003</v>
      </c>
      <c r="G469" s="18">
        <v>1888228.36</v>
      </c>
      <c r="H469" s="18">
        <v>5048618.1500000004</v>
      </c>
      <c r="I469" s="18">
        <v>0</v>
      </c>
      <c r="J469" s="18">
        <v>656064.11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62810097.950000003</v>
      </c>
      <c r="G471" s="19">
        <f>SUM(G469:G470)</f>
        <v>1888228.36</v>
      </c>
      <c r="H471" s="19">
        <f>SUM(H469:H470)</f>
        <v>5048618.1500000004</v>
      </c>
      <c r="I471" s="19">
        <f>SUM(I469:I470)</f>
        <v>0</v>
      </c>
      <c r="J471" s="19">
        <f>SUM(J469:J470)</f>
        <v>656064.11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64802436.359999999</v>
      </c>
      <c r="G473" s="18">
        <v>1957223.46</v>
      </c>
      <c r="H473" s="18">
        <v>5089776.53</v>
      </c>
      <c r="I473" s="18">
        <v>0</v>
      </c>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64802436.359999999</v>
      </c>
      <c r="G475" s="19">
        <f>SUM(G473:G474)</f>
        <v>1957223.46</v>
      </c>
      <c r="H475" s="19">
        <f>SUM(H473:H474)</f>
        <v>5089776.53</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7897635.4300000072</v>
      </c>
      <c r="G477" s="19">
        <f>(G466+G471)- G475</f>
        <v>634735.12999999989</v>
      </c>
      <c r="H477" s="19">
        <f>(H466+H471)- H475</f>
        <v>101089.8200000003</v>
      </c>
      <c r="I477" s="19">
        <f>(I466+I471)- I475</f>
        <v>0</v>
      </c>
      <c r="J477" s="19">
        <f>(J466+J471)- J475</f>
        <v>1587346.63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29</v>
      </c>
      <c r="G491" s="111">
        <v>29</v>
      </c>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1813</v>
      </c>
      <c r="H492" s="111"/>
      <c r="I492" s="111"/>
      <c r="J492" s="111"/>
      <c r="K492" s="23" t="s">
        <v>288</v>
      </c>
      <c r="L492" s="23" t="s">
        <v>288</v>
      </c>
      <c r="N492" s="131"/>
    </row>
    <row r="493" spans="1:14" ht="12.2" customHeight="1" x14ac:dyDescent="0.2">
      <c r="A493" s="21" t="s">
        <v>616</v>
      </c>
      <c r="B493" s="22">
        <v>20</v>
      </c>
      <c r="C493" s="22">
        <v>3</v>
      </c>
      <c r="D493" s="2" t="s">
        <v>432</v>
      </c>
      <c r="E493" s="22"/>
      <c r="F493" s="112" t="s">
        <v>1814</v>
      </c>
      <c r="G493" s="112" t="s">
        <v>1814</v>
      </c>
      <c r="H493" s="111"/>
      <c r="I493" s="111"/>
      <c r="J493" s="111"/>
      <c r="K493" s="23" t="s">
        <v>288</v>
      </c>
      <c r="L493" s="23" t="s">
        <v>288</v>
      </c>
      <c r="N493" s="131"/>
    </row>
    <row r="494" spans="1:14" ht="12.2" customHeight="1" x14ac:dyDescent="0.2">
      <c r="A494" s="21" t="s">
        <v>617</v>
      </c>
      <c r="B494" s="22">
        <v>20</v>
      </c>
      <c r="C494" s="22">
        <v>4</v>
      </c>
      <c r="D494" s="2" t="s">
        <v>432</v>
      </c>
      <c r="E494" s="22"/>
      <c r="F494" s="18">
        <v>35115529.659999996</v>
      </c>
      <c r="G494" s="18">
        <v>1817970.34</v>
      </c>
      <c r="H494" s="18"/>
      <c r="I494" s="18"/>
      <c r="J494" s="18"/>
      <c r="K494" s="23" t="s">
        <v>288</v>
      </c>
      <c r="L494" s="23" t="s">
        <v>288</v>
      </c>
      <c r="N494" s="131"/>
    </row>
    <row r="495" spans="1:14" ht="12.2" customHeight="1" x14ac:dyDescent="0.2">
      <c r="A495" s="21" t="s">
        <v>618</v>
      </c>
      <c r="B495" s="22">
        <v>20</v>
      </c>
      <c r="C495" s="22">
        <v>5</v>
      </c>
      <c r="D495" s="2" t="s">
        <v>432</v>
      </c>
      <c r="E495" s="22"/>
      <c r="F495" s="18">
        <v>4.4400000000000004</v>
      </c>
      <c r="G495" s="18">
        <v>4.4400000000000004</v>
      </c>
      <c r="H495" s="18"/>
      <c r="I495" s="18"/>
      <c r="J495" s="18"/>
      <c r="K495" s="23" t="s">
        <v>288</v>
      </c>
      <c r="L495" s="23" t="s">
        <v>288</v>
      </c>
      <c r="N495" s="131"/>
    </row>
    <row r="496" spans="1:14" ht="12.2" customHeight="1" x14ac:dyDescent="0.2">
      <c r="A496" s="21" t="s">
        <v>619</v>
      </c>
      <c r="B496" s="22">
        <v>20</v>
      </c>
      <c r="C496" s="22">
        <v>6</v>
      </c>
      <c r="D496" s="2" t="s">
        <v>432</v>
      </c>
      <c r="E496" s="22"/>
      <c r="F496" s="18">
        <v>15570306.32</v>
      </c>
      <c r="G496" s="18">
        <v>806092.21</v>
      </c>
      <c r="H496" s="18"/>
      <c r="I496" s="18"/>
      <c r="J496" s="18"/>
      <c r="K496" s="19">
        <f>SUM(F496:J496)</f>
        <v>16376398.530000001</v>
      </c>
      <c r="L496" s="23" t="s">
        <v>288</v>
      </c>
      <c r="N496" s="131"/>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1260864.04</v>
      </c>
      <c r="G498" s="18">
        <v>65276.34</v>
      </c>
      <c r="H498" s="18"/>
      <c r="I498" s="18"/>
      <c r="J498" s="18"/>
      <c r="K498" s="19">
        <f t="shared" si="35"/>
        <v>1326140.3800000001</v>
      </c>
      <c r="L498" s="23" t="s">
        <v>288</v>
      </c>
      <c r="N498" s="131"/>
    </row>
    <row r="499" spans="1:14" ht="12.2" customHeight="1" x14ac:dyDescent="0.2">
      <c r="A499" s="144" t="s">
        <v>622</v>
      </c>
      <c r="B499" s="145">
        <v>20</v>
      </c>
      <c r="C499" s="145">
        <v>9</v>
      </c>
      <c r="D499" s="146" t="s">
        <v>432</v>
      </c>
      <c r="E499" s="145"/>
      <c r="F499" s="147">
        <v>14309442.279999999</v>
      </c>
      <c r="G499" s="147">
        <v>740815.87</v>
      </c>
      <c r="H499" s="147"/>
      <c r="I499" s="147"/>
      <c r="J499" s="147"/>
      <c r="K499" s="148">
        <f t="shared" si="35"/>
        <v>15050258.149999999</v>
      </c>
      <c r="L499" s="149" t="s">
        <v>288</v>
      </c>
      <c r="N499" s="131"/>
    </row>
    <row r="500" spans="1:14" ht="12.2" customHeight="1" thickBot="1" x14ac:dyDescent="0.25">
      <c r="A500" s="21" t="s">
        <v>623</v>
      </c>
      <c r="B500" s="22">
        <v>20</v>
      </c>
      <c r="C500" s="22">
        <v>10</v>
      </c>
      <c r="D500" s="2" t="s">
        <v>432</v>
      </c>
      <c r="E500" s="22"/>
      <c r="F500" s="18">
        <v>22483819.120000001</v>
      </c>
      <c r="G500" s="18">
        <v>1164012.52</v>
      </c>
      <c r="H500" s="18"/>
      <c r="I500" s="18"/>
      <c r="J500" s="18"/>
      <c r="K500" s="19">
        <f t="shared" si="35"/>
        <v>23647831.640000001</v>
      </c>
      <c r="L500" s="23" t="s">
        <v>288</v>
      </c>
      <c r="N500" s="131"/>
    </row>
    <row r="501" spans="1:14" ht="12.2" customHeight="1" thickTop="1" x14ac:dyDescent="0.2">
      <c r="A501" s="97" t="s">
        <v>624</v>
      </c>
      <c r="B501" s="41">
        <v>20</v>
      </c>
      <c r="C501" s="41">
        <v>11</v>
      </c>
      <c r="D501" s="36" t="s">
        <v>432</v>
      </c>
      <c r="E501" s="41"/>
      <c r="F501" s="39">
        <f>SUM(F499:F500)</f>
        <v>36793261.399999999</v>
      </c>
      <c r="G501" s="39">
        <f>SUM(G499:G500)</f>
        <v>1904828.3900000001</v>
      </c>
      <c r="H501" s="39">
        <f>SUM(H499:H500)</f>
        <v>0</v>
      </c>
      <c r="I501" s="39">
        <f>SUM(I499:I500)</f>
        <v>0</v>
      </c>
      <c r="J501" s="39">
        <f>SUM(J499:J500)</f>
        <v>0</v>
      </c>
      <c r="K501" s="39">
        <f t="shared" si="35"/>
        <v>38698089.789999999</v>
      </c>
      <c r="L501" s="42" t="s">
        <v>288</v>
      </c>
      <c r="N501" s="131"/>
    </row>
    <row r="502" spans="1:14" ht="12.2" customHeight="1" x14ac:dyDescent="0.2">
      <c r="A502" s="144" t="s">
        <v>651</v>
      </c>
      <c r="B502" s="145">
        <v>20</v>
      </c>
      <c r="C502" s="145">
        <v>12</v>
      </c>
      <c r="D502" s="146" t="s">
        <v>432</v>
      </c>
      <c r="E502" s="145"/>
      <c r="F502" s="147">
        <v>1202794.8</v>
      </c>
      <c r="G502" s="147">
        <v>62270.04</v>
      </c>
      <c r="H502" s="147"/>
      <c r="I502" s="147"/>
      <c r="J502" s="147"/>
      <c r="K502" s="148">
        <f t="shared" si="35"/>
        <v>1265064.8400000001</v>
      </c>
      <c r="L502" s="149" t="s">
        <v>288</v>
      </c>
      <c r="N502" s="131"/>
    </row>
    <row r="503" spans="1:14" ht="12.2" customHeight="1" thickBot="1" x14ac:dyDescent="0.25">
      <c r="A503" s="21" t="s">
        <v>625</v>
      </c>
      <c r="B503" s="22">
        <v>20</v>
      </c>
      <c r="C503" s="22">
        <v>13</v>
      </c>
      <c r="D503" s="2" t="s">
        <v>432</v>
      </c>
      <c r="E503" s="22"/>
      <c r="F503" s="18">
        <v>980318.47</v>
      </c>
      <c r="G503" s="18">
        <v>50752.19</v>
      </c>
      <c r="H503" s="18"/>
      <c r="I503" s="18"/>
      <c r="J503" s="18"/>
      <c r="K503" s="19">
        <f t="shared" si="35"/>
        <v>1031070.6599999999</v>
      </c>
      <c r="L503" s="23" t="s">
        <v>288</v>
      </c>
      <c r="N503" s="131"/>
    </row>
    <row r="504" spans="1:14" ht="12.2" customHeight="1" thickTop="1" x14ac:dyDescent="0.2">
      <c r="A504" s="97" t="s">
        <v>626</v>
      </c>
      <c r="B504" s="41">
        <v>20</v>
      </c>
      <c r="C504" s="41">
        <v>14</v>
      </c>
      <c r="D504" s="36" t="s">
        <v>432</v>
      </c>
      <c r="E504" s="41"/>
      <c r="F504" s="39">
        <f>SUM(F502:F503)</f>
        <v>2183113.27</v>
      </c>
      <c r="G504" s="39">
        <f>SUM(G502:G503)</f>
        <v>113022.23000000001</v>
      </c>
      <c r="H504" s="39">
        <f>SUM(H502:H503)</f>
        <v>0</v>
      </c>
      <c r="I504" s="39">
        <f>SUM(I502:I503)</f>
        <v>0</v>
      </c>
      <c r="J504" s="39">
        <f>SUM(J502:J503)</f>
        <v>0</v>
      </c>
      <c r="K504" s="39">
        <f t="shared" si="35"/>
        <v>2296135.5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2747994.0000000005</v>
      </c>
      <c r="G522" s="18">
        <v>1292819.45</v>
      </c>
      <c r="H522" s="18">
        <v>638899.86</v>
      </c>
      <c r="I522" s="18">
        <v>26733.61</v>
      </c>
      <c r="J522" s="18">
        <v>14092.689999999999</v>
      </c>
      <c r="K522" s="18">
        <v>0</v>
      </c>
      <c r="L522" s="69">
        <f>SUM(F522:K522)</f>
        <v>4720539.6100000013</v>
      </c>
      <c r="N522" s="131"/>
    </row>
    <row r="523" spans="1:14" ht="12.2" customHeight="1" x14ac:dyDescent="0.2">
      <c r="A523" s="21" t="s">
        <v>634</v>
      </c>
      <c r="B523" s="22">
        <v>21</v>
      </c>
      <c r="C523" s="22">
        <v>2</v>
      </c>
      <c r="D523" s="2" t="s">
        <v>432</v>
      </c>
      <c r="E523" s="22"/>
      <c r="F523" s="18">
        <v>1143539.0699999998</v>
      </c>
      <c r="G523" s="18">
        <v>619026.93999999994</v>
      </c>
      <c r="H523" s="18">
        <v>1432639.95</v>
      </c>
      <c r="I523" s="18">
        <v>8389.9499999999989</v>
      </c>
      <c r="J523" s="18">
        <v>1138.98</v>
      </c>
      <c r="K523" s="18">
        <v>1400</v>
      </c>
      <c r="L523" s="69">
        <f>SUM(F523:K523)</f>
        <v>3206134.89</v>
      </c>
      <c r="N523" s="131"/>
    </row>
    <row r="524" spans="1:14" ht="12.2" customHeight="1" thickBot="1" x14ac:dyDescent="0.25">
      <c r="A524" s="21" t="s">
        <v>635</v>
      </c>
      <c r="B524" s="22">
        <v>21</v>
      </c>
      <c r="C524" s="22">
        <v>3</v>
      </c>
      <c r="D524" s="2" t="s">
        <v>432</v>
      </c>
      <c r="E524" s="22"/>
      <c r="F524" s="18">
        <v>1378131.4599999997</v>
      </c>
      <c r="G524" s="18">
        <v>653567.1</v>
      </c>
      <c r="H524" s="18">
        <v>1799345.42</v>
      </c>
      <c r="I524" s="18">
        <v>5940.8899999999994</v>
      </c>
      <c r="J524" s="18">
        <v>616.29999999999995</v>
      </c>
      <c r="K524" s="18">
        <v>0</v>
      </c>
      <c r="L524" s="69">
        <f>SUM(F524:K524)</f>
        <v>3837601.1699999995</v>
      </c>
      <c r="N524" s="131"/>
    </row>
    <row r="525" spans="1:14" ht="12.2" customHeight="1" thickTop="1" x14ac:dyDescent="0.2">
      <c r="A525" s="97" t="s">
        <v>63</v>
      </c>
      <c r="B525" s="41">
        <v>21</v>
      </c>
      <c r="C525" s="41">
        <v>4</v>
      </c>
      <c r="D525" s="115" t="s">
        <v>432</v>
      </c>
      <c r="E525" s="41"/>
      <c r="F525" s="81">
        <f>SUM(F522:F524)</f>
        <v>5269664.53</v>
      </c>
      <c r="G525" s="81">
        <f t="shared" ref="G525:L525" si="36">SUM(G522:G524)</f>
        <v>2565413.4899999998</v>
      </c>
      <c r="H525" s="81">
        <f t="shared" si="36"/>
        <v>3870885.23</v>
      </c>
      <c r="I525" s="81">
        <f t="shared" si="36"/>
        <v>41064.449999999997</v>
      </c>
      <c r="J525" s="81">
        <f t="shared" si="36"/>
        <v>15847.969999999998</v>
      </c>
      <c r="K525" s="81">
        <f t="shared" si="36"/>
        <v>1400</v>
      </c>
      <c r="L525" s="70">
        <f t="shared" si="36"/>
        <v>11764275.670000002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1168922.3999999999</v>
      </c>
      <c r="G527" s="18">
        <v>650623.7300000001</v>
      </c>
      <c r="H527" s="18">
        <v>196503.9</v>
      </c>
      <c r="I527" s="18">
        <v>8347.5500000000011</v>
      </c>
      <c r="J527" s="18">
        <v>0</v>
      </c>
      <c r="K527" s="18">
        <v>464</v>
      </c>
      <c r="L527" s="69">
        <f>SUM(F527:K527)</f>
        <v>2024861.5799999998</v>
      </c>
      <c r="M527" s="8"/>
      <c r="N527" s="165"/>
    </row>
    <row r="528" spans="1:14" s="3" customFormat="1" ht="12.2" customHeight="1" x14ac:dyDescent="0.15">
      <c r="A528" s="21" t="s">
        <v>634</v>
      </c>
      <c r="B528" s="22">
        <v>21</v>
      </c>
      <c r="C528" s="22">
        <v>6</v>
      </c>
      <c r="D528" s="2" t="s">
        <v>432</v>
      </c>
      <c r="E528" s="22"/>
      <c r="F528" s="18">
        <v>352625.16000000003</v>
      </c>
      <c r="G528" s="18">
        <v>189847.45</v>
      </c>
      <c r="H528" s="18">
        <v>77216.780000000013</v>
      </c>
      <c r="I528" s="18">
        <v>2583.4699999999998</v>
      </c>
      <c r="J528" s="18">
        <v>0</v>
      </c>
      <c r="K528" s="18">
        <v>319</v>
      </c>
      <c r="L528" s="69">
        <f>SUM(F528:K528)</f>
        <v>622591.8600000001</v>
      </c>
      <c r="M528" s="8"/>
      <c r="N528" s="165"/>
    </row>
    <row r="529" spans="1:14" s="3" customFormat="1" ht="12.2" customHeight="1" thickBot="1" x14ac:dyDescent="0.2">
      <c r="A529" s="21" t="s">
        <v>635</v>
      </c>
      <c r="B529" s="22">
        <v>21</v>
      </c>
      <c r="C529" s="22">
        <v>7</v>
      </c>
      <c r="D529" s="2" t="s">
        <v>432</v>
      </c>
      <c r="E529" s="22"/>
      <c r="F529" s="18">
        <v>303706.49000000005</v>
      </c>
      <c r="G529" s="18">
        <v>182356.5</v>
      </c>
      <c r="H529" s="18">
        <v>184625.29</v>
      </c>
      <c r="I529" s="18">
        <v>747.8</v>
      </c>
      <c r="J529" s="18">
        <v>0</v>
      </c>
      <c r="K529" s="18">
        <v>667</v>
      </c>
      <c r="L529" s="69">
        <f>SUM(F529:K529)</f>
        <v>672103.08000000007</v>
      </c>
      <c r="M529" s="8"/>
      <c r="N529" s="165"/>
    </row>
    <row r="530" spans="1:14" s="3" customFormat="1" ht="12.2" customHeight="1" thickTop="1" x14ac:dyDescent="0.15">
      <c r="A530" s="97" t="s">
        <v>65</v>
      </c>
      <c r="B530" s="41">
        <v>21</v>
      </c>
      <c r="C530" s="41">
        <v>8</v>
      </c>
      <c r="D530" s="115" t="s">
        <v>432</v>
      </c>
      <c r="E530" s="41"/>
      <c r="F530" s="70">
        <f>SUM(F527:F529)</f>
        <v>1825254.05</v>
      </c>
      <c r="G530" s="70">
        <f t="shared" ref="G530:L530" si="37">SUM(G527:G529)</f>
        <v>1022827.6800000002</v>
      </c>
      <c r="H530" s="70">
        <f t="shared" si="37"/>
        <v>458345.97</v>
      </c>
      <c r="I530" s="70">
        <f t="shared" si="37"/>
        <v>11678.82</v>
      </c>
      <c r="J530" s="70">
        <f t="shared" si="37"/>
        <v>0</v>
      </c>
      <c r="K530" s="70">
        <f t="shared" si="37"/>
        <v>1450</v>
      </c>
      <c r="L530" s="70">
        <f t="shared" si="37"/>
        <v>3319556.52</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221638.67</v>
      </c>
      <c r="G532" s="18">
        <v>126495.18</v>
      </c>
      <c r="H532" s="18">
        <v>5463.58</v>
      </c>
      <c r="I532" s="18">
        <v>810.3</v>
      </c>
      <c r="J532" s="18">
        <v>0</v>
      </c>
      <c r="K532" s="18">
        <v>1940.08</v>
      </c>
      <c r="L532" s="69">
        <f>SUM(F532:K532)</f>
        <v>356347.81</v>
      </c>
      <c r="M532" s="8"/>
      <c r="N532" s="165"/>
    </row>
    <row r="533" spans="1:14" s="3" customFormat="1" ht="12.2" customHeight="1" x14ac:dyDescent="0.15">
      <c r="A533" s="21" t="s">
        <v>634</v>
      </c>
      <c r="B533" s="22">
        <v>21</v>
      </c>
      <c r="C533" s="22">
        <v>10</v>
      </c>
      <c r="D533" s="2" t="s">
        <v>432</v>
      </c>
      <c r="E533" s="22"/>
      <c r="F533" s="18">
        <v>87489.99</v>
      </c>
      <c r="G533" s="18">
        <v>51559.11</v>
      </c>
      <c r="H533" s="18">
        <v>0</v>
      </c>
      <c r="I533" s="18">
        <v>0</v>
      </c>
      <c r="J533" s="18">
        <v>0</v>
      </c>
      <c r="K533" s="18">
        <v>0</v>
      </c>
      <c r="L533" s="69">
        <f>SUM(F533:K533)</f>
        <v>139049.1</v>
      </c>
      <c r="M533" s="8"/>
      <c r="N533" s="165"/>
    </row>
    <row r="534" spans="1:14" s="3" customFormat="1" ht="12.2" customHeight="1" thickBot="1" x14ac:dyDescent="0.2">
      <c r="A534" s="21" t="s">
        <v>635</v>
      </c>
      <c r="B534" s="22">
        <v>21</v>
      </c>
      <c r="C534" s="22">
        <v>11</v>
      </c>
      <c r="D534" s="2" t="s">
        <v>432</v>
      </c>
      <c r="E534" s="22"/>
      <c r="F534" s="18">
        <v>126728.75</v>
      </c>
      <c r="G534" s="18">
        <v>78844.829999999987</v>
      </c>
      <c r="H534" s="18">
        <v>0</v>
      </c>
      <c r="I534" s="18">
        <v>0</v>
      </c>
      <c r="J534" s="18">
        <v>0</v>
      </c>
      <c r="K534" s="18">
        <v>0</v>
      </c>
      <c r="L534" s="69">
        <f>SUM(F534:K534)</f>
        <v>205573.58</v>
      </c>
      <c r="M534" s="8"/>
      <c r="N534" s="165"/>
    </row>
    <row r="535" spans="1:14" s="3" customFormat="1" ht="12.2" customHeight="1" thickTop="1" x14ac:dyDescent="0.15">
      <c r="A535" s="97" t="s">
        <v>67</v>
      </c>
      <c r="B535" s="41">
        <v>21</v>
      </c>
      <c r="C535" s="41">
        <v>12</v>
      </c>
      <c r="D535" s="115" t="s">
        <v>432</v>
      </c>
      <c r="E535" s="41"/>
      <c r="F535" s="70">
        <f>SUM(F532:F534)</f>
        <v>435857.41000000003</v>
      </c>
      <c r="G535" s="70">
        <f t="shared" ref="G535:L535" si="38">SUM(G532:G534)</f>
        <v>256899.11999999997</v>
      </c>
      <c r="H535" s="70">
        <f t="shared" si="38"/>
        <v>5463.58</v>
      </c>
      <c r="I535" s="70">
        <f t="shared" si="38"/>
        <v>810.3</v>
      </c>
      <c r="J535" s="70">
        <f t="shared" si="38"/>
        <v>0</v>
      </c>
      <c r="K535" s="70">
        <f t="shared" si="38"/>
        <v>1940.08</v>
      </c>
      <c r="L535" s="70">
        <f t="shared" si="38"/>
        <v>700970.49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11263.7</v>
      </c>
      <c r="I537" s="18">
        <v>0</v>
      </c>
      <c r="J537" s="18">
        <v>0</v>
      </c>
      <c r="K537" s="18">
        <v>0</v>
      </c>
      <c r="L537" s="69">
        <f>SUM(F537:K537)</f>
        <v>11263.7</v>
      </c>
      <c r="M537" s="8"/>
      <c r="N537" s="165"/>
    </row>
    <row r="538" spans="1:14" s="3" customFormat="1" ht="12.2" customHeight="1" x14ac:dyDescent="0.15">
      <c r="A538" s="21" t="s">
        <v>634</v>
      </c>
      <c r="B538" s="22">
        <v>21</v>
      </c>
      <c r="C538" s="22">
        <v>14</v>
      </c>
      <c r="D538" s="2" t="s">
        <v>432</v>
      </c>
      <c r="E538" s="22"/>
      <c r="F538" s="18">
        <v>0</v>
      </c>
      <c r="G538" s="18">
        <v>0</v>
      </c>
      <c r="H538" s="18">
        <v>6343.7</v>
      </c>
      <c r="I538" s="18">
        <v>0</v>
      </c>
      <c r="J538" s="18">
        <v>0</v>
      </c>
      <c r="K538" s="18">
        <v>0</v>
      </c>
      <c r="L538" s="69">
        <f>SUM(F538:K538)</f>
        <v>6343.7</v>
      </c>
      <c r="M538" s="8"/>
      <c r="N538" s="165"/>
    </row>
    <row r="539" spans="1:14" s="3" customFormat="1" ht="12.2" customHeight="1" thickBot="1" x14ac:dyDescent="0.2">
      <c r="A539" s="21" t="s">
        <v>635</v>
      </c>
      <c r="B539" s="22">
        <v>21</v>
      </c>
      <c r="C539" s="22">
        <v>15</v>
      </c>
      <c r="D539" s="2" t="s">
        <v>432</v>
      </c>
      <c r="E539" s="22"/>
      <c r="F539" s="18">
        <v>0</v>
      </c>
      <c r="G539" s="18">
        <v>0</v>
      </c>
      <c r="H539" s="18">
        <v>13264.1</v>
      </c>
      <c r="I539" s="18">
        <v>0</v>
      </c>
      <c r="J539" s="18">
        <v>0</v>
      </c>
      <c r="K539" s="18">
        <v>0</v>
      </c>
      <c r="L539" s="69">
        <f>SUM(F539:K539)</f>
        <v>13264.1</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30871.5</v>
      </c>
      <c r="I540" s="70">
        <f t="shared" si="39"/>
        <v>0</v>
      </c>
      <c r="J540" s="70">
        <f t="shared" si="39"/>
        <v>0</v>
      </c>
      <c r="K540" s="70">
        <f t="shared" si="39"/>
        <v>0</v>
      </c>
      <c r="L540" s="70">
        <f t="shared" si="39"/>
        <v>30871.5</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244612.27000000002</v>
      </c>
      <c r="I542" s="18">
        <v>0</v>
      </c>
      <c r="J542" s="18">
        <v>0</v>
      </c>
      <c r="K542" s="18">
        <v>0</v>
      </c>
      <c r="L542" s="69">
        <f>SUM(F542:K542)</f>
        <v>244612.27000000002</v>
      </c>
      <c r="M542" s="8"/>
      <c r="N542" s="165"/>
    </row>
    <row r="543" spans="1:14" s="3" customFormat="1" ht="12.2" customHeight="1" x14ac:dyDescent="0.15">
      <c r="A543" s="21" t="s">
        <v>634</v>
      </c>
      <c r="B543" s="22">
        <v>21</v>
      </c>
      <c r="C543" s="22">
        <v>18</v>
      </c>
      <c r="D543" s="2" t="s">
        <v>432</v>
      </c>
      <c r="E543" s="22"/>
      <c r="F543" s="18">
        <v>0</v>
      </c>
      <c r="G543" s="18">
        <v>0</v>
      </c>
      <c r="H543" s="18">
        <v>332877.83</v>
      </c>
      <c r="I543" s="18">
        <v>0</v>
      </c>
      <c r="J543" s="18">
        <v>0</v>
      </c>
      <c r="K543" s="18">
        <v>0</v>
      </c>
      <c r="L543" s="69">
        <f>SUM(F543:K543)</f>
        <v>332877.83</v>
      </c>
      <c r="M543" s="8"/>
      <c r="N543" s="165"/>
    </row>
    <row r="544" spans="1:14" s="3" customFormat="1" ht="12.2" customHeight="1" thickBot="1" x14ac:dyDescent="0.2">
      <c r="A544" s="21" t="s">
        <v>635</v>
      </c>
      <c r="B544" s="22">
        <v>21</v>
      </c>
      <c r="C544" s="22">
        <v>19</v>
      </c>
      <c r="D544" s="2" t="s">
        <v>432</v>
      </c>
      <c r="E544" s="22"/>
      <c r="F544" s="18">
        <v>0</v>
      </c>
      <c r="G544" s="18">
        <v>0</v>
      </c>
      <c r="H544" s="18">
        <v>437345.92</v>
      </c>
      <c r="I544" s="18">
        <v>0</v>
      </c>
      <c r="J544" s="18">
        <v>0</v>
      </c>
      <c r="K544" s="18">
        <v>0</v>
      </c>
      <c r="L544" s="69">
        <f>SUM(F544:K544)</f>
        <v>437345.92</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1014836.02</v>
      </c>
      <c r="I545" s="141">
        <f t="shared" si="40"/>
        <v>0</v>
      </c>
      <c r="J545" s="141">
        <f t="shared" si="40"/>
        <v>0</v>
      </c>
      <c r="K545" s="141">
        <f t="shared" si="40"/>
        <v>0</v>
      </c>
      <c r="L545" s="141">
        <f t="shared" si="40"/>
        <v>1014836.02</v>
      </c>
      <c r="M545" s="8"/>
      <c r="N545" s="165"/>
    </row>
    <row r="546" spans="1:14" s="3" customFormat="1" ht="12.2" customHeight="1" thickTop="1" x14ac:dyDescent="0.15">
      <c r="A546" s="75" t="s">
        <v>72</v>
      </c>
      <c r="B546" s="41">
        <v>21</v>
      </c>
      <c r="C546" s="41">
        <v>21</v>
      </c>
      <c r="D546" s="115" t="s">
        <v>432</v>
      </c>
      <c r="E546" s="41"/>
      <c r="F546" s="70">
        <f>F525+F530+F535+F540+F545</f>
        <v>7530775.9900000002</v>
      </c>
      <c r="G546" s="70">
        <f t="shared" ref="G546:L546" si="41">G525+G530+G535+G540+G545</f>
        <v>3845140.29</v>
      </c>
      <c r="H546" s="70">
        <f t="shared" si="41"/>
        <v>5380402.3000000007</v>
      </c>
      <c r="I546" s="70">
        <f t="shared" si="41"/>
        <v>53553.57</v>
      </c>
      <c r="J546" s="70">
        <f t="shared" si="41"/>
        <v>15847.969999999998</v>
      </c>
      <c r="K546" s="70">
        <f t="shared" si="41"/>
        <v>4790.08</v>
      </c>
      <c r="L546" s="70">
        <f t="shared" si="41"/>
        <v>16830510.200000003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4720539.6100000013</v>
      </c>
      <c r="G550" s="69">
        <f>L527</f>
        <v>2024861.5799999998</v>
      </c>
      <c r="H550" s="69">
        <f>L532</f>
        <v>356347.81</v>
      </c>
      <c r="I550" s="69">
        <f>L537</f>
        <v>11263.7</v>
      </c>
      <c r="J550" s="69">
        <f>L542</f>
        <v>244612.27000000002</v>
      </c>
      <c r="K550" s="69">
        <f>SUM(F550:J550)</f>
        <v>7357624.9700000007</v>
      </c>
      <c r="L550" s="23" t="s">
        <v>288</v>
      </c>
      <c r="M550" s="8"/>
      <c r="N550" s="165"/>
    </row>
    <row r="551" spans="1:14" s="3" customFormat="1" ht="12.2" customHeight="1" x14ac:dyDescent="0.15">
      <c r="A551" s="21" t="s">
        <v>634</v>
      </c>
      <c r="B551" s="22">
        <v>21</v>
      </c>
      <c r="C551" s="22">
        <v>23</v>
      </c>
      <c r="D551" s="2" t="s">
        <v>432</v>
      </c>
      <c r="E551" s="22"/>
      <c r="F551" s="69">
        <f>L523</f>
        <v>3206134.89</v>
      </c>
      <c r="G551" s="69">
        <f>L528</f>
        <v>622591.8600000001</v>
      </c>
      <c r="H551" s="69">
        <f>L533</f>
        <v>139049.1</v>
      </c>
      <c r="I551" s="69">
        <f>L538</f>
        <v>6343.7</v>
      </c>
      <c r="J551" s="69">
        <f>L543</f>
        <v>332877.83</v>
      </c>
      <c r="K551" s="69">
        <f>SUM(F551:J551)</f>
        <v>4306997.38</v>
      </c>
      <c r="L551" s="23" t="s">
        <v>288</v>
      </c>
      <c r="M551" s="8"/>
      <c r="N551" s="165"/>
    </row>
    <row r="552" spans="1:14" s="3" customFormat="1" ht="12.2" customHeight="1" thickBot="1" x14ac:dyDescent="0.2">
      <c r="A552" s="21" t="s">
        <v>635</v>
      </c>
      <c r="B552" s="22">
        <v>21</v>
      </c>
      <c r="C552" s="22">
        <v>24</v>
      </c>
      <c r="D552" s="2" t="s">
        <v>432</v>
      </c>
      <c r="E552" s="22"/>
      <c r="F552" s="69">
        <f>L524</f>
        <v>3837601.1699999995</v>
      </c>
      <c r="G552" s="69">
        <f>L529</f>
        <v>672103.08000000007</v>
      </c>
      <c r="H552" s="69">
        <f>L534</f>
        <v>205573.58</v>
      </c>
      <c r="I552" s="69">
        <f>L539</f>
        <v>13264.1</v>
      </c>
      <c r="J552" s="69">
        <f>L544</f>
        <v>437345.92</v>
      </c>
      <c r="K552" s="69">
        <f>SUM(F552:J552)</f>
        <v>5165887.8499999996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11764275.670000002</v>
      </c>
      <c r="G553" s="70">
        <f t="shared" si="42"/>
        <v>3319556.52</v>
      </c>
      <c r="H553" s="70">
        <f t="shared" si="42"/>
        <v>700970.49</v>
      </c>
      <c r="I553" s="70">
        <f t="shared" si="42"/>
        <v>30871.5</v>
      </c>
      <c r="J553" s="70">
        <f t="shared" si="42"/>
        <v>1014836.02</v>
      </c>
      <c r="K553" s="70">
        <f t="shared" si="42"/>
        <v>16830510.200000003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111637.25</v>
      </c>
      <c r="G563" s="18">
        <v>70510.990000000005</v>
      </c>
      <c r="H563" s="18">
        <v>4523.45</v>
      </c>
      <c r="I563" s="18">
        <v>1771</v>
      </c>
      <c r="J563" s="18">
        <v>0</v>
      </c>
      <c r="K563" s="18">
        <v>0</v>
      </c>
      <c r="L563" s="69">
        <f>SUM(F563:K563)</f>
        <v>188442.69</v>
      </c>
      <c r="M563" s="8"/>
      <c r="N563" s="165"/>
    </row>
    <row r="564" spans="1:14" s="3" customFormat="1" ht="12.2" customHeight="1" x14ac:dyDescent="0.15">
      <c r="A564" s="21" t="s">
        <v>634</v>
      </c>
      <c r="B564" s="22">
        <v>22</v>
      </c>
      <c r="C564" s="22">
        <v>6</v>
      </c>
      <c r="D564" s="2" t="s">
        <v>432</v>
      </c>
      <c r="E564" s="22"/>
      <c r="F564" s="18">
        <v>33481.53</v>
      </c>
      <c r="G564" s="18">
        <v>22510.74</v>
      </c>
      <c r="H564" s="18">
        <v>0</v>
      </c>
      <c r="I564" s="18">
        <v>0</v>
      </c>
      <c r="J564" s="18">
        <v>0</v>
      </c>
      <c r="K564" s="18">
        <v>0</v>
      </c>
      <c r="L564" s="69">
        <f>SUM(F564:K564)</f>
        <v>55992.270000000004</v>
      </c>
      <c r="M564" s="8"/>
      <c r="N564" s="165"/>
    </row>
    <row r="565" spans="1:14" s="3" customFormat="1" ht="12.2" customHeight="1" thickBot="1" x14ac:dyDescent="0.2">
      <c r="A565" s="21" t="s">
        <v>635</v>
      </c>
      <c r="B565" s="22">
        <v>22</v>
      </c>
      <c r="C565" s="22">
        <v>7</v>
      </c>
      <c r="D565" s="2" t="s">
        <v>432</v>
      </c>
      <c r="E565" s="22"/>
      <c r="F565" s="18">
        <v>36060.629999999997</v>
      </c>
      <c r="G565" s="18">
        <v>10327.57</v>
      </c>
      <c r="H565" s="18">
        <v>0</v>
      </c>
      <c r="I565" s="18">
        <v>0</v>
      </c>
      <c r="J565" s="18">
        <v>0</v>
      </c>
      <c r="K565" s="18">
        <v>0</v>
      </c>
      <c r="L565" s="69">
        <f>SUM(F565:K565)</f>
        <v>46388.2</v>
      </c>
      <c r="M565" s="8"/>
      <c r="N565" s="165"/>
    </row>
    <row r="566" spans="1:14" s="3" customFormat="1" ht="12.2" customHeight="1" thickTop="1" x14ac:dyDescent="0.15">
      <c r="A566" s="97" t="s">
        <v>65</v>
      </c>
      <c r="B566" s="41">
        <v>22</v>
      </c>
      <c r="C566" s="41">
        <v>8</v>
      </c>
      <c r="D566" s="115" t="s">
        <v>432</v>
      </c>
      <c r="E566" s="41"/>
      <c r="F566" s="70">
        <f t="shared" ref="F566:L566" si="44">SUM(F563:F565)</f>
        <v>181179.41</v>
      </c>
      <c r="G566" s="70">
        <f t="shared" si="44"/>
        <v>103349.30000000002</v>
      </c>
      <c r="H566" s="70">
        <f t="shared" si="44"/>
        <v>4523.45</v>
      </c>
      <c r="I566" s="70">
        <f t="shared" si="44"/>
        <v>1771</v>
      </c>
      <c r="J566" s="70">
        <f t="shared" si="44"/>
        <v>0</v>
      </c>
      <c r="K566" s="70">
        <f t="shared" si="44"/>
        <v>0</v>
      </c>
      <c r="L566" s="70">
        <f t="shared" si="44"/>
        <v>290823.16000000003</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50300.12</v>
      </c>
      <c r="G569" s="18">
        <v>40098.57</v>
      </c>
      <c r="H569" s="18">
        <v>2590.34</v>
      </c>
      <c r="I569" s="18">
        <v>4200.1000000000004</v>
      </c>
      <c r="J569" s="18">
        <v>0</v>
      </c>
      <c r="K569" s="18">
        <v>1936</v>
      </c>
      <c r="L569" s="69">
        <f>SUM(F569:K569)</f>
        <v>99125.13</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50300.12</v>
      </c>
      <c r="G571" s="141">
        <f t="shared" ref="G571:L571" si="45">SUM(G568:G570)</f>
        <v>40098.57</v>
      </c>
      <c r="H571" s="141">
        <f t="shared" si="45"/>
        <v>2590.34</v>
      </c>
      <c r="I571" s="141">
        <f t="shared" si="45"/>
        <v>4200.1000000000004</v>
      </c>
      <c r="J571" s="141">
        <f t="shared" si="45"/>
        <v>0</v>
      </c>
      <c r="K571" s="141">
        <f t="shared" si="45"/>
        <v>1936</v>
      </c>
      <c r="L571" s="141">
        <f t="shared" si="45"/>
        <v>99125.13</v>
      </c>
      <c r="M571" s="8"/>
      <c r="N571" s="165"/>
    </row>
    <row r="572" spans="1:14" s="3" customFormat="1" ht="12.2" customHeight="1" thickTop="1" x14ac:dyDescent="0.15">
      <c r="A572" s="75" t="s">
        <v>88</v>
      </c>
      <c r="B572" s="41">
        <v>22</v>
      </c>
      <c r="C572" s="41">
        <v>13</v>
      </c>
      <c r="D572" s="115" t="s">
        <v>432</v>
      </c>
      <c r="E572" s="41"/>
      <c r="F572" s="70">
        <f>F561+F566+F571</f>
        <v>231479.53</v>
      </c>
      <c r="G572" s="70">
        <f t="shared" ref="G572:L572" si="46">G561+G566+G571</f>
        <v>143447.87000000002</v>
      </c>
      <c r="H572" s="70">
        <f t="shared" si="46"/>
        <v>7113.79</v>
      </c>
      <c r="I572" s="70">
        <f t="shared" si="46"/>
        <v>5971.1</v>
      </c>
      <c r="J572" s="70">
        <f t="shared" si="46"/>
        <v>0</v>
      </c>
      <c r="K572" s="70">
        <f t="shared" si="46"/>
        <v>1936</v>
      </c>
      <c r="L572" s="70">
        <f t="shared" si="46"/>
        <v>389948.29000000004</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38315.019999999997</v>
      </c>
      <c r="G580" s="18">
        <v>0</v>
      </c>
      <c r="H580" s="18">
        <v>0</v>
      </c>
      <c r="I580" s="69">
        <f t="shared" si="47"/>
        <v>38315.019999999997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419480.68</v>
      </c>
      <c r="G583" s="18">
        <v>1379880</v>
      </c>
      <c r="H583" s="18">
        <v>1624503.19</v>
      </c>
      <c r="I583" s="69">
        <f t="shared" si="47"/>
        <v>3423863.87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24328.41</v>
      </c>
      <c r="I585" s="69">
        <f t="shared" si="47"/>
        <v>24328.41</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237814.74</v>
      </c>
      <c r="I592" s="18">
        <v>207419.83</v>
      </c>
      <c r="J592" s="18">
        <v>341858.69</v>
      </c>
      <c r="K592" s="80">
        <f t="shared" ref="K592:K598" si="48">SUM(H592:J592)</f>
        <v>787093.26</v>
      </c>
      <c r="L592" s="23" t="s">
        <v>288</v>
      </c>
      <c r="M592" s="8"/>
      <c r="N592" s="165"/>
    </row>
    <row r="593" spans="1:14" s="3" customFormat="1" ht="12.2" customHeight="1" x14ac:dyDescent="0.15">
      <c r="A593" s="3" t="s">
        <v>638</v>
      </c>
      <c r="B593" s="22">
        <v>23</v>
      </c>
      <c r="C593" s="22">
        <v>2</v>
      </c>
      <c r="D593" s="2" t="s">
        <v>432</v>
      </c>
      <c r="E593" s="22"/>
      <c r="F593" s="78">
        <v>2722</v>
      </c>
      <c r="G593" s="79" t="s">
        <v>97</v>
      </c>
      <c r="H593" s="18">
        <v>244612.27000000002</v>
      </c>
      <c r="I593" s="18">
        <v>330082.18</v>
      </c>
      <c r="J593" s="18">
        <v>434061.92</v>
      </c>
      <c r="K593" s="80">
        <f t="shared" si="48"/>
        <v>1008756.3699999999</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62965.75</v>
      </c>
      <c r="K594" s="80">
        <f t="shared" si="48"/>
        <v>62965.75</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15240.39</v>
      </c>
      <c r="J595" s="18">
        <v>203691.77</v>
      </c>
      <c r="K595" s="80">
        <f t="shared" si="48"/>
        <v>218932.15999999997</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22679.86</v>
      </c>
      <c r="I596" s="18">
        <v>10459.36</v>
      </c>
      <c r="J596" s="18">
        <v>23331.41</v>
      </c>
      <c r="K596" s="80">
        <f t="shared" si="48"/>
        <v>56470.630000000005</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f>647.87+49.53+91.08+2.74</f>
        <v>791.22</v>
      </c>
      <c r="J598" s="18">
        <v>0</v>
      </c>
      <c r="K598" s="80">
        <f t="shared" si="48"/>
        <v>791.22</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505106.87</v>
      </c>
      <c r="I599" s="81">
        <f>SUM(I592:I598)</f>
        <v>563992.98</v>
      </c>
      <c r="J599" s="81">
        <f>SUM(J592:J598)</f>
        <v>1065909.54</v>
      </c>
      <c r="K599" s="81">
        <f>SUM(K592:K598)</f>
        <v>2135009.39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530403.93570000003</v>
      </c>
      <c r="I605" s="18">
        <v>281369.58199999999</v>
      </c>
      <c r="J605" s="18">
        <v>955503.40229999996</v>
      </c>
      <c r="K605" s="80">
        <f>SUM(H605:J605)</f>
        <v>1767276.92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530403.93570000003</v>
      </c>
      <c r="I606" s="81">
        <f>SUM(I603:I605)</f>
        <v>281369.58199999999</v>
      </c>
      <c r="J606" s="81">
        <f>SUM(J603:J605)</f>
        <v>955503.40229999996</v>
      </c>
      <c r="K606" s="81">
        <f>SUM(K603:K605)</f>
        <v>1767276.92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9980473.8800000008</v>
      </c>
      <c r="H618" s="80">
        <f>SUM(F52)</f>
        <v>9980473.879999999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669232.97</v>
      </c>
      <c r="H619" s="80">
        <f>SUM(G52)</f>
        <v>669232.97</v>
      </c>
      <c r="I619" s="87" t="s">
        <v>875</v>
      </c>
      <c r="J619" s="80">
        <f>G619-H619</f>
        <v>0</v>
      </c>
      <c r="K619" s="80"/>
      <c r="L619" s="80"/>
      <c r="M619" s="8"/>
    </row>
    <row r="620" spans="1:14" s="3" customFormat="1" ht="12.2" customHeight="1" x14ac:dyDescent="0.15">
      <c r="A620" s="74"/>
      <c r="B620" s="22"/>
      <c r="C620" s="22"/>
      <c r="D620" s="22"/>
      <c r="E620" s="22"/>
      <c r="F620" s="87" t="s">
        <v>685</v>
      </c>
      <c r="G620" s="80">
        <f>SUM(H19)</f>
        <v>540596.42999999993</v>
      </c>
      <c r="H620" s="80">
        <f>SUM(H52)</f>
        <v>540596.42999999993</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1587346.63</v>
      </c>
      <c r="H622" s="80">
        <f>SUM(J52)</f>
        <v>1587346.63</v>
      </c>
      <c r="I622" s="87" t="s">
        <v>878</v>
      </c>
      <c r="J622" s="80">
        <f>G622-H622</f>
        <v>0</v>
      </c>
      <c r="K622" s="80"/>
      <c r="L622" s="80"/>
      <c r="M622" s="8"/>
    </row>
    <row r="623" spans="1:14" s="3" customFormat="1" ht="12.2" customHeight="1" x14ac:dyDescent="0.15">
      <c r="A623" s="74"/>
      <c r="B623" s="22"/>
      <c r="C623" s="22"/>
      <c r="D623" s="22"/>
      <c r="E623" s="22"/>
      <c r="F623" s="87" t="s">
        <v>864</v>
      </c>
      <c r="G623" s="80">
        <f>F51</f>
        <v>7897635.4299999997</v>
      </c>
      <c r="H623" s="80">
        <f>F477</f>
        <v>7897635.4300000072</v>
      </c>
      <c r="I623" s="87" t="s">
        <v>101</v>
      </c>
      <c r="J623" s="80">
        <f t="shared" ref="J623:J656" si="50">G623-H623</f>
        <v>-7.4505805969238281E-9</v>
      </c>
      <c r="K623" s="80"/>
      <c r="L623" s="80"/>
      <c r="M623" s="8"/>
    </row>
    <row r="624" spans="1:14" s="3" customFormat="1" ht="12.2" customHeight="1" x14ac:dyDescent="0.15">
      <c r="A624" s="74"/>
      <c r="B624" s="22"/>
      <c r="C624" s="85"/>
      <c r="D624" s="85"/>
      <c r="E624" s="85"/>
      <c r="F624" s="85" t="s">
        <v>865</v>
      </c>
      <c r="G624" s="80">
        <f>G51</f>
        <v>634735.13</v>
      </c>
      <c r="H624" s="80">
        <f>G477</f>
        <v>634735.12999999989</v>
      </c>
      <c r="I624" s="87" t="s">
        <v>102</v>
      </c>
      <c r="J624" s="80">
        <f t="shared" si="50"/>
        <v>0</v>
      </c>
      <c r="K624" s="80"/>
      <c r="L624" s="80"/>
      <c r="M624" s="8"/>
    </row>
    <row r="625" spans="1:13" s="3" customFormat="1" ht="12.2" customHeight="1" x14ac:dyDescent="0.15">
      <c r="A625" s="74"/>
      <c r="B625" s="22"/>
      <c r="C625" s="22"/>
      <c r="D625" s="22"/>
      <c r="E625" s="22"/>
      <c r="F625" s="86" t="s">
        <v>866</v>
      </c>
      <c r="G625" s="80">
        <f>H51</f>
        <v>101089.81999999999</v>
      </c>
      <c r="H625" s="80">
        <f>H477</f>
        <v>101089.8200000003</v>
      </c>
      <c r="I625" s="87" t="s">
        <v>103</v>
      </c>
      <c r="J625" s="80">
        <f t="shared" si="50"/>
        <v>-3.0559021979570389E-10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1587346.63</v>
      </c>
      <c r="H627" s="80">
        <f>J477</f>
        <v>1587346.63</v>
      </c>
      <c r="I627" s="87" t="s">
        <v>105</v>
      </c>
      <c r="J627" s="80">
        <f t="shared" si="50"/>
        <v>0</v>
      </c>
      <c r="K627" s="67"/>
      <c r="L627" s="69"/>
      <c r="M627" s="8"/>
    </row>
    <row r="628" spans="1:13" s="3" customFormat="1" ht="12.2" customHeight="1" x14ac:dyDescent="0.15">
      <c r="A628" s="21"/>
      <c r="B628" s="22"/>
      <c r="C628" s="22"/>
      <c r="D628" s="22"/>
      <c r="E628" s="22"/>
      <c r="F628" s="86" t="s">
        <v>658</v>
      </c>
      <c r="G628" s="80">
        <f>F194</f>
        <v>62810097.949999996</v>
      </c>
      <c r="H628" s="80">
        <f>SUM(F469)</f>
        <v>62810097.950000003</v>
      </c>
      <c r="I628" s="87" t="s">
        <v>106</v>
      </c>
      <c r="J628" s="80">
        <f>G628-H628</f>
        <v>0</v>
      </c>
      <c r="K628" s="67"/>
      <c r="L628" s="69"/>
      <c r="M628" s="8"/>
    </row>
    <row r="629" spans="1:13" s="3" customFormat="1" ht="12.2" customHeight="1" x14ac:dyDescent="0.15">
      <c r="A629" s="21"/>
      <c r="B629" s="22"/>
      <c r="C629" s="22"/>
      <c r="D629" s="22"/>
      <c r="E629" s="22"/>
      <c r="F629" s="86" t="s">
        <v>659</v>
      </c>
      <c r="G629" s="80">
        <f>G194</f>
        <v>1888228.3599999999</v>
      </c>
      <c r="H629" s="80">
        <f>SUM(G469)</f>
        <v>1888228.36</v>
      </c>
      <c r="I629" s="87" t="s">
        <v>107</v>
      </c>
      <c r="J629" s="80">
        <f>G629-H629</f>
        <v>0</v>
      </c>
      <c r="K629" s="67"/>
      <c r="L629" s="69"/>
      <c r="M629" s="8"/>
    </row>
    <row r="630" spans="1:13" s="3" customFormat="1" ht="12.2" customHeight="1" x14ac:dyDescent="0.15">
      <c r="A630" s="21"/>
      <c r="B630" s="22"/>
      <c r="C630" s="22"/>
      <c r="D630" s="22"/>
      <c r="E630" s="22"/>
      <c r="F630" s="86" t="s">
        <v>660</v>
      </c>
      <c r="G630" s="80">
        <f>H194</f>
        <v>5048618.1499999994</v>
      </c>
      <c r="H630" s="80">
        <f>SUM(H469)</f>
        <v>5048618.1500000004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656064.11</v>
      </c>
      <c r="H632" s="80">
        <f>SUM(J469)</f>
        <v>656064.11</v>
      </c>
      <c r="I632" s="87" t="s">
        <v>110</v>
      </c>
      <c r="J632" s="80">
        <f>G632-H632</f>
        <v>0</v>
      </c>
      <c r="K632" s="67"/>
      <c r="L632" s="69"/>
      <c r="M632" s="8"/>
    </row>
    <row r="633" spans="1:13" s="3" customFormat="1" ht="12.2" customHeight="1" x14ac:dyDescent="0.15">
      <c r="A633" s="21"/>
      <c r="B633" s="22"/>
      <c r="C633" s="22"/>
      <c r="D633" s="22"/>
      <c r="E633" s="22"/>
      <c r="F633" s="86" t="s">
        <v>394</v>
      </c>
      <c r="G633" s="80">
        <f>SUM(L272)</f>
        <v>64802436.359999992</v>
      </c>
      <c r="H633" s="80">
        <f>SUM(F473)</f>
        <v>64802436.359999999</v>
      </c>
      <c r="I633" s="87" t="s">
        <v>111</v>
      </c>
      <c r="J633" s="80">
        <f t="shared" si="50"/>
        <v>0</v>
      </c>
      <c r="K633" s="67"/>
      <c r="L633" s="69"/>
      <c r="M633" s="8"/>
    </row>
    <row r="634" spans="1:13" s="3" customFormat="1" ht="12.2" customHeight="1" x14ac:dyDescent="0.15">
      <c r="A634" s="21"/>
      <c r="B634" s="22"/>
      <c r="C634" s="22"/>
      <c r="D634" s="22"/>
      <c r="E634" s="22"/>
      <c r="F634" s="86" t="s">
        <v>395</v>
      </c>
      <c r="G634" s="80">
        <f>SUM(L353)</f>
        <v>5089776.5299999993</v>
      </c>
      <c r="H634" s="80">
        <f>SUM(H473)</f>
        <v>5089776.53</v>
      </c>
      <c r="I634" s="87" t="s">
        <v>112</v>
      </c>
      <c r="J634" s="80">
        <f>G634-H634</f>
        <v>0</v>
      </c>
      <c r="K634" s="67"/>
      <c r="L634" s="69"/>
      <c r="M634" s="8"/>
    </row>
    <row r="635" spans="1:13" s="124" customFormat="1" ht="12.2" customHeight="1" x14ac:dyDescent="0.15">
      <c r="A635" s="21"/>
      <c r="B635" s="22"/>
      <c r="C635" s="22"/>
      <c r="D635" s="22"/>
      <c r="E635" s="22"/>
      <c r="F635" s="99" t="s">
        <v>247</v>
      </c>
      <c r="G635" s="80">
        <f>I363</f>
        <v>979553.33000000007</v>
      </c>
      <c r="H635" s="80">
        <f>I370</f>
        <v>979553.33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1957223.46</v>
      </c>
      <c r="H636" s="80">
        <f>SUM(G473)</f>
        <v>1957223.46</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656064.11</v>
      </c>
      <c r="H638" s="108">
        <f>SUM(J469)</f>
        <v>656064.11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1587346.63</v>
      </c>
      <c r="H641" s="80">
        <f>SUM(G462)</f>
        <v>1587346.63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1587346.63</v>
      </c>
      <c r="H643" s="80">
        <f>SUM(I462)</f>
        <v>1587346.63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56064.11</v>
      </c>
      <c r="H645" s="80">
        <f>H409</f>
        <v>56064.109999999993</v>
      </c>
      <c r="I645" s="87" t="s">
        <v>480</v>
      </c>
      <c r="J645" s="80">
        <f t="shared" si="50"/>
        <v>0</v>
      </c>
      <c r="K645" s="67"/>
      <c r="L645" s="69"/>
      <c r="M645" s="8"/>
    </row>
    <row r="646" spans="1:13" s="3" customFormat="1" ht="12.2" customHeight="1" x14ac:dyDescent="0.15">
      <c r="A646" s="21"/>
      <c r="B646" s="22"/>
      <c r="C646" s="22"/>
      <c r="D646" s="22"/>
      <c r="E646" s="22"/>
      <c r="F646" s="86" t="s">
        <v>664</v>
      </c>
      <c r="G646" s="80">
        <f>J184</f>
        <v>600000</v>
      </c>
      <c r="H646" s="80">
        <f>G409</f>
        <v>600000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656064.11</v>
      </c>
      <c r="H647" s="80">
        <f>L409</f>
        <v>656064.11</v>
      </c>
      <c r="I647" s="87" t="s">
        <v>477</v>
      </c>
      <c r="J647" s="80">
        <f t="shared" si="50"/>
        <v>0</v>
      </c>
      <c r="K647" s="67"/>
      <c r="L647" s="69"/>
      <c r="M647" s="8"/>
    </row>
    <row r="648" spans="1:13" s="3" customFormat="1" ht="12.2" customHeight="1" x14ac:dyDescent="0.15">
      <c r="A648" s="21"/>
      <c r="B648" s="22"/>
      <c r="C648" s="22"/>
      <c r="D648" s="22"/>
      <c r="E648" s="22"/>
      <c r="F648" s="86" t="s">
        <v>51</v>
      </c>
      <c r="G648" s="80">
        <f>K599</f>
        <v>2135009.39</v>
      </c>
      <c r="H648" s="80">
        <f>L209+L227+L245</f>
        <v>2135009.39</v>
      </c>
      <c r="I648" s="87" t="s">
        <v>396</v>
      </c>
      <c r="J648" s="80">
        <f t="shared" si="50"/>
        <v>0</v>
      </c>
      <c r="K648" s="67"/>
      <c r="L648" s="69"/>
      <c r="M648" s="8"/>
    </row>
    <row r="649" spans="1:13" s="3" customFormat="1" ht="12.2" customHeight="1" x14ac:dyDescent="0.15">
      <c r="A649" s="21"/>
      <c r="B649" s="22"/>
      <c r="C649" s="22"/>
      <c r="D649" s="22"/>
      <c r="E649" s="22"/>
      <c r="F649" s="86" t="s">
        <v>52</v>
      </c>
      <c r="G649" s="80">
        <f>K606</f>
        <v>1767276.92</v>
      </c>
      <c r="H649" s="80">
        <f>(J258+J339)-(J256+J337)</f>
        <v>1767276.9199999997</v>
      </c>
      <c r="I649" s="87" t="s">
        <v>699</v>
      </c>
      <c r="J649" s="80">
        <f t="shared" si="50"/>
        <v>0</v>
      </c>
      <c r="K649" s="67"/>
      <c r="L649" s="69"/>
      <c r="M649" s="8"/>
    </row>
    <row r="650" spans="1:13" s="3" customFormat="1" ht="12.2" customHeight="1" x14ac:dyDescent="0.15">
      <c r="A650" s="21"/>
      <c r="B650" s="22"/>
      <c r="C650" s="22"/>
      <c r="D650" s="22"/>
      <c r="E650" s="22"/>
      <c r="F650" s="86" t="s">
        <v>387</v>
      </c>
      <c r="G650" s="80">
        <f>L209</f>
        <v>505106.87</v>
      </c>
      <c r="H650" s="80">
        <f>H599</f>
        <v>505106.87</v>
      </c>
      <c r="I650" s="87" t="s">
        <v>388</v>
      </c>
      <c r="J650" s="80">
        <f t="shared" si="50"/>
        <v>0</v>
      </c>
      <c r="K650" s="67"/>
      <c r="L650" s="69"/>
      <c r="M650" s="8"/>
    </row>
    <row r="651" spans="1:13" s="3" customFormat="1" ht="12.2" customHeight="1" x14ac:dyDescent="0.15">
      <c r="A651" s="21"/>
      <c r="B651" s="22"/>
      <c r="C651" s="22"/>
      <c r="D651" s="22"/>
      <c r="E651" s="22"/>
      <c r="F651" s="86" t="s">
        <v>392</v>
      </c>
      <c r="G651" s="80">
        <f>L227</f>
        <v>563992.98</v>
      </c>
      <c r="H651" s="80">
        <f>I599</f>
        <v>563992.98</v>
      </c>
      <c r="I651" s="87" t="s">
        <v>389</v>
      </c>
      <c r="J651" s="80">
        <f t="shared" si="50"/>
        <v>0</v>
      </c>
      <c r="K651" s="67"/>
      <c r="L651" s="69"/>
      <c r="M651" s="8"/>
    </row>
    <row r="652" spans="1:13" s="3" customFormat="1" ht="12.2" customHeight="1" x14ac:dyDescent="0.15">
      <c r="A652" s="21"/>
      <c r="B652" s="22"/>
      <c r="C652" s="22"/>
      <c r="D652" s="22"/>
      <c r="E652" s="22"/>
      <c r="F652" s="86" t="s">
        <v>393</v>
      </c>
      <c r="G652" s="80">
        <f>L245</f>
        <v>1065909.54</v>
      </c>
      <c r="H652" s="80">
        <f>J599</f>
        <v>1065909.54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600000</v>
      </c>
      <c r="H656" s="80">
        <f>K267+K348</f>
        <v>600000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23825917.6921</v>
      </c>
      <c r="G661" s="13">
        <f>(L230+L310+L360)</f>
        <v>13262145.306</v>
      </c>
      <c r="H661" s="13">
        <f>(L248+L329+L361)</f>
        <v>25893892.391899992</v>
      </c>
      <c r="I661" s="13">
        <f>SUM(F661:H661)</f>
        <v>62981955.389999986</v>
      </c>
      <c r="J661" s="13"/>
      <c r="K661" s="13"/>
      <c r="L661" s="13"/>
      <c r="M661" s="9"/>
    </row>
    <row r="662" spans="1:13" s="3" customFormat="1" ht="12.2" customHeight="1" x14ac:dyDescent="0.2">
      <c r="A662" s="1" t="s">
        <v>127</v>
      </c>
      <c r="F662" s="13">
        <f>(L359/IF(SUM(L359:L361)=0,1,SUM(L359:L361))*(SUM(G97:G110)))</f>
        <v>242755.77975128146</v>
      </c>
      <c r="G662" s="13">
        <f>(L360/IF(SUM(L359:L361)=0,1,SUM(L359:L361))*(SUM(G97:G110)))</f>
        <v>213010.17032618821</v>
      </c>
      <c r="H662" s="13">
        <f>(L361/IF(SUM(L359:L361)=0,1,SUM(L359:L361))*(SUM(G97:G110)))</f>
        <v>498789.02992253035</v>
      </c>
      <c r="I662" s="13">
        <f>SUM(F662:H662)</f>
        <v>954554.98</v>
      </c>
      <c r="J662"/>
      <c r="K662" s="13"/>
      <c r="L662" s="13"/>
      <c r="M662" s="8"/>
    </row>
    <row r="663" spans="1:13" s="3" customFormat="1" ht="12.2" customHeight="1" x14ac:dyDescent="0.2">
      <c r="A663" s="1" t="s">
        <v>128</v>
      </c>
      <c r="F663" s="13">
        <f>(L209+L288)-(J209+J288)</f>
        <v>513861.37</v>
      </c>
      <c r="G663" s="13">
        <f>(L227+L307)-(J227+J307)</f>
        <v>564504.98</v>
      </c>
      <c r="H663" s="13">
        <f>(L245+L326)-(J245+J326)</f>
        <v>1068939.24</v>
      </c>
      <c r="I663" s="13">
        <f>SUM(F663:H663)</f>
        <v>2147305.59</v>
      </c>
      <c r="J663"/>
      <c r="K663" s="13"/>
      <c r="L663" s="13"/>
      <c r="M663" s="9"/>
    </row>
    <row r="664" spans="1:13" s="3" customFormat="1" ht="12.2" customHeight="1" x14ac:dyDescent="0.15">
      <c r="A664" s="142" t="s">
        <v>129</v>
      </c>
      <c r="B664" s="124"/>
      <c r="C664" s="124"/>
      <c r="D664" s="124"/>
      <c r="E664" s="124"/>
      <c r="F664" s="143">
        <f>SUM(F576:F588)+SUM(H603:H605)+SUM(L612)</f>
        <v>988199.63569999998</v>
      </c>
      <c r="G664" s="143">
        <f>SUM(G576:G588)+SUM(I603:I605)+L613</f>
        <v>1661249.5819999999</v>
      </c>
      <c r="H664" s="143">
        <f>SUM(H576:H588)+SUM(J603:J605)+L614</f>
        <v>2604335.0022999998</v>
      </c>
      <c r="I664" s="13">
        <f>SUM(F664:H664)</f>
        <v>5253784.22</v>
      </c>
      <c r="J664" s="13"/>
      <c r="K664" s="13"/>
      <c r="L664" s="13"/>
      <c r="M664" s="9"/>
    </row>
    <row r="665" spans="1:13" s="3" customFormat="1" ht="12.2" customHeight="1" x14ac:dyDescent="0.15">
      <c r="A665" s="1" t="s">
        <v>130</v>
      </c>
      <c r="F665" s="13">
        <f>F661-SUM(F662:F664)</f>
        <v>22081100.906648718</v>
      </c>
      <c r="G665" s="13">
        <f>G661-SUM(G662:G664)</f>
        <v>10823380.573673811</v>
      </c>
      <c r="H665" s="13">
        <f>H661-SUM(H662:H664)</f>
        <v>21721829.119677462</v>
      </c>
      <c r="I665" s="13">
        <f>I661-SUM(I662:I664)</f>
        <v>54626310.599999987</v>
      </c>
      <c r="J665" s="13"/>
      <c r="K665" s="13"/>
      <c r="L665" s="13"/>
      <c r="M665" s="8"/>
    </row>
    <row r="666" spans="1:13" s="3" customFormat="1" ht="12.2" customHeight="1" x14ac:dyDescent="0.2">
      <c r="A666" s="1" t="s">
        <v>131</v>
      </c>
      <c r="F666" s="183">
        <v>1064.07</v>
      </c>
      <c r="G666" s="184">
        <v>622.37</v>
      </c>
      <c r="H666" s="184">
        <v>1277.42</v>
      </c>
      <c r="I666" s="13">
        <f>SUM(F666:H666)</f>
        <v>2963.86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20751.55</v>
      </c>
      <c r="G668" s="13">
        <f>ROUND(G665/G666,2)</f>
        <v>17390.59</v>
      </c>
      <c r="H668" s="13">
        <f>ROUND(H665/H666,2)</f>
        <v>17004.45</v>
      </c>
      <c r="I668" s="13">
        <f>ROUND(I665/I666,2)</f>
        <v>18430.8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23.78</v>
      </c>
      <c r="I671" s="13">
        <f>SUM(F671:H671)</f>
        <v>23.78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20751.55</v>
      </c>
      <c r="G673" s="13">
        <f>ROUND((G665+G670)/(G666+G671),2)</f>
        <v>17390.59</v>
      </c>
      <c r="H673" s="13">
        <f>ROUND((H665+H670)/(H666+H671),2)</f>
        <v>16693.689999999999</v>
      </c>
      <c r="I673" s="13">
        <f>ROUND((I665+I670)/(I666+I671),2)</f>
        <v>18284.099999999999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5" sqref="E25"/>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222113.19</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65498.559999999998</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28883.67</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v>127730.96</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Keene</v>
      </c>
      <c r="C5" s="317"/>
      <c r="D5" s="317"/>
      <c r="E5" s="317"/>
      <c r="F5" s="317"/>
    </row>
    <row r="8" spans="1:9" ht="18" x14ac:dyDescent="0.25">
      <c r="A8" s="240" t="s">
        <v>1560</v>
      </c>
      <c r="F8" s="247" t="s">
        <v>1578</v>
      </c>
    </row>
    <row r="9" spans="1:9" ht="15" x14ac:dyDescent="0.2">
      <c r="A9" s="238" t="s">
        <v>1561</v>
      </c>
      <c r="B9" s="241">
        <f>'DOE25'!G97</f>
        <v>931070.98</v>
      </c>
      <c r="F9" s="238" t="s">
        <v>1574</v>
      </c>
    </row>
    <row r="10" spans="1:9" ht="15" x14ac:dyDescent="0.2">
      <c r="A10" s="238" t="s">
        <v>1562</v>
      </c>
      <c r="B10" s="241">
        <f>'DOE25'!G112-'DOE25'!G97</f>
        <v>23484</v>
      </c>
      <c r="F10" s="238" t="s">
        <v>1575</v>
      </c>
    </row>
    <row r="11" spans="1:9" ht="15" x14ac:dyDescent="0.2">
      <c r="A11" s="238" t="s">
        <v>1563</v>
      </c>
      <c r="B11" s="241">
        <f>'DOE25'!G140</f>
        <v>13665.39</v>
      </c>
      <c r="F11" s="238" t="s">
        <v>1576</v>
      </c>
    </row>
    <row r="12" spans="1:9" ht="15" x14ac:dyDescent="0.2">
      <c r="A12" s="238" t="s">
        <v>1564</v>
      </c>
      <c r="B12" s="241">
        <f>'DOE25'!G170</f>
        <v>920007.99</v>
      </c>
      <c r="F12" s="238" t="s">
        <v>1577</v>
      </c>
    </row>
    <row r="13" spans="1:9" ht="15" x14ac:dyDescent="0.2">
      <c r="A13" s="238" t="s">
        <v>1565</v>
      </c>
      <c r="B13" s="241">
        <f>'DOE25'!G193-'DOE25'!G180</f>
        <v>0</v>
      </c>
      <c r="F13" s="238" t="s">
        <v>1587</v>
      </c>
    </row>
    <row r="14" spans="1:9" ht="18" x14ac:dyDescent="0.25">
      <c r="A14" s="240" t="s">
        <v>732</v>
      </c>
      <c r="B14" s="242">
        <f>SUM(B9:B13)</f>
        <v>1888228.3599999999</v>
      </c>
    </row>
    <row r="16" spans="1:9" ht="18" x14ac:dyDescent="0.25">
      <c r="A16" s="240" t="s">
        <v>786</v>
      </c>
      <c r="F16" s="247" t="s">
        <v>1579</v>
      </c>
    </row>
    <row r="17" spans="1:6" ht="15" x14ac:dyDescent="0.2">
      <c r="A17" s="238" t="s">
        <v>1566</v>
      </c>
      <c r="B17" s="241">
        <f>'DOE25'!L363-'DOE25'!L362</f>
        <v>1957223.46</v>
      </c>
      <c r="F17" s="238" t="s">
        <v>1580</v>
      </c>
    </row>
    <row r="18" spans="1:6" ht="15" x14ac:dyDescent="0.2">
      <c r="A18" s="238" t="s">
        <v>1567</v>
      </c>
      <c r="B18" s="251"/>
      <c r="F18" s="247" t="s">
        <v>1604</v>
      </c>
    </row>
    <row r="19" spans="1:6" ht="18" x14ac:dyDescent="0.25">
      <c r="A19" s="240" t="s">
        <v>725</v>
      </c>
      <c r="B19" s="242">
        <f>SUM(B17:B18)</f>
        <v>1957223.46</v>
      </c>
    </row>
    <row r="21" spans="1:6" ht="18.75" thickBot="1" x14ac:dyDescent="0.3">
      <c r="A21" s="240" t="s">
        <v>1568</v>
      </c>
    </row>
    <row r="22" spans="1:6" ht="18.75" thickTop="1" x14ac:dyDescent="0.25">
      <c r="A22" s="240" t="s">
        <v>1569</v>
      </c>
      <c r="B22" s="246">
        <f>B14-B19</f>
        <v>-68995.100000000093</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703730.23</v>
      </c>
      <c r="F31" s="238" t="s">
        <v>1584</v>
      </c>
    </row>
    <row r="33" spans="1:6" ht="15" x14ac:dyDescent="0.2">
      <c r="A33" s="238" t="s">
        <v>1798</v>
      </c>
      <c r="B33" s="241">
        <f>'DOE25'!G477</f>
        <v>634735.12999999989</v>
      </c>
      <c r="F33" s="238" t="s">
        <v>1585</v>
      </c>
    </row>
    <row r="36" spans="1:6" ht="15" x14ac:dyDescent="0.2">
      <c r="A36" s="238" t="s">
        <v>1571</v>
      </c>
      <c r="B36" s="252">
        <v>90585.17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Keene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13847797.85</v>
      </c>
      <c r="C9" s="167">
        <f>'DOE25'!G198+'DOE25'!G216+'DOE25'!G234+'DOE25'!G277+'DOE25'!G296+'DOE25'!G315</f>
        <v>7266901.4900000012</v>
      </c>
    </row>
    <row r="10" spans="1:3" x14ac:dyDescent="0.2">
      <c r="A10" t="s">
        <v>775</v>
      </c>
      <c r="B10" s="177">
        <v>12374604.300000001</v>
      </c>
      <c r="C10" s="177">
        <v>6895154.8099999996</v>
      </c>
    </row>
    <row r="11" spans="1:3" x14ac:dyDescent="0.2">
      <c r="A11" t="s">
        <v>776</v>
      </c>
      <c r="B11" s="177">
        <v>538893.84</v>
      </c>
      <c r="C11" s="177">
        <v>300272.75</v>
      </c>
    </row>
    <row r="12" spans="1:3" x14ac:dyDescent="0.2">
      <c r="A12" t="s">
        <v>777</v>
      </c>
      <c r="B12" s="177">
        <v>934299.71</v>
      </c>
      <c r="C12" s="177">
        <v>71473.929999999993</v>
      </c>
    </row>
    <row r="13" spans="1:3" x14ac:dyDescent="0.2">
      <c r="A13" t="str">
        <f>IF(B9=B13,IF(C9=C13,"Check Total OK","Check Total Error"),"Check Total Error")</f>
        <v>Check Total OK</v>
      </c>
      <c r="B13" s="169">
        <f>SUM(B10:B12)</f>
        <v>13847797.850000001</v>
      </c>
      <c r="C13" s="169">
        <f>SUM(C10:C12)</f>
        <v>7266901.4899999993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5501144.0599999996</v>
      </c>
      <c r="C18" s="167">
        <f>'DOE25'!G199+'DOE25'!G217+'DOE25'!G235+'DOE25'!G278+'DOE25'!G297+'DOE25'!G316</f>
        <v>2708861.3600000008</v>
      </c>
    </row>
    <row r="19" spans="1:3" x14ac:dyDescent="0.2">
      <c r="A19" t="s">
        <v>775</v>
      </c>
      <c r="B19" s="177">
        <v>3183789.72</v>
      </c>
      <c r="C19" s="177">
        <v>1804640.98</v>
      </c>
    </row>
    <row r="20" spans="1:3" x14ac:dyDescent="0.2">
      <c r="A20" t="s">
        <v>776</v>
      </c>
      <c r="B20" s="177">
        <v>1482583.45</v>
      </c>
      <c r="C20" s="177">
        <v>840360.41</v>
      </c>
    </row>
    <row r="21" spans="1:3" x14ac:dyDescent="0.2">
      <c r="A21" t="s">
        <v>777</v>
      </c>
      <c r="B21" s="177">
        <v>834770.89</v>
      </c>
      <c r="C21" s="177">
        <v>63859.97</v>
      </c>
    </row>
    <row r="22" spans="1:3" x14ac:dyDescent="0.2">
      <c r="A22" t="str">
        <f>IF(B18=B22,IF(C18=C22,"Check Total OK","Check Total Error"),"Check Total Error")</f>
        <v>Check Total OK</v>
      </c>
      <c r="B22" s="169">
        <f>SUM(B19:B21)</f>
        <v>5501144.0599999996</v>
      </c>
      <c r="C22" s="169">
        <f>SUM(C19:C21)</f>
        <v>2708861.3600000003</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826677.86</v>
      </c>
      <c r="C27" s="172">
        <f>'DOE25'!G200+'DOE25'!G218+'DOE25'!G236+'DOE25'!G279+'DOE25'!G298+'DOE25'!G317</f>
        <v>407223.00999999995</v>
      </c>
    </row>
    <row r="28" spans="1:3" x14ac:dyDescent="0.2">
      <c r="A28" t="s">
        <v>775</v>
      </c>
      <c r="B28" s="177">
        <v>778557.35</v>
      </c>
      <c r="C28" s="177">
        <v>383518.76</v>
      </c>
    </row>
    <row r="29" spans="1:3" x14ac:dyDescent="0.2">
      <c r="A29" t="s">
        <v>776</v>
      </c>
      <c r="B29" s="177">
        <v>48120.51</v>
      </c>
      <c r="C29" s="177">
        <v>23704.25</v>
      </c>
    </row>
    <row r="30" spans="1:3" x14ac:dyDescent="0.2">
      <c r="A30" t="s">
        <v>777</v>
      </c>
      <c r="B30" s="177">
        <v>0</v>
      </c>
      <c r="C30" s="177">
        <v>0</v>
      </c>
    </row>
    <row r="31" spans="1:3" x14ac:dyDescent="0.2">
      <c r="A31" t="str">
        <f>IF(B27=B31,IF(C27=C31,"Check Total OK","Check Total Error"),"Check Total Error")</f>
        <v>Check Total OK</v>
      </c>
      <c r="B31" s="169">
        <f>SUM(B28:B30)</f>
        <v>826677.86</v>
      </c>
      <c r="C31" s="169">
        <f>SUM(C28:C30)</f>
        <v>407223.01</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500771.72</v>
      </c>
      <c r="C36" s="173">
        <f>'DOE25'!G201+'DOE25'!G219+'DOE25'!G237+'DOE25'!G280+'DOE25'!G299+'DOE25'!G318</f>
        <v>113685.11999999998</v>
      </c>
    </row>
    <row r="37" spans="1:3" x14ac:dyDescent="0.2">
      <c r="A37" t="s">
        <v>775</v>
      </c>
      <c r="B37" s="177">
        <v>352539.24</v>
      </c>
      <c r="C37" s="177">
        <v>80033.41</v>
      </c>
    </row>
    <row r="38" spans="1:3" x14ac:dyDescent="0.2">
      <c r="A38" t="s">
        <v>776</v>
      </c>
      <c r="B38" s="177">
        <v>32950.35</v>
      </c>
      <c r="C38" s="177">
        <v>7480.38</v>
      </c>
    </row>
    <row r="39" spans="1:3" x14ac:dyDescent="0.2">
      <c r="A39" t="s">
        <v>777</v>
      </c>
      <c r="B39" s="177">
        <v>115282.13</v>
      </c>
      <c r="C39" s="177">
        <v>26171.33</v>
      </c>
    </row>
    <row r="40" spans="1:3" x14ac:dyDescent="0.2">
      <c r="A40" t="str">
        <f>IF(B36=B40,IF(C36=C40,"Check Total OK","Check Total Error"),"Check Total Error")</f>
        <v>Check Total OK</v>
      </c>
      <c r="B40" s="169">
        <f>SUM(B37:B39)</f>
        <v>500771.72</v>
      </c>
      <c r="C40" s="169">
        <f>SUM(C37:C39)</f>
        <v>113685.12000000001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Keene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35189159.079999998</v>
      </c>
      <c r="D5" s="19">
        <f>SUM('DOE25'!L198:L201)+SUM('DOE25'!L216:L219)+SUM('DOE25'!L234:L237)-F5-G5-H5</f>
        <v>34949612.379999995</v>
      </c>
      <c r="E5" s="180"/>
      <c r="F5" s="181">
        <v>41251.449999999997</v>
      </c>
      <c r="G5" s="19">
        <f>SUM('DOE25'!J198:J201)+SUM('DOE25'!J216:J219)+SUM('DOE25'!J234:J237)</f>
        <v>151443.12</v>
      </c>
      <c r="H5" s="19">
        <f>SUM('DOE25'!K198:K201)+SUM('DOE25'!K216:K219)+SUM('DOE25'!K234:K237)</f>
        <v>46852.130000000005</v>
      </c>
      <c r="I5" s="192"/>
    </row>
    <row r="6" spans="1:9" x14ac:dyDescent="0.2">
      <c r="A6" s="31">
        <v>2100</v>
      </c>
      <c r="B6" t="s">
        <v>796</v>
      </c>
      <c r="C6" s="206">
        <f t="shared" si="0"/>
        <v>5595591.9799999995</v>
      </c>
      <c r="D6" s="19">
        <f>'DOE25'!L203+'DOE25'!L221+'DOE25'!L239-F6-G6-H6</f>
        <v>5302292.8699999992</v>
      </c>
      <c r="E6" s="180"/>
      <c r="F6" s="181">
        <v>288916.5</v>
      </c>
      <c r="G6" s="19">
        <f>'DOE25'!J203+'DOE25'!J221+'DOE25'!J239</f>
        <v>2103.61</v>
      </c>
      <c r="H6" s="19">
        <f>'DOE25'!K203+'DOE25'!K221+'DOE25'!K239</f>
        <v>2279</v>
      </c>
      <c r="I6" s="192"/>
    </row>
    <row r="7" spans="1:9" x14ac:dyDescent="0.2">
      <c r="A7" s="31">
        <v>2200</v>
      </c>
      <c r="B7" t="s">
        <v>820</v>
      </c>
      <c r="C7" s="206">
        <f t="shared" si="0"/>
        <v>1205851.4500000002</v>
      </c>
      <c r="D7" s="19">
        <f>'DOE25'!L204+'DOE25'!L222+'DOE25'!L240-F7-G7-H7</f>
        <v>1033827.9100000001</v>
      </c>
      <c r="E7" s="180"/>
      <c r="F7" s="181">
        <v>155737.5</v>
      </c>
      <c r="G7" s="19">
        <f>'DOE25'!J204+'DOE25'!J222+'DOE25'!J240</f>
        <v>12816.29</v>
      </c>
      <c r="H7" s="19">
        <f>'DOE25'!K204+'DOE25'!K222+'DOE25'!K240</f>
        <v>3469.75</v>
      </c>
      <c r="I7" s="192"/>
    </row>
    <row r="8" spans="1:9" x14ac:dyDescent="0.2">
      <c r="A8" s="31">
        <v>2300</v>
      </c>
      <c r="B8" t="s">
        <v>797</v>
      </c>
      <c r="C8" s="206">
        <f t="shared" si="0"/>
        <v>2745398.78</v>
      </c>
      <c r="D8" s="180"/>
      <c r="E8" s="19">
        <f>'DOE25'!L205+'DOE25'!L223+'DOE25'!L241-F8-G8-H8-D9-D11</f>
        <v>2688642.8099999996</v>
      </c>
      <c r="F8" s="181"/>
      <c r="G8" s="19">
        <f>'DOE25'!J205+'DOE25'!J223+'DOE25'!J241</f>
        <v>0</v>
      </c>
      <c r="H8" s="19">
        <f>'DOE25'!K205+'DOE25'!K223+'DOE25'!K241</f>
        <v>56755.969999999994</v>
      </c>
      <c r="I8" s="192"/>
    </row>
    <row r="9" spans="1:9" ht="14.25" x14ac:dyDescent="0.2">
      <c r="A9" s="31">
        <v>2310</v>
      </c>
      <c r="B9" s="71" t="s">
        <v>887</v>
      </c>
      <c r="C9" s="206">
        <f t="shared" si="0"/>
        <v>121204.96</v>
      </c>
      <c r="D9" s="181">
        <v>121204.96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721756</v>
      </c>
      <c r="D11" s="181">
        <v>721756</v>
      </c>
      <c r="E11" s="180"/>
      <c r="F11" s="180"/>
      <c r="G11" s="180"/>
      <c r="H11" s="180"/>
      <c r="I11" s="192"/>
    </row>
    <row r="12" spans="1:9" x14ac:dyDescent="0.2">
      <c r="A12" s="31">
        <v>2400</v>
      </c>
      <c r="B12" t="s">
        <v>711</v>
      </c>
      <c r="C12" s="206">
        <f t="shared" si="0"/>
        <v>3358437.42</v>
      </c>
      <c r="D12" s="19">
        <f>'DOE25'!L206+'DOE25'!L224+'DOE25'!L242-F12-G12-H12</f>
        <v>3292849.0700000003</v>
      </c>
      <c r="E12" s="180"/>
      <c r="F12" s="181">
        <v>2540.96</v>
      </c>
      <c r="G12" s="19">
        <f>'DOE25'!J206+'DOE25'!J224+'DOE25'!J242</f>
        <v>44542.03</v>
      </c>
      <c r="H12" s="19">
        <f>'DOE25'!K206+'DOE25'!K224+'DOE25'!K242</f>
        <v>18505.36</v>
      </c>
      <c r="I12" s="192"/>
    </row>
    <row r="13" spans="1:9" x14ac:dyDescent="0.2">
      <c r="A13" s="31">
        <v>2500</v>
      </c>
      <c r="B13" t="s">
        <v>798</v>
      </c>
      <c r="C13" s="206">
        <f t="shared" si="0"/>
        <v>30700</v>
      </c>
      <c r="D13" s="180"/>
      <c r="E13" s="19">
        <f>'DOE25'!L207+'DOE25'!L225+'DOE25'!L243-F13-G13-H13</f>
        <v>25000</v>
      </c>
      <c r="F13" s="181">
        <v>5000</v>
      </c>
      <c r="G13" s="19">
        <f>'DOE25'!J207+'DOE25'!J225+'DOE25'!J243</f>
        <v>0</v>
      </c>
      <c r="H13" s="19">
        <f>'DOE25'!K207+'DOE25'!K225+'DOE25'!K243</f>
        <v>700</v>
      </c>
      <c r="I13" s="192"/>
    </row>
    <row r="14" spans="1:9" x14ac:dyDescent="0.2">
      <c r="A14" s="31">
        <v>2600</v>
      </c>
      <c r="B14" t="s">
        <v>818</v>
      </c>
      <c r="C14" s="206">
        <f t="shared" si="0"/>
        <v>5490150.5</v>
      </c>
      <c r="D14" s="19">
        <f>'DOE25'!L208+'DOE25'!L226+'DOE25'!L244-F14-G14-H14</f>
        <v>4631947.6500000004</v>
      </c>
      <c r="E14" s="180"/>
      <c r="F14" s="181">
        <v>453113.72</v>
      </c>
      <c r="G14" s="19">
        <f>'DOE25'!J208+'DOE25'!J226+'DOE25'!J244</f>
        <v>375162.29</v>
      </c>
      <c r="H14" s="19">
        <f>'DOE25'!K208+'DOE25'!K226+'DOE25'!K244</f>
        <v>29926.84</v>
      </c>
      <c r="I14" s="192"/>
    </row>
    <row r="15" spans="1:9" x14ac:dyDescent="0.2">
      <c r="A15" s="31">
        <v>2700</v>
      </c>
      <c r="B15" t="s">
        <v>799</v>
      </c>
      <c r="C15" s="206">
        <f t="shared" si="0"/>
        <v>2135009.39</v>
      </c>
      <c r="D15" s="19">
        <f>'DOE25'!L209+'DOE25'!L227+'DOE25'!L245-F15-G15-H15</f>
        <v>732884.4700000002</v>
      </c>
      <c r="E15" s="180"/>
      <c r="F15" s="181">
        <v>1400075.92</v>
      </c>
      <c r="G15" s="19">
        <f>'DOE25'!J209+'DOE25'!J227+'DOE25'!J245</f>
        <v>0</v>
      </c>
      <c r="H15" s="19">
        <f>'DOE25'!K209+'DOE25'!K227+'DOE25'!K245</f>
        <v>2049</v>
      </c>
      <c r="I15" s="192"/>
    </row>
    <row r="16" spans="1:9" x14ac:dyDescent="0.2">
      <c r="A16" s="31">
        <v>2800</v>
      </c>
      <c r="B16" t="s">
        <v>800</v>
      </c>
      <c r="C16" s="206">
        <f t="shared" si="0"/>
        <v>1332094.8700000001</v>
      </c>
      <c r="D16" s="180"/>
      <c r="E16" s="19">
        <f>'DOE25'!L210+'DOE25'!L228+'DOE25'!L246-F16-G16-H16</f>
        <v>479028.06000000006</v>
      </c>
      <c r="F16" s="181"/>
      <c r="G16" s="19">
        <f>'DOE25'!J210+'DOE25'!J228+'DOE25'!J246</f>
        <v>853066.81</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2400</v>
      </c>
      <c r="D19" s="19">
        <f>'DOE25'!L254-F19-G19-H19</f>
        <v>2400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5595642.6799999997</v>
      </c>
      <c r="D22" s="180"/>
      <c r="E22" s="180"/>
      <c r="F22" s="180"/>
      <c r="G22" s="19">
        <f>'DOE25'!L256+'DOE25'!L337</f>
        <v>5595642.6799999997</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2299375.5</v>
      </c>
      <c r="D25" s="180"/>
      <c r="E25" s="180"/>
      <c r="F25" s="191"/>
      <c r="G25" s="180"/>
      <c r="H25" s="180"/>
      <c r="I25" s="190">
        <f>'DOE25'!L261+'DOE25'!L262+'DOE25'!L342+'DOE25'!L343</f>
        <v>2299375.5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1028669.97</v>
      </c>
      <c r="D29" s="212">
        <f>'DOE25'!L359+'DOE25'!L360+'DOE25'!L361-'DOE25'!I368-F29-G29-H29-F39</f>
        <v>953375.49</v>
      </c>
      <c r="E29" s="180"/>
      <c r="F29" s="180"/>
      <c r="G29" s="19">
        <f>'DOE25'!J359+'DOE25'!J360+'DOE25'!J361</f>
        <v>73474.09</v>
      </c>
      <c r="H29" s="19">
        <f>'DOE25'!K359+'DOE25'!K360+'DOE25'!K361</f>
        <v>1820.39</v>
      </c>
      <c r="I29" s="192"/>
    </row>
    <row r="30" spans="1:9" x14ac:dyDescent="0.2">
      <c r="A30" s="31"/>
      <c r="C30" s="207"/>
      <c r="D30" s="19"/>
      <c r="F30" s="201"/>
      <c r="G30" s="19"/>
      <c r="H30" s="19"/>
      <c r="I30" s="192"/>
    </row>
    <row r="31" spans="1:9" x14ac:dyDescent="0.2">
      <c r="A31" s="31" t="s">
        <v>817</v>
      </c>
      <c r="B31" t="s">
        <v>816</v>
      </c>
      <c r="C31" s="206">
        <f>SUM(D31:I31)</f>
        <v>3469440.28</v>
      </c>
      <c r="D31" s="19">
        <f>'DOE25'!L291+'DOE25'!L310+'DOE25'!L329+'DOE25'!L334+'DOE25'!L335+'DOE25'!L336-F31-G31-H31</f>
        <v>2894861.21</v>
      </c>
      <c r="E31" s="180"/>
      <c r="F31" s="181"/>
      <c r="G31" s="19">
        <f>'DOE25'!J291+'DOE25'!J310+'DOE25'!J329+'DOE25'!J334+'DOE25'!J335+'DOE25'!J336</f>
        <v>328142.76999999996</v>
      </c>
      <c r="H31" s="19">
        <f>'DOE25'!K291+'DOE25'!K310+'DOE25'!K329+'DOE25'!K334+'DOE25'!K335+'DOE25'!K336</f>
        <v>246436.30000000002</v>
      </c>
      <c r="I31" s="192"/>
    </row>
    <row r="32" spans="1:9" ht="12" thickBot="1" x14ac:dyDescent="0.25">
      <c r="C32" s="207"/>
      <c r="G32" s="188"/>
      <c r="H32" s="188"/>
      <c r="I32" s="194"/>
    </row>
    <row r="33" spans="1:9" ht="12" thickTop="1" x14ac:dyDescent="0.2">
      <c r="B33" t="s">
        <v>809</v>
      </c>
      <c r="D33" s="182">
        <f t="shared" ref="D33:I33" si="1">SUM(D5:D31)</f>
        <v>54637012.009999998</v>
      </c>
      <c r="E33" s="182">
        <f t="shared" si="1"/>
        <v>3192670.8699999996</v>
      </c>
      <c r="F33" s="182">
        <f t="shared" si="1"/>
        <v>2346636.0499999998</v>
      </c>
      <c r="G33" s="182">
        <f t="shared" si="1"/>
        <v>7436393.6899999995</v>
      </c>
      <c r="H33" s="182">
        <f t="shared" si="1"/>
        <v>408794.74000000005</v>
      </c>
      <c r="I33" s="182">
        <f t="shared" si="1"/>
        <v>2299375.5</v>
      </c>
    </row>
    <row r="34" spans="1:9" ht="12" thickBot="1" x14ac:dyDescent="0.25"/>
    <row r="35" spans="1:9" ht="12" thickBot="1" x14ac:dyDescent="0.25">
      <c r="B35" s="188" t="s">
        <v>830</v>
      </c>
      <c r="D35" s="189">
        <f>E33</f>
        <v>3192670.8699999996</v>
      </c>
      <c r="E35" s="185"/>
      <c r="F35" s="295" t="s">
        <v>1608</v>
      </c>
      <c r="G35" s="296"/>
      <c r="H35" s="296"/>
      <c r="I35" s="297"/>
    </row>
    <row r="36" spans="1:9" ht="12" thickTop="1" x14ac:dyDescent="0.2">
      <c r="B36" t="s">
        <v>810</v>
      </c>
      <c r="D36" s="19">
        <f>D33</f>
        <v>54637012.009999998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5" zoomScale="90" zoomScaleNormal="9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Keene</v>
      </c>
      <c r="B2">
        <f>'DOE25'!B2</f>
        <v>279</v>
      </c>
      <c r="J2" s="224" t="s">
        <v>1808</v>
      </c>
      <c r="K2" s="309">
        <f>SUM('DOE25'!L198:L201)+SUM('DOE25'!L216:L219)+SUM('DOE25'!L234:L237)+SUM('DOE25'!L277:L280)+SUM('DOE25'!L296:L299)+SUM('DOE25'!L315:L318)</f>
        <v>36567866.599999994</v>
      </c>
      <c r="L2" s="309">
        <f>'DOE25'!L203+'DOE25'!L221+'DOE25'!L239+'DOE25'!L282+'DOE25'!L301+'DOE25'!L320</f>
        <v>6057567.1899999985</v>
      </c>
      <c r="M2" s="309">
        <f>'DOE25'!L204+'DOE25'!L222+'DOE25'!L240+'DOE25'!L283+'DOE25'!L302+'DOE25'!L321</f>
        <v>1959166.7800000003</v>
      </c>
      <c r="N2" s="309">
        <f>'DOE25'!L206+'DOE25'!L224+'DOE25'!L242+'DOE25'!L285+'DOE25'!L304+'DOE25'!L323</f>
        <v>3416722.78</v>
      </c>
      <c r="O2" s="309">
        <f>'Salaries-Benefits'!B10+'Salaries-Benefits'!B12+'Salaries-Benefits'!B19+'Salaries-Benefits'!B21+'Salaries-Benefits'!B28+'Salaries-Benefits'!B30+'Salaries-Benefits'!B37+'Salaries-Benefits'!B39</f>
        <v>18573843.34</v>
      </c>
      <c r="P2" s="309">
        <f>'Salaries-Benefits'!B11+'Salaries-Benefits'!B20+'Salaries-Benefits'!B29+'Salaries-Benefits'!B38</f>
        <v>2102548.15</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-36567866.599999994</v>
      </c>
      <c r="L3" s="311">
        <f t="shared" ref="L3:P3" si="0">L21+L33+L43-L2</f>
        <v>-6057567.1899999985</v>
      </c>
      <c r="M3" s="311">
        <f t="shared" si="0"/>
        <v>-1959166.7800000003</v>
      </c>
      <c r="N3" s="311">
        <f t="shared" si="0"/>
        <v>-3416722.78</v>
      </c>
      <c r="O3" s="311">
        <f t="shared" si="0"/>
        <v>-18573843.34</v>
      </c>
      <c r="P3" s="311">
        <f t="shared" si="0"/>
        <v>-2102548.15</v>
      </c>
      <c r="Q3" s="310"/>
      <c r="R3" s="306"/>
      <c r="S3" s="215"/>
      <c r="T3" s="215"/>
      <c r="U3" s="216"/>
    </row>
    <row r="4" spans="1:21" ht="55.5" customHeight="1" thickBot="1" x14ac:dyDescent="0.25">
      <c r="A4" s="224" t="s">
        <v>1522</v>
      </c>
      <c r="B4" s="224" t="s">
        <v>1523</v>
      </c>
      <c r="C4" s="224" t="s">
        <v>896</v>
      </c>
      <c r="D4" s="224" t="s">
        <v>786</v>
      </c>
      <c r="E4" s="224" t="s">
        <v>786</v>
      </c>
      <c r="F4" s="228">
        <f>SUM(F5:F20)</f>
        <v>23328170.2421</v>
      </c>
      <c r="G4" s="229">
        <f>'DOE25'!L212+'DOE25'!L291</f>
        <v>23328170.2421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Franklin Elementary School</v>
      </c>
      <c r="B6" s="230">
        <f>IFERROR(VLOOKUP(A6,'School Tables'!$C$3:$D$365,2,FALSE),"")</f>
        <v>21190</v>
      </c>
      <c r="C6" s="223" t="str">
        <f>IFERROR(INDEX('School Tables'!$B$3:$B$365,MATCH('School Level Expenditures'!B6,'School Tables'!$D$3:$D$365,0)),"")</f>
        <v>Keene</v>
      </c>
      <c r="D6" s="220">
        <v>4324173.3770436654</v>
      </c>
      <c r="E6" s="220">
        <v>637069.30114880158</v>
      </c>
      <c r="F6" s="232">
        <f t="shared" ref="F6:F20" si="1">D6+E6</f>
        <v>4961242.6781924665</v>
      </c>
      <c r="G6" s="223"/>
      <c r="H6" s="223"/>
      <c r="J6" t="str">
        <f>A6</f>
        <v>Franklin Elementary School</v>
      </c>
      <c r="K6" s="20"/>
      <c r="L6" s="20"/>
      <c r="M6" s="308"/>
      <c r="N6" s="20"/>
      <c r="O6" s="20"/>
      <c r="P6" s="20"/>
      <c r="Q6" s="20"/>
    </row>
    <row r="7" spans="1:21" x14ac:dyDescent="0.2">
      <c r="A7" t="str" cm="1">
        <f t="array" ref="A7">IFERROR(INDEX('School Tables'!$A$4:$G$325,'School Tables'!$J5,3),"")</f>
        <v>Fuller Elementary School</v>
      </c>
      <c r="B7" s="230">
        <f>IFERROR(VLOOKUP(A7,'School Tables'!$C$3:$D$365,2,FALSE),"")</f>
        <v>21165</v>
      </c>
      <c r="C7" s="223" t="str">
        <f>IFERROR(INDEX('School Tables'!$B$3:$B$365,MATCH('School Level Expenditures'!B7,'School Tables'!$D$3:$D$365,0)),"")</f>
        <v>Keene</v>
      </c>
      <c r="D7" s="220">
        <v>5976058.6186600439</v>
      </c>
      <c r="E7" s="220">
        <v>990529.89667791524</v>
      </c>
      <c r="F7" s="232">
        <f t="shared" si="1"/>
        <v>6966588.5153379589</v>
      </c>
      <c r="G7" s="223"/>
      <c r="H7" s="223"/>
      <c r="J7" t="str">
        <f t="shared" ref="J7:J20" si="2">A7</f>
        <v>Fuller Elementary School</v>
      </c>
      <c r="K7" s="20"/>
      <c r="L7" s="20"/>
      <c r="M7" s="308"/>
      <c r="N7" s="20"/>
      <c r="O7" s="20"/>
      <c r="P7" s="20"/>
      <c r="Q7" s="20"/>
    </row>
    <row r="8" spans="1:21" x14ac:dyDescent="0.2">
      <c r="A8" t="str" cm="1">
        <f t="array" ref="A8">IFERROR(INDEX('School Tables'!$A$4:$G$325,'School Tables'!$J6,3),"")</f>
        <v>Jonathan Daniels School</v>
      </c>
      <c r="B8" s="230">
        <f>IFERROR(VLOOKUP(A8,'School Tables'!$C$3:$D$365,2,FALSE),"")</f>
        <v>29180</v>
      </c>
      <c r="C8" s="223" t="str">
        <f>IFERROR(INDEX('School Tables'!$B$3:$B$365,MATCH('School Level Expenditures'!B8,'School Tables'!$D$3:$D$365,0)),"")</f>
        <v>Keene</v>
      </c>
      <c r="D8" s="220">
        <v>676331.46006490313</v>
      </c>
      <c r="E8" s="220">
        <v>66434.539819601894</v>
      </c>
      <c r="F8" s="232">
        <f t="shared" si="1"/>
        <v>742765.99988450506</v>
      </c>
      <c r="G8" s="223"/>
      <c r="H8" s="223"/>
      <c r="J8" t="str">
        <f t="shared" si="2"/>
        <v>Jonathan Daniels School</v>
      </c>
      <c r="K8" s="20"/>
      <c r="L8" s="20"/>
      <c r="M8" s="308"/>
      <c r="N8" s="20"/>
      <c r="O8" s="20"/>
      <c r="P8" s="20"/>
      <c r="Q8" s="20"/>
    </row>
    <row r="9" spans="1:21" x14ac:dyDescent="0.2">
      <c r="A9" t="str" cm="1">
        <f t="array" ref="A9">IFERROR(INDEX('School Tables'!$A$4:$G$325,'School Tables'!$J7,3),"")</f>
        <v>Symonds Elementary School</v>
      </c>
      <c r="B9" s="230">
        <f>IFERROR(VLOOKUP(A9,'School Tables'!$C$3:$D$365,2,FALSE),"")</f>
        <v>21170</v>
      </c>
      <c r="C9" s="223" t="str">
        <f>IFERROR(INDEX('School Tables'!$B$3:$B$365,MATCH('School Level Expenditures'!B9,'School Tables'!$D$3:$D$365,0)),"")</f>
        <v>Keene</v>
      </c>
      <c r="D9" s="220">
        <v>5593985.2653659759</v>
      </c>
      <c r="E9" s="220">
        <v>920489.89575437084</v>
      </c>
      <c r="F9" s="232">
        <f t="shared" si="1"/>
        <v>6514475.1611203467</v>
      </c>
      <c r="G9" s="223"/>
      <c r="H9" s="223"/>
      <c r="J9" t="str">
        <f t="shared" si="2"/>
        <v>Symonds Elementary School</v>
      </c>
      <c r="K9" s="20"/>
      <c r="L9" s="20"/>
      <c r="M9" s="308"/>
      <c r="N9" s="20"/>
      <c r="O9" s="20"/>
      <c r="P9" s="20"/>
      <c r="Q9" s="20"/>
    </row>
    <row r="10" spans="1:21" x14ac:dyDescent="0.2">
      <c r="A10" t="str" cm="1">
        <f t="array" ref="A10">IFERROR(INDEX('School Tables'!$A$4:$G$325,'School Tables'!$J8,3),"")</f>
        <v>Wheelock Elementary School</v>
      </c>
      <c r="B10" s="230">
        <f>IFERROR(VLOOKUP(A10,'School Tables'!$C$3:$D$365,2,FALSE),"")</f>
        <v>21200</v>
      </c>
      <c r="C10" s="223" t="str">
        <f>IFERROR(INDEX('School Tables'!$B$3:$B$365,MATCH('School Level Expenditures'!B10,'School Tables'!$D$3:$D$365,0)),"")</f>
        <v>Keene</v>
      </c>
      <c r="D10" s="220">
        <v>3587073.081665413</v>
      </c>
      <c r="E10" s="220">
        <v>556024.80589931086</v>
      </c>
      <c r="F10" s="232">
        <f t="shared" si="1"/>
        <v>4143097.8875647238</v>
      </c>
      <c r="G10" s="223"/>
      <c r="H10" s="223"/>
      <c r="J10" t="str">
        <f t="shared" si="2"/>
        <v>Wheelock Elementary School</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20157621.8028</v>
      </c>
      <c r="E21" s="262">
        <f>SUM(E5:E20)</f>
        <v>3170548.4393000007</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12825388.376</v>
      </c>
      <c r="G24" s="229">
        <f>'DOE25'!L230+'DOE25'!L310</f>
        <v>12825388.376</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Keene Middle School</v>
      </c>
      <c r="B26" s="230">
        <f>IFERROR(VLOOKUP(A26,'School Tables'!$N$4:$O$75,2,FALSE),"")</f>
        <v>21185</v>
      </c>
      <c r="C26" s="223" t="str">
        <f>IFERROR(INDEX('School Tables'!$M$4:$M$75,MATCH('School Level Expenditures'!A26,'School Tables'!$N$4:$N$75,0)),"")</f>
        <v>Keene</v>
      </c>
      <c r="D26" s="220">
        <v>12482440.818</v>
      </c>
      <c r="E26" s="220">
        <v>342947.55800000002</v>
      </c>
      <c r="F26" s="232">
        <f t="shared" ref="F26:F32" si="4">D26+E26</f>
        <v>12825388.376</v>
      </c>
      <c r="G26" s="223"/>
      <c r="H26" s="223"/>
      <c r="J26" t="str">
        <f t="shared" ref="J26:J32" si="5">A26</f>
        <v>Keene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12482440.818</v>
      </c>
      <c r="E33" s="262">
        <f>SUM(E25:E32)</f>
        <v>342947.55800000002</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24871173.3127</v>
      </c>
      <c r="G36" s="229">
        <f>'DOE25'!L248+'DOE25'!L329</f>
        <v>24871173.311899994</v>
      </c>
      <c r="H36" s="264">
        <f>F36-G36</f>
        <v>8.0000609159469604E-4</v>
      </c>
      <c r="I36" s="313"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Keene High School</v>
      </c>
      <c r="B38" s="230">
        <f>IFERROR(VLOOKUP(A38,'School Tables'!$Y$4:$Z$100,2,FALSE),"")</f>
        <v>21195</v>
      </c>
      <c r="C38" s="223" t="str">
        <f>IFERROR(INDEX('School Tables'!$X$4:$X$100,MATCH('School Level Expenditures'!A38,'School Tables'!$Y$4:$Y$100,0)),"")</f>
        <v>Keene</v>
      </c>
      <c r="D38" s="220">
        <v>23850825.800000001</v>
      </c>
      <c r="E38" s="220">
        <v>1020347.5127000001</v>
      </c>
      <c r="F38" s="232">
        <f t="shared" si="7"/>
        <v>24871173.3127</v>
      </c>
      <c r="G38" s="223"/>
      <c r="H38" s="223"/>
      <c r="J38" t="str">
        <f t="shared" ref="J38:J42" si="8">A38</f>
        <v>Keene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23850825.800000001</v>
      </c>
      <c r="E43" s="263">
        <f>SUM(E37:E42)</f>
        <v>1020347.5127000001</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Keene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7622996.6699999999</v>
      </c>
      <c r="D8" s="73">
        <f>'DOE25'!G9</f>
        <v>601265.30000000005</v>
      </c>
      <c r="E8" s="73">
        <f>'DOE25'!H9</f>
        <v>127935.76</v>
      </c>
      <c r="F8" s="73">
        <f>'DOE25'!I9</f>
        <v>0</v>
      </c>
      <c r="G8" s="73">
        <f>'DOE25'!J9</f>
        <v>0</v>
      </c>
      <c r="H8" s="13">
        <f>SUM(C8:G8)</f>
        <v>8352197.7299999995</v>
      </c>
      <c r="I8" s="90"/>
    </row>
    <row r="9" spans="1:9" x14ac:dyDescent="0.2">
      <c r="A9" s="1" t="s">
        <v>140</v>
      </c>
      <c r="B9" s="6">
        <v>110</v>
      </c>
      <c r="C9" s="73">
        <f>'DOE25'!F10</f>
        <v>1493102.73</v>
      </c>
      <c r="D9" s="73">
        <f>'DOE25'!G10</f>
        <v>0</v>
      </c>
      <c r="E9" s="73">
        <f>'DOE25'!H10</f>
        <v>0</v>
      </c>
      <c r="F9" s="73">
        <f>'DOE25'!I10</f>
        <v>0</v>
      </c>
      <c r="G9" s="73">
        <f>'DOE25'!J10</f>
        <v>1587346.63</v>
      </c>
      <c r="H9" s="13">
        <f t="shared" ref="H9:H18" si="0">SUM(C9:G9)</f>
        <v>3080449.36</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334329.14</v>
      </c>
      <c r="D11" s="73">
        <f>'DOE25'!G12</f>
        <v>0</v>
      </c>
      <c r="E11" s="73">
        <f>'DOE25'!H12</f>
        <v>0</v>
      </c>
      <c r="F11" s="73">
        <f>'DOE25'!I12</f>
        <v>0</v>
      </c>
      <c r="G11" s="73">
        <f>'DOE25'!J12</f>
        <v>0</v>
      </c>
      <c r="H11" s="13">
        <f t="shared" si="0"/>
        <v>334329.14</v>
      </c>
      <c r="I11" s="90"/>
    </row>
    <row r="12" spans="1:9" x14ac:dyDescent="0.2">
      <c r="A12" s="1" t="s">
        <v>143</v>
      </c>
      <c r="B12" s="6">
        <v>140</v>
      </c>
      <c r="C12" s="73">
        <f>'DOE25'!F13</f>
        <v>519551.53</v>
      </c>
      <c r="D12" s="73">
        <f>'DOE25'!G13</f>
        <v>63533.33</v>
      </c>
      <c r="E12" s="73">
        <f>'DOE25'!H13</f>
        <v>356267.92</v>
      </c>
      <c r="F12" s="73">
        <f>'DOE25'!I13</f>
        <v>0</v>
      </c>
      <c r="G12" s="73">
        <f>'DOE25'!J13</f>
        <v>0</v>
      </c>
      <c r="H12" s="13">
        <f t="shared" si="0"/>
        <v>939352.78</v>
      </c>
      <c r="I12" s="90"/>
    </row>
    <row r="13" spans="1:9" x14ac:dyDescent="0.2">
      <c r="A13" s="1" t="s">
        <v>144</v>
      </c>
      <c r="B13" s="6">
        <v>150</v>
      </c>
      <c r="C13" s="73">
        <f>'DOE25'!F14</f>
        <v>7636.21</v>
      </c>
      <c r="D13" s="73">
        <f>'DOE25'!G14</f>
        <v>4434.34</v>
      </c>
      <c r="E13" s="73">
        <f>'DOE25'!H14</f>
        <v>51592.75</v>
      </c>
      <c r="F13" s="73">
        <f>'DOE25'!I14</f>
        <v>0</v>
      </c>
      <c r="G13" s="73">
        <f>'DOE25'!J14</f>
        <v>0</v>
      </c>
      <c r="H13" s="13">
        <f t="shared" si="0"/>
        <v>63663.3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2857.6</v>
      </c>
      <c r="D16" s="73">
        <f>'DOE25'!G17</f>
        <v>0</v>
      </c>
      <c r="E16" s="73">
        <f>'DOE25'!H17</f>
        <v>4800</v>
      </c>
      <c r="F16" s="73">
        <f>'DOE25'!I17</f>
        <v>0</v>
      </c>
      <c r="G16" s="73">
        <f>'DOE25'!J17</f>
        <v>0</v>
      </c>
      <c r="H16" s="13">
        <f t="shared" si="0"/>
        <v>7657.6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9980473.8800000008</v>
      </c>
      <c r="D18" s="38">
        <f>SUM(D8:D17)</f>
        <v>669232.97</v>
      </c>
      <c r="E18" s="38">
        <f>SUM(E8:E17)</f>
        <v>540596.42999999993</v>
      </c>
      <c r="F18" s="38">
        <f>SUM(F8:F17)</f>
        <v>0</v>
      </c>
      <c r="G18" s="38">
        <f>SUM(G8:G17)</f>
        <v>1587346.63</v>
      </c>
      <c r="H18" s="38">
        <f t="shared" si="0"/>
        <v>12777649.91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334329.14</v>
      </c>
      <c r="F21" s="73">
        <f>'DOE25'!I22</f>
        <v>0</v>
      </c>
      <c r="G21" s="73">
        <f>'DOE25'!J22</f>
        <v>0</v>
      </c>
      <c r="H21" s="13">
        <f t="shared" ref="H21:H31" si="1">SUM(C21:G21)</f>
        <v>334329.14</v>
      </c>
      <c r="I21" s="90"/>
    </row>
    <row r="22" spans="1:9" x14ac:dyDescent="0.2">
      <c r="A22" s="1" t="s">
        <v>151</v>
      </c>
      <c r="B22" s="6">
        <v>410</v>
      </c>
      <c r="C22" s="73">
        <f>'DOE25'!F23</f>
        <v>22750.7</v>
      </c>
      <c r="D22" s="73">
        <f>'DOE25'!G23</f>
        <v>0</v>
      </c>
      <c r="E22" s="73">
        <f>'DOE25'!H23</f>
        <v>1073.45</v>
      </c>
      <c r="F22" s="73">
        <f>'DOE25'!I23</f>
        <v>0</v>
      </c>
      <c r="G22" s="73">
        <f>'DOE25'!J23</f>
        <v>0</v>
      </c>
      <c r="H22" s="13">
        <f t="shared" si="1"/>
        <v>23824.15</v>
      </c>
      <c r="I22" s="90"/>
    </row>
    <row r="23" spans="1:9" x14ac:dyDescent="0.2">
      <c r="A23" s="1" t="s">
        <v>152</v>
      </c>
      <c r="B23" s="6">
        <v>420</v>
      </c>
      <c r="C23" s="73">
        <f>'DOE25'!F24</f>
        <v>583476.44999999995</v>
      </c>
      <c r="D23" s="73">
        <f>'DOE25'!G24</f>
        <v>0</v>
      </c>
      <c r="E23" s="73">
        <f>'DOE25'!H24</f>
        <v>89052.9</v>
      </c>
      <c r="F23" s="73">
        <f>'DOE25'!I24</f>
        <v>0</v>
      </c>
      <c r="G23" s="73">
        <f>'DOE25'!J24</f>
        <v>0</v>
      </c>
      <c r="H23" s="13">
        <f t="shared" si="1"/>
        <v>672529.35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-0.01</v>
      </c>
      <c r="D27" s="73">
        <f>'DOE25'!G28</f>
        <v>0</v>
      </c>
      <c r="E27" s="73">
        <f>'DOE25'!H28</f>
        <v>0</v>
      </c>
      <c r="F27" s="73">
        <f>'DOE25'!I28</f>
        <v>0</v>
      </c>
      <c r="G27" s="23" t="s">
        <v>288</v>
      </c>
      <c r="H27" s="13">
        <f t="shared" si="1"/>
        <v>-0.01</v>
      </c>
      <c r="I27" s="90"/>
    </row>
    <row r="28" spans="1:9" x14ac:dyDescent="0.2">
      <c r="A28" s="1" t="s">
        <v>157</v>
      </c>
      <c r="B28" s="6">
        <v>470</v>
      </c>
      <c r="C28" s="73">
        <f>'DOE25'!F29</f>
        <v>1476611.31</v>
      </c>
      <c r="D28" s="73">
        <f>'DOE25'!G29</f>
        <v>0</v>
      </c>
      <c r="E28" s="73">
        <f>'DOE25'!H29</f>
        <v>0</v>
      </c>
      <c r="F28" s="73">
        <f>'DOE25'!I29</f>
        <v>0</v>
      </c>
      <c r="G28" s="23" t="s">
        <v>288</v>
      </c>
      <c r="H28" s="13">
        <f t="shared" si="1"/>
        <v>1476611.31</v>
      </c>
      <c r="I28" s="90"/>
    </row>
    <row r="29" spans="1:9" x14ac:dyDescent="0.2">
      <c r="A29" s="1" t="s">
        <v>158</v>
      </c>
      <c r="B29" s="6">
        <v>480</v>
      </c>
      <c r="C29" s="73">
        <f>'DOE25'!F30</f>
        <v>0</v>
      </c>
      <c r="D29" s="73">
        <f>'DOE25'!G30</f>
        <v>34497.839999999997</v>
      </c>
      <c r="E29" s="73">
        <f>'DOE25'!H30</f>
        <v>15051.12</v>
      </c>
      <c r="F29" s="73">
        <f>'DOE25'!I30</f>
        <v>0</v>
      </c>
      <c r="G29" s="23" t="s">
        <v>288</v>
      </c>
      <c r="H29" s="13">
        <f t="shared" si="1"/>
        <v>49548.959999999999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2082838.45</v>
      </c>
      <c r="D31" s="38">
        <f>SUM(D21:D30)</f>
        <v>34497.839999999997</v>
      </c>
      <c r="E31" s="38">
        <f>SUM(E21:E30)</f>
        <v>439506.61</v>
      </c>
      <c r="F31" s="38">
        <f>SUM(F21:F30)</f>
        <v>0</v>
      </c>
      <c r="G31" s="38">
        <f>SUM(G21:G30)</f>
        <v>0</v>
      </c>
      <c r="H31" s="38">
        <f t="shared" si="1"/>
        <v>2556842.9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2857.6</v>
      </c>
      <c r="D35" s="73">
        <f>'DOE25'!G36</f>
        <v>0</v>
      </c>
      <c r="E35" s="73">
        <f>'DOE25'!H36</f>
        <v>0</v>
      </c>
      <c r="F35" s="73">
        <f>'DOE25'!I36</f>
        <v>0</v>
      </c>
      <c r="G35" s="23" t="s">
        <v>288</v>
      </c>
      <c r="H35" s="13">
        <f t="shared" si="2"/>
        <v>2857.6</v>
      </c>
      <c r="I35" s="90"/>
    </row>
    <row r="36" spans="1:9" x14ac:dyDescent="0.2">
      <c r="A36" s="1" t="s">
        <v>855</v>
      </c>
      <c r="B36" s="6">
        <v>756</v>
      </c>
      <c r="C36" s="73">
        <f>'DOE25'!F37</f>
        <v>0</v>
      </c>
      <c r="D36" s="73">
        <f>'DOE25'!G37</f>
        <v>634735.13</v>
      </c>
      <c r="E36" s="73">
        <f>'DOE25'!H37</f>
        <v>48791.63</v>
      </c>
      <c r="F36" s="73">
        <f>'DOE25'!I37</f>
        <v>0</v>
      </c>
      <c r="G36" s="73">
        <f>'DOE25'!J37</f>
        <v>0</v>
      </c>
      <c r="H36" s="13">
        <f t="shared" si="2"/>
        <v>683526.76</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-30630.29</v>
      </c>
      <c r="F42" s="73">
        <f>'DOE25'!I43</f>
        <v>0</v>
      </c>
      <c r="G42" s="73">
        <f>'DOE25'!J43</f>
        <v>0</v>
      </c>
      <c r="H42" s="13">
        <f t="shared" si="2"/>
        <v>-30630.29</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861316</v>
      </c>
      <c r="D45" s="23" t="s">
        <v>288</v>
      </c>
      <c r="E45" s="23" t="s">
        <v>288</v>
      </c>
      <c r="F45" s="23" t="s">
        <v>288</v>
      </c>
      <c r="G45" s="23" t="s">
        <v>288</v>
      </c>
      <c r="H45" s="13">
        <f t="shared" si="2"/>
        <v>861316</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31341.62</v>
      </c>
      <c r="F47" s="73">
        <f>'DOE25'!I48</f>
        <v>0</v>
      </c>
      <c r="G47" s="73">
        <f>'DOE25'!J48</f>
        <v>1587346.63</v>
      </c>
      <c r="H47" s="13">
        <f t="shared" si="2"/>
        <v>1618688.25</v>
      </c>
      <c r="I47" s="90"/>
    </row>
    <row r="48" spans="1:9" x14ac:dyDescent="0.2">
      <c r="A48" s="1" t="s">
        <v>881</v>
      </c>
      <c r="B48" s="6">
        <v>753</v>
      </c>
      <c r="C48" s="73">
        <f>'DOE25'!F49</f>
        <v>2078383.86</v>
      </c>
      <c r="D48" s="73">
        <f>'DOE25'!G49</f>
        <v>0</v>
      </c>
      <c r="E48" s="73">
        <f>'DOE25'!H49</f>
        <v>51586.86</v>
      </c>
      <c r="F48" s="73">
        <f>'DOE25'!I49</f>
        <v>0</v>
      </c>
      <c r="G48" s="73">
        <f>'DOE25'!J49</f>
        <v>0</v>
      </c>
      <c r="H48" s="13">
        <f t="shared" si="2"/>
        <v>2129970.7200000002</v>
      </c>
      <c r="I48" s="90"/>
    </row>
    <row r="49" spans="1:9" ht="12" thickBot="1" x14ac:dyDescent="0.25">
      <c r="A49" s="28" t="s">
        <v>882</v>
      </c>
      <c r="B49" s="56">
        <v>770</v>
      </c>
      <c r="C49" s="73">
        <f>'DOE25'!F50</f>
        <v>4955077.97</v>
      </c>
      <c r="D49" s="23" t="s">
        <v>288</v>
      </c>
      <c r="E49" s="23" t="s">
        <v>288</v>
      </c>
      <c r="F49" s="23" t="s">
        <v>288</v>
      </c>
      <c r="G49" s="23" t="s">
        <v>288</v>
      </c>
      <c r="H49" s="13">
        <f t="shared" si="2"/>
        <v>4955077.97</v>
      </c>
      <c r="I49" s="90"/>
    </row>
    <row r="50" spans="1:9" ht="12.75" thickTop="1" thickBot="1" x14ac:dyDescent="0.25">
      <c r="A50" s="35" t="s">
        <v>883</v>
      </c>
      <c r="B50" s="44"/>
      <c r="C50" s="38">
        <f>SUM(C34:C49)</f>
        <v>7897635.4299999997</v>
      </c>
      <c r="D50" s="38">
        <f>SUM(D34:D49)</f>
        <v>634735.13</v>
      </c>
      <c r="E50" s="38">
        <f>SUM(E34:E49)</f>
        <v>101089.81999999999</v>
      </c>
      <c r="F50" s="38">
        <f>SUM(F34:F49)</f>
        <v>0</v>
      </c>
      <c r="G50" s="38">
        <f>SUM(G34:G49)</f>
        <v>1587346.63</v>
      </c>
      <c r="H50" s="38">
        <f t="shared" si="2"/>
        <v>10220807.010000002</v>
      </c>
      <c r="I50" s="90"/>
    </row>
    <row r="51" spans="1:9" ht="12" thickTop="1" x14ac:dyDescent="0.2">
      <c r="A51" s="35" t="s">
        <v>884</v>
      </c>
      <c r="B51" s="2"/>
      <c r="C51" s="38">
        <f>C50+C31</f>
        <v>9980473.879999999</v>
      </c>
      <c r="D51" s="38">
        <f>D50+D31</f>
        <v>669232.97</v>
      </c>
      <c r="E51" s="38">
        <f>E50+E31</f>
        <v>540596.42999999993</v>
      </c>
      <c r="F51" s="38">
        <f>F50+F31</f>
        <v>0</v>
      </c>
      <c r="G51" s="38">
        <f>G50+G31</f>
        <v>1587346.63</v>
      </c>
      <c r="H51" s="38">
        <f t="shared" si="2"/>
        <v>12777649.91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31907557</v>
      </c>
      <c r="D56" s="73">
        <f>'DOE25'!G60</f>
        <v>0</v>
      </c>
      <c r="E56" s="73">
        <f>'DOE25'!H60</f>
        <v>0</v>
      </c>
      <c r="F56" s="73">
        <f>'DOE25'!I60</f>
        <v>0</v>
      </c>
      <c r="G56" s="73">
        <f>'DOE25'!J60</f>
        <v>0</v>
      </c>
      <c r="H56" s="13">
        <f t="shared" ref="H56:H63" si="3">SUM(C56:G56)</f>
        <v>31907557</v>
      </c>
      <c r="I56"/>
    </row>
    <row r="57" spans="1:9" x14ac:dyDescent="0.2">
      <c r="A57" s="1" t="s">
        <v>164</v>
      </c>
      <c r="B57" s="6" t="s">
        <v>165</v>
      </c>
      <c r="C57" s="73">
        <f>'DOE25'!F79</f>
        <v>12346491.960000001</v>
      </c>
      <c r="D57" s="23" t="s">
        <v>288</v>
      </c>
      <c r="E57" s="73">
        <f>'DOE25'!H79</f>
        <v>324241.38</v>
      </c>
      <c r="F57" s="23" t="s">
        <v>288</v>
      </c>
      <c r="G57" s="23" t="s">
        <v>288</v>
      </c>
      <c r="H57" s="13">
        <f t="shared" si="3"/>
        <v>12670733.340000002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368515.62</v>
      </c>
      <c r="D59" s="73">
        <f>'DOE25'!G96</f>
        <v>0</v>
      </c>
      <c r="E59" s="73">
        <f>'DOE25'!H96</f>
        <v>0</v>
      </c>
      <c r="F59" s="73">
        <f>'DOE25'!I96</f>
        <v>0</v>
      </c>
      <c r="G59" s="73">
        <f>'DOE25'!J96</f>
        <v>56064.11</v>
      </c>
      <c r="H59" s="13">
        <f t="shared" si="3"/>
        <v>424579.73</v>
      </c>
      <c r="I59"/>
    </row>
    <row r="60" spans="1:9" x14ac:dyDescent="0.2">
      <c r="A60" s="1" t="s">
        <v>170</v>
      </c>
      <c r="B60" s="22" t="s">
        <v>171</v>
      </c>
      <c r="C60" s="23" t="s">
        <v>288</v>
      </c>
      <c r="D60" s="73">
        <f>'DOE25'!G97</f>
        <v>931070.98</v>
      </c>
      <c r="E60" s="23" t="s">
        <v>288</v>
      </c>
      <c r="F60" s="23" t="s">
        <v>288</v>
      </c>
      <c r="G60" s="23" t="s">
        <v>288</v>
      </c>
      <c r="H60" s="13">
        <f t="shared" si="3"/>
        <v>931070.98</v>
      </c>
      <c r="I60"/>
    </row>
    <row r="61" spans="1:9" ht="12" thickBot="1" x14ac:dyDescent="0.25">
      <c r="A61" s="1" t="s">
        <v>172</v>
      </c>
      <c r="B61" s="22" t="s">
        <v>173</v>
      </c>
      <c r="C61" s="73">
        <f>SUM('DOE25'!F98:F110)</f>
        <v>448863.02</v>
      </c>
      <c r="D61" s="73">
        <f>SUM('DOE25'!G98:G110)</f>
        <v>23484</v>
      </c>
      <c r="E61" s="73">
        <f>SUM('DOE25'!H98:H110)</f>
        <v>173958.26</v>
      </c>
      <c r="F61" s="73">
        <f>SUM('DOE25'!I98:I110)</f>
        <v>0</v>
      </c>
      <c r="G61" s="73">
        <f>SUM('DOE25'!J98:J110)</f>
        <v>0</v>
      </c>
      <c r="H61" s="13">
        <f t="shared" si="3"/>
        <v>646305.28000000003</v>
      </c>
      <c r="I61"/>
    </row>
    <row r="62" spans="1:9" ht="12.75" thickTop="1" thickBot="1" x14ac:dyDescent="0.25">
      <c r="A62" s="28" t="s">
        <v>174</v>
      </c>
      <c r="B62" s="6"/>
      <c r="C62" s="93">
        <f>SUM(C57:C61)</f>
        <v>13163870.6</v>
      </c>
      <c r="D62" s="93">
        <f>SUM(D57:D61)</f>
        <v>954554.98</v>
      </c>
      <c r="E62" s="93">
        <f>SUM(E57:E61)</f>
        <v>498199.64</v>
      </c>
      <c r="F62" s="93">
        <f>SUM(F57:F61)</f>
        <v>0</v>
      </c>
      <c r="G62" s="93">
        <f>SUM(G57:G61)</f>
        <v>56064.11</v>
      </c>
      <c r="H62" s="13">
        <f t="shared" si="3"/>
        <v>14672689.33</v>
      </c>
      <c r="I62"/>
    </row>
    <row r="63" spans="1:9" ht="12" thickTop="1" x14ac:dyDescent="0.2">
      <c r="A63" s="28" t="s">
        <v>175</v>
      </c>
      <c r="B63" s="6"/>
      <c r="C63" s="21">
        <f>C56+C62</f>
        <v>45071427.600000001</v>
      </c>
      <c r="D63" s="21">
        <f>D56+D62</f>
        <v>954554.98</v>
      </c>
      <c r="E63" s="21">
        <f>E56+E62</f>
        <v>498199.64</v>
      </c>
      <c r="F63" s="21">
        <f>F56+F62</f>
        <v>0</v>
      </c>
      <c r="G63" s="21">
        <f>G56+G62</f>
        <v>56064.11</v>
      </c>
      <c r="H63" s="13">
        <f t="shared" si="3"/>
        <v>46580246.329999998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13177371.85</v>
      </c>
      <c r="D66" s="23" t="s">
        <v>288</v>
      </c>
      <c r="E66" s="23" t="s">
        <v>288</v>
      </c>
      <c r="F66" s="23" t="s">
        <v>288</v>
      </c>
      <c r="G66" s="23" t="s">
        <v>288</v>
      </c>
      <c r="H66" s="13">
        <f t="shared" ref="H66:H81" si="4">SUM(C66:G66)</f>
        <v>13177371.85</v>
      </c>
      <c r="I66"/>
    </row>
    <row r="67" spans="1:9" x14ac:dyDescent="0.2">
      <c r="A67" s="1" t="s">
        <v>770</v>
      </c>
      <c r="B67" s="6">
        <v>3112</v>
      </c>
      <c r="C67" s="73">
        <f>'DOE25'!F118</f>
        <v>2545092</v>
      </c>
      <c r="D67" s="23"/>
      <c r="E67" s="23"/>
      <c r="F67" s="23"/>
      <c r="G67" s="23"/>
      <c r="H67" s="13">
        <f t="shared" si="4"/>
        <v>2545092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336211.66</v>
      </c>
      <c r="D69" s="73">
        <f>'DOE25'!G120</f>
        <v>0</v>
      </c>
      <c r="E69" s="73">
        <f>'DOE25'!H120</f>
        <v>16575</v>
      </c>
      <c r="F69" s="73">
        <f>'DOE25'!I120</f>
        <v>0</v>
      </c>
      <c r="G69" s="73">
        <f>'DOE25'!J120</f>
        <v>0</v>
      </c>
      <c r="H69" s="13">
        <f t="shared" si="4"/>
        <v>352786.66</v>
      </c>
      <c r="I69"/>
    </row>
    <row r="70" spans="1:9" ht="12" thickTop="1" x14ac:dyDescent="0.2">
      <c r="A70" s="28" t="s">
        <v>252</v>
      </c>
      <c r="B70" s="2"/>
      <c r="C70" s="97">
        <f>SUM(C66:C69)</f>
        <v>16058675.51</v>
      </c>
      <c r="D70" s="97">
        <f>D69</f>
        <v>0</v>
      </c>
      <c r="E70" s="97">
        <f>E69</f>
        <v>16575</v>
      </c>
      <c r="F70" s="97">
        <f>F69</f>
        <v>0</v>
      </c>
      <c r="G70" s="97">
        <f>G69</f>
        <v>0</v>
      </c>
      <c r="H70" s="13">
        <f t="shared" si="4"/>
        <v>16075250.51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712989.8</v>
      </c>
      <c r="D72" s="23" t="s">
        <v>288</v>
      </c>
      <c r="E72" s="23" t="s">
        <v>288</v>
      </c>
      <c r="F72" s="73">
        <f>'DOE25'!I123</f>
        <v>0</v>
      </c>
      <c r="G72" s="23" t="s">
        <v>288</v>
      </c>
      <c r="H72" s="13">
        <f t="shared" si="4"/>
        <v>712989.8</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633984.43999999994</v>
      </c>
      <c r="D75" s="23" t="s">
        <v>288</v>
      </c>
      <c r="E75" s="23" t="s">
        <v>288</v>
      </c>
      <c r="F75" s="23" t="s">
        <v>288</v>
      </c>
      <c r="G75" s="23" t="s">
        <v>288</v>
      </c>
      <c r="H75" s="13">
        <f t="shared" si="4"/>
        <v>633984.43999999994</v>
      </c>
      <c r="I75"/>
    </row>
    <row r="76" spans="1:9" x14ac:dyDescent="0.2">
      <c r="A76" s="1" t="s">
        <v>257</v>
      </c>
      <c r="B76" s="6" t="s">
        <v>179</v>
      </c>
      <c r="C76" s="73">
        <f>SUM('DOE25'!F127:F130)</f>
        <v>248007.67</v>
      </c>
      <c r="D76" s="23" t="s">
        <v>288</v>
      </c>
      <c r="E76" s="73">
        <f>SUM('DOE25'!H127:H130)</f>
        <v>0</v>
      </c>
      <c r="F76" s="73">
        <f>SUM('DOE25'!I127:I130)</f>
        <v>0</v>
      </c>
      <c r="G76" s="23" t="s">
        <v>288</v>
      </c>
      <c r="H76" s="13">
        <f t="shared" si="4"/>
        <v>248007.67</v>
      </c>
      <c r="I76"/>
    </row>
    <row r="77" spans="1:9" ht="12" thickBot="1" x14ac:dyDescent="0.25">
      <c r="A77" s="1" t="s">
        <v>258</v>
      </c>
      <c r="B77" s="6" t="s">
        <v>180</v>
      </c>
      <c r="C77" s="73">
        <f>SUM('DOE25'!F131:F135)</f>
        <v>0</v>
      </c>
      <c r="D77" s="73">
        <f>SUM('DOE25'!G131:G135)</f>
        <v>13665.39</v>
      </c>
      <c r="E77" s="73">
        <f>SUM('DOE25'!H131:H135)</f>
        <v>0</v>
      </c>
      <c r="F77" s="73">
        <f>SUM('DOE25'!I131:I135)</f>
        <v>0</v>
      </c>
      <c r="G77" s="73">
        <f>SUM('DOE25'!J131:J135)</f>
        <v>0</v>
      </c>
      <c r="H77" s="13">
        <f t="shared" si="4"/>
        <v>13665.39</v>
      </c>
      <c r="I77"/>
    </row>
    <row r="78" spans="1:9" ht="12.75" thickTop="1" thickBot="1" x14ac:dyDescent="0.25">
      <c r="A78" s="28" t="s">
        <v>259</v>
      </c>
      <c r="B78" s="6"/>
      <c r="C78" s="93">
        <f>SUM(C72:C77)</f>
        <v>1594981.91</v>
      </c>
      <c r="D78" s="93">
        <f>SUM(D72:D77)</f>
        <v>13665.39</v>
      </c>
      <c r="E78" s="93">
        <f>SUM(E72:E77)</f>
        <v>0</v>
      </c>
      <c r="F78" s="93">
        <f>SUM(F72:F77)</f>
        <v>0</v>
      </c>
      <c r="G78" s="93">
        <f>SUM(G72:G77)</f>
        <v>0</v>
      </c>
      <c r="H78" s="13">
        <f t="shared" si="4"/>
        <v>1608647.2999999998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17653657.419999998</v>
      </c>
      <c r="D81" s="93">
        <f>SUM(D79:D80)+D78+D70</f>
        <v>13665.39</v>
      </c>
      <c r="E81" s="93">
        <f>SUM(E79:E80)+E78+E70</f>
        <v>16575</v>
      </c>
      <c r="F81" s="93">
        <f>SUM(F79:F80)+F78+F70</f>
        <v>0</v>
      </c>
      <c r="G81" s="93">
        <f>SUM(G79:G80)+G78+G70</f>
        <v>0</v>
      </c>
      <c r="H81" s="93">
        <f t="shared" si="4"/>
        <v>17683897.809999999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65012.93</v>
      </c>
      <c r="D88" s="253">
        <f>SUM('DOE25'!G153:G162)</f>
        <v>920007.99</v>
      </c>
      <c r="E88" s="253">
        <f>SUM('DOE25'!H153:H162)</f>
        <v>4533843.51</v>
      </c>
      <c r="F88" s="253">
        <f>SUM('DOE25'!I153:I162)</f>
        <v>0</v>
      </c>
      <c r="G88" s="23" t="s">
        <v>288</v>
      </c>
      <c r="H88" s="13">
        <f t="shared" si="5"/>
        <v>5518864.4299999997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65012.93</v>
      </c>
      <c r="D91" s="94">
        <f>SUM(D85:D90)</f>
        <v>920007.99</v>
      </c>
      <c r="E91" s="94">
        <f>SUM(E85:E90)</f>
        <v>4533843.51</v>
      </c>
      <c r="F91" s="94">
        <f>SUM(F85:F90)</f>
        <v>0</v>
      </c>
      <c r="G91" s="23" t="s">
        <v>288</v>
      </c>
      <c r="H91" s="13">
        <f t="shared" si="5"/>
        <v>5518864.4299999997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600000</v>
      </c>
      <c r="H96" s="13">
        <f t="shared" si="5"/>
        <v>600000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20000</v>
      </c>
      <c r="D101" s="73">
        <f>'DOE25'!G190</f>
        <v>0</v>
      </c>
      <c r="E101" s="73">
        <f>'DOE25'!H190</f>
        <v>0</v>
      </c>
      <c r="F101" s="73">
        <f>'DOE25'!I190</f>
        <v>0</v>
      </c>
      <c r="G101" s="23" t="s">
        <v>288</v>
      </c>
      <c r="H101" s="13">
        <f t="shared" si="5"/>
        <v>20000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20000</v>
      </c>
      <c r="D103" s="68">
        <f>SUM(D93:D102)</f>
        <v>0</v>
      </c>
      <c r="E103" s="68">
        <f>SUM(E93:E102)</f>
        <v>0</v>
      </c>
      <c r="F103" s="68">
        <f>SUM(F93:F102)</f>
        <v>0</v>
      </c>
      <c r="G103" s="68">
        <f>SUM(G93:G102)</f>
        <v>600000</v>
      </c>
      <c r="H103" s="68">
        <f t="shared" si="5"/>
        <v>620000</v>
      </c>
    </row>
    <row r="104" spans="1:8" ht="12.75" thickTop="1" thickBot="1" x14ac:dyDescent="0.25">
      <c r="A104" s="32" t="s">
        <v>761</v>
      </c>
      <c r="C104" s="68">
        <f>C63+C81+C91+C103</f>
        <v>62810097.949999996</v>
      </c>
      <c r="D104" s="68">
        <f>D63+D81+D91+D103</f>
        <v>1888228.3599999999</v>
      </c>
      <c r="E104" s="68">
        <f>E63+E81+E91+E103</f>
        <v>5048618.1499999994</v>
      </c>
      <c r="F104" s="68">
        <f>F63+F81+F91+F103</f>
        <v>0</v>
      </c>
      <c r="G104" s="68">
        <f>G63+G81+G103</f>
        <v>656064.11</v>
      </c>
      <c r="H104" s="68">
        <f t="shared" si="5"/>
        <v>70403008.569999993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21184851.259999998</v>
      </c>
      <c r="D109" s="23" t="s">
        <v>288</v>
      </c>
      <c r="E109" s="73">
        <f>('DOE25'!L277)+('DOE25'!L296)+('DOE25'!L315)</f>
        <v>754285.37999999989</v>
      </c>
      <c r="F109" s="23" t="s">
        <v>288</v>
      </c>
      <c r="G109" s="23" t="s">
        <v>288</v>
      </c>
      <c r="H109" s="13">
        <f t="shared" ref="H109:H115" si="6">SUM(C109:G109)</f>
        <v>21939136.639999997</v>
      </c>
    </row>
    <row r="110" spans="1:8" x14ac:dyDescent="0.2">
      <c r="A110" t="s">
        <v>198</v>
      </c>
      <c r="B110" s="31" t="s">
        <v>199</v>
      </c>
      <c r="C110" s="73">
        <f>('DOE25'!L199)+('DOE25'!L217)+('DOE25'!L235)</f>
        <v>11801444.84</v>
      </c>
      <c r="D110" s="23" t="s">
        <v>288</v>
      </c>
      <c r="E110" s="73">
        <f>('DOE25'!L278)+('DOE25'!L297)+('DOE25'!L316)</f>
        <v>352779.12</v>
      </c>
      <c r="F110" s="23" t="s">
        <v>288</v>
      </c>
      <c r="G110" s="23" t="s">
        <v>288</v>
      </c>
      <c r="H110" s="13">
        <f t="shared" si="6"/>
        <v>12154223.959999999</v>
      </c>
    </row>
    <row r="111" spans="1:8" x14ac:dyDescent="0.2">
      <c r="A111" t="s">
        <v>200</v>
      </c>
      <c r="B111" s="31" t="s">
        <v>165</v>
      </c>
      <c r="C111" s="73">
        <f>('DOE25'!L200)+('DOE25'!L218)+('DOE25'!L236)</f>
        <v>1334435.79</v>
      </c>
      <c r="D111" s="23" t="s">
        <v>288</v>
      </c>
      <c r="E111" s="73">
        <f>('DOE25'!L279)+('DOE25'!L298)+('DOE25'!L317)</f>
        <v>241069.12999999998</v>
      </c>
      <c r="F111" s="23" t="s">
        <v>288</v>
      </c>
      <c r="G111" s="23" t="s">
        <v>288</v>
      </c>
      <c r="H111" s="13">
        <f t="shared" si="6"/>
        <v>1575504.92</v>
      </c>
    </row>
    <row r="112" spans="1:8" x14ac:dyDescent="0.2">
      <c r="A112" t="s">
        <v>201</v>
      </c>
      <c r="B112" s="31" t="s">
        <v>167</v>
      </c>
      <c r="C112" s="73">
        <f>('DOE25'!L201)+('DOE25'!L219)+('DOE25'!L237)</f>
        <v>868427.19000000006</v>
      </c>
      <c r="D112" s="23" t="s">
        <v>288</v>
      </c>
      <c r="E112" s="73">
        <f>+('DOE25'!L280)+('DOE25'!L299)+('DOE25'!L318)</f>
        <v>30573.89</v>
      </c>
      <c r="F112" s="23" t="s">
        <v>288</v>
      </c>
      <c r="G112" s="23" t="s">
        <v>288</v>
      </c>
      <c r="H112" s="13">
        <f t="shared" si="6"/>
        <v>899001.08000000007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2400</v>
      </c>
      <c r="D114" s="23" t="s">
        <v>288</v>
      </c>
      <c r="E114" s="73">
        <f>+ SUM('DOE25'!L334:L336)</f>
        <v>370062.77999999991</v>
      </c>
      <c r="F114" s="23" t="s">
        <v>288</v>
      </c>
      <c r="G114" s="23" t="s">
        <v>288</v>
      </c>
      <c r="H114" s="13">
        <f t="shared" si="6"/>
        <v>372462.77999999991</v>
      </c>
    </row>
    <row r="115" spans="1:8" ht="12.75" thickTop="1" thickBot="1" x14ac:dyDescent="0.25">
      <c r="A115" s="32" t="s">
        <v>205</v>
      </c>
      <c r="C115" s="68">
        <f>SUM(C109:C114)</f>
        <v>35191559.079999998</v>
      </c>
      <c r="D115" s="68">
        <f>SUM(D109:D114)</f>
        <v>0</v>
      </c>
      <c r="E115" s="68">
        <f>SUM(E109:E114)</f>
        <v>1748770.2999999998</v>
      </c>
      <c r="F115" s="68">
        <f>SUM(F109:F114)</f>
        <v>0</v>
      </c>
      <c r="G115" s="68">
        <f>SUM(G109:G114)</f>
        <v>0</v>
      </c>
      <c r="H115" s="68">
        <f t="shared" si="6"/>
        <v>36940329.379999995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5595591.9799999995</v>
      </c>
      <c r="D118" s="23" t="s">
        <v>288</v>
      </c>
      <c r="E118" s="73">
        <f>+('DOE25'!L282)+('DOE25'!L301)+('DOE25'!L320)</f>
        <v>461975.20999999996</v>
      </c>
      <c r="F118" s="23" t="s">
        <v>288</v>
      </c>
      <c r="G118" s="23" t="s">
        <v>288</v>
      </c>
      <c r="H118" s="13">
        <f t="shared" ref="H118:H145" si="7">SUM(C118:G118)</f>
        <v>6057567.1899999995</v>
      </c>
    </row>
    <row r="119" spans="1:8" x14ac:dyDescent="0.2">
      <c r="A119" t="s">
        <v>208</v>
      </c>
      <c r="B119" s="31" t="s">
        <v>209</v>
      </c>
      <c r="C119" s="73">
        <f>('DOE25'!L204)+('DOE25'!L222)+('DOE25'!L240)</f>
        <v>1205851.4500000002</v>
      </c>
      <c r="D119" s="23" t="s">
        <v>288</v>
      </c>
      <c r="E119" s="73">
        <f>+('DOE25'!L283)+('DOE25'!L302)+('DOE25'!L321)</f>
        <v>753315.33</v>
      </c>
      <c r="F119" s="23" t="s">
        <v>288</v>
      </c>
      <c r="G119" s="23" t="s">
        <v>288</v>
      </c>
      <c r="H119" s="13">
        <f t="shared" si="7"/>
        <v>1959166.7800000003</v>
      </c>
    </row>
    <row r="120" spans="1:8" x14ac:dyDescent="0.2">
      <c r="A120" t="s">
        <v>210</v>
      </c>
      <c r="B120" s="31" t="s">
        <v>211</v>
      </c>
      <c r="C120" s="73">
        <f>('DOE25'!L205)+('DOE25'!L223)+('DOE25'!L241)</f>
        <v>3588359.7399999998</v>
      </c>
      <c r="D120" s="23" t="s">
        <v>288</v>
      </c>
      <c r="E120" s="73">
        <f>+('DOE25'!L284)+('DOE25'!L303)+('DOE25'!L322)</f>
        <v>134859.71000000002</v>
      </c>
      <c r="F120" s="23" t="s">
        <v>288</v>
      </c>
      <c r="G120" s="23" t="s">
        <v>288</v>
      </c>
      <c r="H120" s="13">
        <f t="shared" si="7"/>
        <v>3723219.4499999997</v>
      </c>
    </row>
    <row r="121" spans="1:8" x14ac:dyDescent="0.2">
      <c r="A121" t="s">
        <v>212</v>
      </c>
      <c r="B121" s="31" t="s">
        <v>213</v>
      </c>
      <c r="C121" s="73">
        <f>('DOE25'!L206)+('DOE25'!L224)+('DOE25'!L242)</f>
        <v>3358437.42</v>
      </c>
      <c r="D121" s="23" t="s">
        <v>288</v>
      </c>
      <c r="E121" s="73">
        <f>+('DOE25'!L285)+('DOE25'!L304)+('DOE25'!L323)</f>
        <v>58285.36</v>
      </c>
      <c r="F121" s="23" t="s">
        <v>288</v>
      </c>
      <c r="G121" s="23" t="s">
        <v>288</v>
      </c>
      <c r="H121" s="13">
        <f t="shared" si="7"/>
        <v>3416722.78</v>
      </c>
    </row>
    <row r="122" spans="1:8" x14ac:dyDescent="0.2">
      <c r="A122" t="s">
        <v>214</v>
      </c>
      <c r="B122" s="31" t="s">
        <v>215</v>
      </c>
      <c r="C122" s="73">
        <f>('DOE25'!L207)+('DOE25'!L225)+('DOE25'!L243)</f>
        <v>30700</v>
      </c>
      <c r="D122" s="23" t="s">
        <v>288</v>
      </c>
      <c r="E122" s="73">
        <f>+('DOE25'!L286)+('DOE25'!L305)+('DOE25'!L324)</f>
        <v>192514.82</v>
      </c>
      <c r="F122" s="23" t="s">
        <v>288</v>
      </c>
      <c r="G122" s="23" t="s">
        <v>288</v>
      </c>
      <c r="H122" s="13">
        <f t="shared" si="7"/>
        <v>223214.82</v>
      </c>
    </row>
    <row r="123" spans="1:8" x14ac:dyDescent="0.2">
      <c r="A123" t="s">
        <v>216</v>
      </c>
      <c r="B123" s="31" t="s">
        <v>217</v>
      </c>
      <c r="C123" s="73">
        <f>('DOE25'!L208)+('DOE25'!L226)+('DOE25'!L244)</f>
        <v>5490150.5</v>
      </c>
      <c r="D123" s="23" t="s">
        <v>288</v>
      </c>
      <c r="E123" s="73">
        <f>+('DOE25'!L287)+('DOE25'!L306)+('DOE25'!L325)</f>
        <v>41288.44</v>
      </c>
      <c r="F123" s="23" t="s">
        <v>288</v>
      </c>
      <c r="G123" s="23" t="s">
        <v>288</v>
      </c>
      <c r="H123" s="13">
        <f t="shared" si="7"/>
        <v>5531438.9400000004</v>
      </c>
    </row>
    <row r="124" spans="1:8" x14ac:dyDescent="0.2">
      <c r="A124" t="s">
        <v>218</v>
      </c>
      <c r="B124" s="31" t="s">
        <v>219</v>
      </c>
      <c r="C124" s="73">
        <f>('DOE25'!L209)+('DOE25'!L227)+('DOE25'!L245+'DOE25'!L255)</f>
        <v>2135009.39</v>
      </c>
      <c r="D124" s="23" t="s">
        <v>288</v>
      </c>
      <c r="E124" s="73">
        <f>+('DOE25'!L288)+('DOE25'!L307)+('DOE25'!L326)</f>
        <v>12296.2</v>
      </c>
      <c r="F124" s="23" t="s">
        <v>288</v>
      </c>
      <c r="G124" s="23" t="s">
        <v>288</v>
      </c>
      <c r="H124" s="13">
        <f t="shared" si="7"/>
        <v>2147305.5900000003</v>
      </c>
    </row>
    <row r="125" spans="1:8" x14ac:dyDescent="0.2">
      <c r="A125" t="s">
        <v>220</v>
      </c>
      <c r="B125" s="31" t="s">
        <v>221</v>
      </c>
      <c r="C125" s="73">
        <f>('DOE25'!L210)+('DOE25'!L228)+('DOE25'!L246)</f>
        <v>1332094.8700000001</v>
      </c>
      <c r="D125" s="23" t="s">
        <v>288</v>
      </c>
      <c r="E125" s="73">
        <f>+('DOE25'!L289)+('DOE25'!L308)+('DOE25'!L327)</f>
        <v>66134.91</v>
      </c>
      <c r="F125" s="23" t="s">
        <v>288</v>
      </c>
      <c r="G125" s="23" t="s">
        <v>288</v>
      </c>
      <c r="H125" s="13">
        <f t="shared" si="7"/>
        <v>1398229.78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1957223.46</v>
      </c>
      <c r="E127" s="23" t="s">
        <v>288</v>
      </c>
      <c r="F127" s="23" t="s">
        <v>288</v>
      </c>
      <c r="G127" s="23" t="s">
        <v>288</v>
      </c>
      <c r="H127" s="13">
        <f t="shared" si="7"/>
        <v>1957223.46</v>
      </c>
    </row>
    <row r="128" spans="1:8" ht="12.75" thickTop="1" thickBot="1" x14ac:dyDescent="0.25">
      <c r="A128" s="32" t="s">
        <v>226</v>
      </c>
      <c r="C128" s="68">
        <f>SUM(C118:C127)</f>
        <v>22736195.350000001</v>
      </c>
      <c r="D128" s="68">
        <f>SUM(D118:D127)</f>
        <v>1957223.46</v>
      </c>
      <c r="E128" s="68">
        <f>SUM(E118:E127)</f>
        <v>1720669.98</v>
      </c>
      <c r="F128" s="68">
        <f>SUM(F118:F127)</f>
        <v>0</v>
      </c>
      <c r="G128" s="68">
        <f>SUM(G118:G127)</f>
        <v>0</v>
      </c>
      <c r="H128" s="68">
        <f t="shared" si="7"/>
        <v>26414088.790000003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3975306.43</v>
      </c>
      <c r="D130" s="23" t="s">
        <v>288</v>
      </c>
      <c r="E130" s="92">
        <f>'DOE25'!L337</f>
        <v>1620336.25</v>
      </c>
      <c r="F130" s="92">
        <f>SUM('DOE25'!L375:'DOE25'!L381)</f>
        <v>0</v>
      </c>
      <c r="G130" s="23" t="s">
        <v>288</v>
      </c>
      <c r="H130" s="13">
        <f t="shared" si="7"/>
        <v>5595642.6799999997</v>
      </c>
    </row>
    <row r="131" spans="1:8" x14ac:dyDescent="0.2">
      <c r="A131" t="s">
        <v>229</v>
      </c>
      <c r="B131" s="31">
        <v>5110</v>
      </c>
      <c r="C131" s="73">
        <f>'DOE25'!L261</f>
        <v>1326140.3799999999</v>
      </c>
      <c r="D131" s="23" t="s">
        <v>288</v>
      </c>
      <c r="E131" s="92">
        <f>'DOE25'!L342</f>
        <v>0</v>
      </c>
      <c r="F131" s="23" t="s">
        <v>288</v>
      </c>
      <c r="G131" s="23" t="s">
        <v>288</v>
      </c>
      <c r="H131" s="13">
        <f t="shared" si="7"/>
        <v>1326140.3799999999</v>
      </c>
    </row>
    <row r="132" spans="1:8" x14ac:dyDescent="0.2">
      <c r="A132" t="s">
        <v>230</v>
      </c>
      <c r="B132" s="31">
        <v>5120</v>
      </c>
      <c r="C132" s="73">
        <f>'DOE25'!L262</f>
        <v>973235.12</v>
      </c>
      <c r="D132" s="23" t="s">
        <v>288</v>
      </c>
      <c r="E132" s="92">
        <f>'DOE25'!L343</f>
        <v>0</v>
      </c>
      <c r="F132" s="23" t="s">
        <v>288</v>
      </c>
      <c r="G132" s="23" t="s">
        <v>288</v>
      </c>
      <c r="H132" s="13">
        <f t="shared" si="7"/>
        <v>973235.12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656064.11</v>
      </c>
      <c r="D139" s="23" t="s">
        <v>288</v>
      </c>
      <c r="E139" s="23" t="s">
        <v>288</v>
      </c>
      <c r="F139" s="23" t="s">
        <v>288</v>
      </c>
      <c r="G139" s="23" t="s">
        <v>288</v>
      </c>
      <c r="H139" s="13">
        <f t="shared" si="7"/>
        <v>656064.11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-56064.109999999986</v>
      </c>
      <c r="D141" s="23" t="s">
        <v>288</v>
      </c>
      <c r="E141" s="23" t="s">
        <v>288</v>
      </c>
      <c r="F141" s="23" t="s">
        <v>288</v>
      </c>
      <c r="G141" s="23" t="s">
        <v>288</v>
      </c>
      <c r="H141" s="13">
        <f t="shared" si="7"/>
        <v>-56064.109999999986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6874681.9300000006</v>
      </c>
      <c r="D144" s="98">
        <f>SUM(D130:D143)</f>
        <v>0</v>
      </c>
      <c r="E144" s="98">
        <f>SUM(E130:E143)</f>
        <v>1620336.25</v>
      </c>
      <c r="F144" s="98">
        <f>SUM(F130:F143)</f>
        <v>0</v>
      </c>
      <c r="G144" s="98">
        <f>SUM(G130:G143)</f>
        <v>0</v>
      </c>
      <c r="H144" s="98">
        <f t="shared" si="7"/>
        <v>8495018.1799999997</v>
      </c>
    </row>
    <row r="145" spans="1:9" ht="12.75" thickTop="1" thickBot="1" x14ac:dyDescent="0.25">
      <c r="A145" s="32" t="s">
        <v>244</v>
      </c>
      <c r="C145" s="68">
        <f>(C115+C128+C144)</f>
        <v>64802436.359999999</v>
      </c>
      <c r="D145" s="68">
        <f>(D115+D128+D144)</f>
        <v>1957223.46</v>
      </c>
      <c r="E145" s="68">
        <f>(E115+E128+E144)</f>
        <v>5089776.5299999993</v>
      </c>
      <c r="F145" s="68">
        <f>(F115+F128+F144)</f>
        <v>0</v>
      </c>
      <c r="G145" s="68">
        <f>(G115+G128+G144)</f>
        <v>0</v>
      </c>
      <c r="H145" s="68">
        <f t="shared" si="7"/>
        <v>71849436.349999994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29</v>
      </c>
      <c r="C151" s="110">
        <f>'DOE25'!G491</f>
        <v>29</v>
      </c>
      <c r="D151" s="110">
        <f>'DOE25'!H491</f>
        <v>0</v>
      </c>
      <c r="E151" s="110">
        <f>'DOE25'!I491</f>
        <v>0</v>
      </c>
      <c r="F151" s="110">
        <f>'DOE25'!J491</f>
        <v>0</v>
      </c>
      <c r="G151" s="23" t="s">
        <v>288</v>
      </c>
    </row>
    <row r="152" spans="1:9" x14ac:dyDescent="0.2">
      <c r="A152" s="21" t="s">
        <v>28</v>
      </c>
      <c r="B152" s="109" t="str">
        <f>'DOE25'!F492</f>
        <v>07/10</v>
      </c>
      <c r="C152" s="109" t="str">
        <f>'DOE25'!G492</f>
        <v>7/10</v>
      </c>
      <c r="D152" s="109">
        <f>'DOE25'!H492</f>
        <v>0</v>
      </c>
      <c r="E152" s="109">
        <f>'DOE25'!I492</f>
        <v>0</v>
      </c>
      <c r="F152" s="109">
        <f>'DOE25'!J492</f>
        <v>0</v>
      </c>
      <c r="G152" s="23" t="s">
        <v>288</v>
      </c>
    </row>
    <row r="153" spans="1:9" x14ac:dyDescent="0.2">
      <c r="A153" s="21" t="s">
        <v>29</v>
      </c>
      <c r="B153" s="109" t="str">
        <f>'DOE25'!F493</f>
        <v>08/39</v>
      </c>
      <c r="C153" s="109" t="str">
        <f>'DOE25'!G493</f>
        <v>08/39</v>
      </c>
      <c r="D153" s="109">
        <f>'DOE25'!H493</f>
        <v>0</v>
      </c>
      <c r="E153" s="109">
        <f>'DOE25'!I493</f>
        <v>0</v>
      </c>
      <c r="F153" s="109">
        <f>'DOE25'!J493</f>
        <v>0</v>
      </c>
      <c r="G153" s="23" t="s">
        <v>288</v>
      </c>
    </row>
    <row r="154" spans="1:9" x14ac:dyDescent="0.2">
      <c r="A154" s="21" t="s">
        <v>30</v>
      </c>
      <c r="B154" s="19">
        <f>'DOE25'!F494</f>
        <v>35115529.659999996</v>
      </c>
      <c r="C154" s="19">
        <f>'DOE25'!G494</f>
        <v>1817970.34</v>
      </c>
      <c r="D154" s="19">
        <f>'DOE25'!H494</f>
        <v>0</v>
      </c>
      <c r="E154" s="19">
        <f>'DOE25'!I494</f>
        <v>0</v>
      </c>
      <c r="F154" s="19">
        <f>'DOE25'!J494</f>
        <v>0</v>
      </c>
      <c r="G154" s="23" t="s">
        <v>288</v>
      </c>
    </row>
    <row r="155" spans="1:9" x14ac:dyDescent="0.2">
      <c r="A155" s="21" t="s">
        <v>31</v>
      </c>
      <c r="B155" s="19">
        <f>'DOE25'!F495</f>
        <v>4.4400000000000004</v>
      </c>
      <c r="C155" s="19">
        <f>'DOE25'!G495</f>
        <v>4.4400000000000004</v>
      </c>
      <c r="D155" s="19">
        <f>'DOE25'!H495</f>
        <v>0</v>
      </c>
      <c r="E155" s="19">
        <f>'DOE25'!I495</f>
        <v>0</v>
      </c>
      <c r="F155" s="19">
        <f>'DOE25'!J495</f>
        <v>0</v>
      </c>
      <c r="G155" s="23" t="s">
        <v>288</v>
      </c>
    </row>
    <row r="156" spans="1:9" x14ac:dyDescent="0.2">
      <c r="A156" s="21" t="s">
        <v>32</v>
      </c>
      <c r="B156" s="19">
        <f>'DOE25'!F496</f>
        <v>15570306.32</v>
      </c>
      <c r="C156" s="19">
        <f>'DOE25'!G496</f>
        <v>806092.21</v>
      </c>
      <c r="D156" s="19">
        <f>'DOE25'!H496</f>
        <v>0</v>
      </c>
      <c r="E156" s="19">
        <f>'DOE25'!I496</f>
        <v>0</v>
      </c>
      <c r="F156" s="19">
        <f>'DOE25'!J496</f>
        <v>0</v>
      </c>
      <c r="G156" s="96">
        <f>SUM(B156:F156)</f>
        <v>16376398.530000001</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1260864.04</v>
      </c>
      <c r="C158" s="19">
        <f>'DOE25'!G498</f>
        <v>65276.34</v>
      </c>
      <c r="D158" s="19">
        <f>'DOE25'!H498</f>
        <v>0</v>
      </c>
      <c r="E158" s="19">
        <f>'DOE25'!I498</f>
        <v>0</v>
      </c>
      <c r="F158" s="19">
        <f>'DOE25'!J498</f>
        <v>0</v>
      </c>
      <c r="G158" s="96">
        <f t="shared" si="8"/>
        <v>1326140.3800000001</v>
      </c>
    </row>
    <row r="159" spans="1:9" x14ac:dyDescent="0.2">
      <c r="A159" s="21" t="s">
        <v>35</v>
      </c>
      <c r="B159" s="19">
        <f>'DOE25'!F499</f>
        <v>14309442.279999999</v>
      </c>
      <c r="C159" s="19">
        <f>'DOE25'!G499</f>
        <v>740815.87</v>
      </c>
      <c r="D159" s="19">
        <f>'DOE25'!H499</f>
        <v>0</v>
      </c>
      <c r="E159" s="19">
        <f>'DOE25'!I499</f>
        <v>0</v>
      </c>
      <c r="F159" s="19">
        <f>'DOE25'!J499</f>
        <v>0</v>
      </c>
      <c r="G159" s="96">
        <f t="shared" si="8"/>
        <v>15050258.149999999</v>
      </c>
    </row>
    <row r="160" spans="1:9" x14ac:dyDescent="0.2">
      <c r="A160" s="21" t="s">
        <v>36</v>
      </c>
      <c r="B160" s="19">
        <f>'DOE25'!F500</f>
        <v>22483819.120000001</v>
      </c>
      <c r="C160" s="19">
        <f>'DOE25'!G500</f>
        <v>1164012.52</v>
      </c>
      <c r="D160" s="19">
        <f>'DOE25'!H500</f>
        <v>0</v>
      </c>
      <c r="E160" s="19">
        <f>'DOE25'!I500</f>
        <v>0</v>
      </c>
      <c r="F160" s="19">
        <f>'DOE25'!J500</f>
        <v>0</v>
      </c>
      <c r="G160" s="96">
        <f t="shared" si="8"/>
        <v>23647831.640000001</v>
      </c>
    </row>
    <row r="161" spans="1:7" x14ac:dyDescent="0.2">
      <c r="A161" s="21" t="s">
        <v>37</v>
      </c>
      <c r="B161" s="19">
        <f>'DOE25'!F501</f>
        <v>36793261.399999999</v>
      </c>
      <c r="C161" s="19">
        <f>'DOE25'!G501</f>
        <v>1904828.3900000001</v>
      </c>
      <c r="D161" s="19">
        <f>'DOE25'!H501</f>
        <v>0</v>
      </c>
      <c r="E161" s="19">
        <f>'DOE25'!I501</f>
        <v>0</v>
      </c>
      <c r="F161" s="19">
        <f>'DOE25'!J501</f>
        <v>0</v>
      </c>
      <c r="G161" s="96">
        <f t="shared" si="8"/>
        <v>38698089.789999999</v>
      </c>
    </row>
    <row r="162" spans="1:7" x14ac:dyDescent="0.2">
      <c r="A162" s="21" t="s">
        <v>38</v>
      </c>
      <c r="B162" s="19">
        <f>'DOE25'!F502</f>
        <v>1202794.8</v>
      </c>
      <c r="C162" s="19">
        <f>'DOE25'!G502</f>
        <v>62270.04</v>
      </c>
      <c r="D162" s="19">
        <f>'DOE25'!H502</f>
        <v>0</v>
      </c>
      <c r="E162" s="19">
        <f>'DOE25'!I502</f>
        <v>0</v>
      </c>
      <c r="F162" s="19">
        <f>'DOE25'!J502</f>
        <v>0</v>
      </c>
      <c r="G162" s="96">
        <f t="shared" si="8"/>
        <v>1265064.8400000001</v>
      </c>
    </row>
    <row r="163" spans="1:7" x14ac:dyDescent="0.2">
      <c r="A163" s="21" t="s">
        <v>39</v>
      </c>
      <c r="B163" s="19">
        <f>'DOE25'!F503</f>
        <v>980318.47</v>
      </c>
      <c r="C163" s="19">
        <f>'DOE25'!G503</f>
        <v>50752.19</v>
      </c>
      <c r="D163" s="19">
        <f>'DOE25'!H503</f>
        <v>0</v>
      </c>
      <c r="E163" s="19">
        <f>'DOE25'!I503</f>
        <v>0</v>
      </c>
      <c r="F163" s="19">
        <f>'DOE25'!J503</f>
        <v>0</v>
      </c>
      <c r="G163" s="96">
        <f t="shared" si="8"/>
        <v>1031070.6599999999</v>
      </c>
    </row>
    <row r="164" spans="1:7" x14ac:dyDescent="0.2">
      <c r="A164" s="21" t="s">
        <v>246</v>
      </c>
      <c r="B164" s="19">
        <f>'DOE25'!F504</f>
        <v>2183113.27</v>
      </c>
      <c r="C164" s="19">
        <f>'DOE25'!G504</f>
        <v>113022.23000000001</v>
      </c>
      <c r="D164" s="19">
        <f>'DOE25'!H504</f>
        <v>0</v>
      </c>
      <c r="E164" s="19">
        <f>'DOE25'!I504</f>
        <v>0</v>
      </c>
      <c r="F164" s="19">
        <f>'DOE25'!J504</f>
        <v>0</v>
      </c>
      <c r="G164" s="96">
        <f t="shared" si="8"/>
        <v>2296135.5</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Keene</v>
      </c>
    </row>
    <row r="3" spans="1:4" x14ac:dyDescent="0.2">
      <c r="B3" s="137" t="s">
        <v>1799</v>
      </c>
    </row>
    <row r="4" spans="1:4" x14ac:dyDescent="0.2">
      <c r="B4" t="s">
        <v>61</v>
      </c>
      <c r="C4" s="129">
        <f>IF('DOE25'!F666+'DOE25'!F671=0,0,ROUND('DOE25'!F673,0))</f>
        <v>20752</v>
      </c>
    </row>
    <row r="5" spans="1:4" x14ac:dyDescent="0.2">
      <c r="B5" t="s">
        <v>700</v>
      </c>
      <c r="C5" s="129">
        <f>IF('DOE25'!G666+'DOE25'!G671=0,0,ROUND('DOE25'!G673,0))</f>
        <v>17391</v>
      </c>
    </row>
    <row r="6" spans="1:4" x14ac:dyDescent="0.2">
      <c r="B6" t="s">
        <v>62</v>
      </c>
      <c r="C6" s="129">
        <f>IF('DOE25'!H666+'DOE25'!H671=0,0,ROUND('DOE25'!H673,0))</f>
        <v>16694</v>
      </c>
    </row>
    <row r="7" spans="1:4" x14ac:dyDescent="0.2">
      <c r="B7" t="s">
        <v>701</v>
      </c>
      <c r="C7" s="129">
        <f>IF('DOE25'!I666+'DOE25'!I671=0,0,ROUND('DOE25'!I673,0))</f>
        <v>18284</v>
      </c>
    </row>
    <row r="9" spans="1:4" x14ac:dyDescent="0.2">
      <c r="A9" s="136" t="s">
        <v>94</v>
      </c>
      <c r="B9" s="137" t="s">
        <v>1800</v>
      </c>
      <c r="C9" s="131" t="s">
        <v>720</v>
      </c>
      <c r="D9" s="131" t="s">
        <v>721</v>
      </c>
    </row>
    <row r="10" spans="1:4" x14ac:dyDescent="0.2">
      <c r="A10">
        <v>1100</v>
      </c>
      <c r="B10" t="s">
        <v>702</v>
      </c>
      <c r="C10" s="129">
        <f>ROUND('DOE25'!L198+'DOE25'!L216+'DOE25'!L234+'DOE25'!L277+'DOE25'!L296+'DOE25'!L315,0)</f>
        <v>21939137</v>
      </c>
      <c r="D10" s="132">
        <f>ROUND((C10/$C$28)*100,1)</f>
        <v>34.6</v>
      </c>
    </row>
    <row r="11" spans="1:4" x14ac:dyDescent="0.2">
      <c r="A11">
        <v>1200</v>
      </c>
      <c r="B11" t="s">
        <v>703</v>
      </c>
      <c r="C11" s="129">
        <f>ROUND('DOE25'!L199+'DOE25'!L217+'DOE25'!L235+'DOE25'!L278+'DOE25'!L297+'DOE25'!L316,0)</f>
        <v>12154224</v>
      </c>
      <c r="D11" s="132">
        <f>ROUND((C11/$C$28)*100,1)</f>
        <v>19.2</v>
      </c>
    </row>
    <row r="12" spans="1:4" x14ac:dyDescent="0.2">
      <c r="A12">
        <v>1300</v>
      </c>
      <c r="B12" t="s">
        <v>704</v>
      </c>
      <c r="C12" s="129">
        <f>ROUND('DOE25'!L200+'DOE25'!L218+'DOE25'!L236+'DOE25'!L279+'DOE25'!L298+'DOE25'!L317,0)</f>
        <v>1575505</v>
      </c>
      <c r="D12" s="132">
        <f>ROUND((C12/$C$28)*100,1)</f>
        <v>2.5</v>
      </c>
    </row>
    <row r="13" spans="1:4" x14ac:dyDescent="0.2">
      <c r="A13">
        <v>1400</v>
      </c>
      <c r="B13" t="s">
        <v>705</v>
      </c>
      <c r="C13" s="129">
        <f>ROUND('DOE25'!L201+'DOE25'!L219+'DOE25'!L237+'DOE25'!L280+'DOE25'!L299+'DOE25'!L318,0)</f>
        <v>899001</v>
      </c>
      <c r="D13" s="132">
        <f>ROUND((C13/$C$28)*100,1)</f>
        <v>1.4</v>
      </c>
    </row>
    <row r="14" spans="1:4" x14ac:dyDescent="0.2">
      <c r="D14" s="132"/>
    </row>
    <row r="15" spans="1:4" x14ac:dyDescent="0.2">
      <c r="A15">
        <v>2100</v>
      </c>
      <c r="B15" t="s">
        <v>706</v>
      </c>
      <c r="C15" s="129">
        <f>ROUND('DOE25'!L203+'DOE25'!L221+'DOE25'!L239+'DOE25'!L282+'DOE25'!L301+'DOE25'!L320,0)</f>
        <v>6057567</v>
      </c>
      <c r="D15" s="132">
        <f t="shared" ref="D15:D27" si="0">ROUND((C15/$C$28)*100,1)</f>
        <v>9.6</v>
      </c>
    </row>
    <row r="16" spans="1:4" x14ac:dyDescent="0.2">
      <c r="A16">
        <v>2200</v>
      </c>
      <c r="B16" t="s">
        <v>707</v>
      </c>
      <c r="C16" s="129">
        <f>ROUND('DOE25'!L204+'DOE25'!L222+'DOE25'!L240+'DOE25'!L283+'DOE25'!L302+'DOE25'!L321,0)</f>
        <v>1959167</v>
      </c>
      <c r="D16" s="132">
        <f t="shared" si="0"/>
        <v>3.1</v>
      </c>
    </row>
    <row r="17" spans="1:4" x14ac:dyDescent="0.2">
      <c r="A17" s="133" t="s">
        <v>723</v>
      </c>
      <c r="B17" t="s">
        <v>738</v>
      </c>
      <c r="C17" s="129">
        <f>ROUND('DOE25'!L205+'DOE25'!L210+'DOE25'!L223+'DOE25'!L228+'DOE25'!L241+'DOE25'!L246+'DOE25'!L284+'DOE25'!L289+'DOE25'!L303+'DOE25'!L308+'DOE25'!L322+'DOE25'!L327,0)</f>
        <v>5121449</v>
      </c>
      <c r="D17" s="132">
        <f t="shared" si="0"/>
        <v>8.1</v>
      </c>
    </row>
    <row r="18" spans="1:4" x14ac:dyDescent="0.2">
      <c r="A18">
        <v>2400</v>
      </c>
      <c r="B18" t="s">
        <v>711</v>
      </c>
      <c r="C18" s="129">
        <f>ROUND('DOE25'!L206+'DOE25'!L224+'DOE25'!L242+'DOE25'!L285+'DOE25'!L304+'DOE25'!L323,0)</f>
        <v>3416723</v>
      </c>
      <c r="D18" s="132">
        <f t="shared" si="0"/>
        <v>5.4</v>
      </c>
    </row>
    <row r="19" spans="1:4" x14ac:dyDescent="0.2">
      <c r="A19">
        <v>2500</v>
      </c>
      <c r="B19" t="s">
        <v>708</v>
      </c>
      <c r="C19" s="129">
        <f>ROUND('DOE25'!L207+'DOE25'!L225+'DOE25'!L243+'DOE25'!L286+'DOE25'!L305+'DOE25'!L324,0)</f>
        <v>223215</v>
      </c>
      <c r="D19" s="132">
        <f t="shared" si="0"/>
        <v>0.4</v>
      </c>
    </row>
    <row r="20" spans="1:4" x14ac:dyDescent="0.2">
      <c r="A20">
        <v>2600</v>
      </c>
      <c r="B20" t="s">
        <v>709</v>
      </c>
      <c r="C20" s="129">
        <f>ROUND('DOE25'!L208+'DOE25'!L226+'DOE25'!L244+'DOE25'!L287+'DOE25'!L306+'DOE25'!L325,0)</f>
        <v>5531439</v>
      </c>
      <c r="D20" s="132">
        <f t="shared" si="0"/>
        <v>8.6999999999999993</v>
      </c>
    </row>
    <row r="21" spans="1:4" x14ac:dyDescent="0.2">
      <c r="A21">
        <v>2700</v>
      </c>
      <c r="B21" t="s">
        <v>710</v>
      </c>
      <c r="C21" s="129">
        <f>ROUND('DOE25'!L209+'DOE25'!L227+'DOE25'!L245+'DOE25'!L288+'DOE25'!L307+'DOE25'!L326,0)</f>
        <v>2147306</v>
      </c>
      <c r="D21" s="132">
        <f t="shared" si="0"/>
        <v>3.4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372463</v>
      </c>
      <c r="D24" s="132">
        <f t="shared" si="0"/>
        <v>0.6</v>
      </c>
    </row>
    <row r="25" spans="1:4" x14ac:dyDescent="0.2">
      <c r="A25">
        <v>5120</v>
      </c>
      <c r="B25" t="s">
        <v>716</v>
      </c>
      <c r="C25" s="129">
        <f>ROUND('DOE25'!L262+'DOE25'!L343,0)</f>
        <v>973235</v>
      </c>
      <c r="D25" s="132">
        <f t="shared" si="0"/>
        <v>1.5</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1002668.02</v>
      </c>
      <c r="D27" s="132">
        <f t="shared" si="0"/>
        <v>1.6</v>
      </c>
    </row>
    <row r="28" spans="1:4" x14ac:dyDescent="0.2">
      <c r="B28" s="136" t="s">
        <v>719</v>
      </c>
      <c r="C28" s="130">
        <f>SUM(C10:C27)</f>
        <v>63373099.020000003</v>
      </c>
      <c r="D28" s="134">
        <f>ROUND(SUM(D10:D27),0)</f>
        <v>100</v>
      </c>
    </row>
    <row r="29" spans="1:4" x14ac:dyDescent="0.2">
      <c r="A29">
        <v>4000</v>
      </c>
      <c r="B29" t="s">
        <v>724</v>
      </c>
      <c r="C29" s="129">
        <f>ROUND('DOE25'!L256+'DOE25'!L337+'DOE25'!L375+'DOE25'!L376+'DOE25'!L377+'DOE25'!L378+'DOE25'!L379+'DOE25'!L380+'DOE25'!L381,0)</f>
        <v>5595643</v>
      </c>
    </row>
    <row r="30" spans="1:4" x14ac:dyDescent="0.2">
      <c r="B30" s="136" t="s">
        <v>725</v>
      </c>
      <c r="C30" s="130">
        <f>SUM(C28:C29)</f>
        <v>68968742.020000011</v>
      </c>
    </row>
    <row r="31" spans="1:4" x14ac:dyDescent="0.2">
      <c r="B31" s="32"/>
      <c r="C31" s="130"/>
    </row>
    <row r="32" spans="1:4" x14ac:dyDescent="0.2">
      <c r="A32">
        <v>5100</v>
      </c>
      <c r="B32" s="32" t="s">
        <v>726</v>
      </c>
      <c r="C32" s="130">
        <f>ROUND('DOE25'!L261+'DOE25'!L342,0)</f>
        <v>1326140</v>
      </c>
    </row>
    <row r="34" spans="1:4" x14ac:dyDescent="0.2">
      <c r="A34" s="136" t="s">
        <v>94</v>
      </c>
      <c r="B34" s="137" t="s">
        <v>1801</v>
      </c>
      <c r="C34" s="131" t="s">
        <v>720</v>
      </c>
      <c r="D34" s="131" t="s">
        <v>721</v>
      </c>
    </row>
    <row r="35" spans="1:4" x14ac:dyDescent="0.2">
      <c r="A35">
        <v>1100</v>
      </c>
      <c r="B35" s="71" t="s">
        <v>727</v>
      </c>
      <c r="C35" s="129">
        <f>ROUND('DOE25'!F60+'DOE25'!G60+'DOE25'!H60+'DOE25'!I60+'DOE25'!J60,0)</f>
        <v>31907557</v>
      </c>
      <c r="D35" s="132">
        <f t="shared" ref="D35:D40" si="1">ROUND((C35/$C$41)*100,1)</f>
        <v>46.3</v>
      </c>
    </row>
    <row r="36" spans="1:4" x14ac:dyDescent="0.2">
      <c r="B36" s="71" t="s">
        <v>739</v>
      </c>
      <c r="C36" s="129">
        <f>SUM('DOE25'!F112:J112)-SUM('DOE25'!G97:G110)+('DOE25'!F175+'DOE25'!F176+'DOE25'!I175+'DOE25'!I176)-C35</f>
        <v>13718134.350000001</v>
      </c>
      <c r="D36" s="132">
        <f t="shared" si="1"/>
        <v>19.899999999999999</v>
      </c>
    </row>
    <row r="37" spans="1:4" x14ac:dyDescent="0.2">
      <c r="A37" s="133" t="s">
        <v>834</v>
      </c>
      <c r="B37" s="71" t="s">
        <v>728</v>
      </c>
      <c r="C37" s="129">
        <f>ROUND('DOE25'!F117+'DOE25'!F118,0)</f>
        <v>15722464</v>
      </c>
      <c r="D37" s="132">
        <f t="shared" si="1"/>
        <v>22.8</v>
      </c>
    </row>
    <row r="38" spans="1:4" x14ac:dyDescent="0.2">
      <c r="A38" s="133" t="s">
        <v>734</v>
      </c>
      <c r="B38" s="71" t="s">
        <v>729</v>
      </c>
      <c r="C38" s="129">
        <f>ROUND(SUM('DOE25'!F140:J140)-SUM('DOE25'!F117:F119),0)</f>
        <v>1961434</v>
      </c>
      <c r="D38" s="132">
        <f t="shared" si="1"/>
        <v>2.8</v>
      </c>
    </row>
    <row r="39" spans="1:4" x14ac:dyDescent="0.2">
      <c r="A39">
        <v>4000</v>
      </c>
      <c r="B39" s="71" t="s">
        <v>730</v>
      </c>
      <c r="C39" s="129">
        <f>ROUND('DOE25'!F170+'DOE25'!G170+'DOE25'!H170+'DOE25'!I170,0)</f>
        <v>5518864</v>
      </c>
      <c r="D39" s="132">
        <f t="shared" si="1"/>
        <v>8</v>
      </c>
    </row>
    <row r="40" spans="1:4" x14ac:dyDescent="0.2">
      <c r="A40" s="133" t="s">
        <v>735</v>
      </c>
      <c r="B40" s="71" t="s">
        <v>731</v>
      </c>
      <c r="C40" s="129">
        <f>ROUND(SUM('DOE25'!F190:F192)+SUM('DOE25'!G190:G192)+SUM('DOE25'!H190:H192)+SUM('DOE25'!I190:I192),0)</f>
        <v>20000</v>
      </c>
      <c r="D40" s="132">
        <f t="shared" si="1"/>
        <v>0</v>
      </c>
    </row>
    <row r="41" spans="1:4" x14ac:dyDescent="0.2">
      <c r="B41" s="136" t="s">
        <v>732</v>
      </c>
      <c r="C41" s="130">
        <f>SUM(C35:C40)</f>
        <v>68848453.349999994</v>
      </c>
      <c r="D41" s="134">
        <f>SUM(D35:D40)</f>
        <v>99.799999999999983</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0" sqref="C10:M10"/>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Keene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4</v>
      </c>
      <c r="B4" s="150">
        <v>135</v>
      </c>
      <c r="C4" s="327" t="s">
        <v>1815</v>
      </c>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88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33</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37</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92</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147</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287</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f>IFERROR(SMALL($I$4:$I$325,ROWS($I$4:I8)),"")</f>
        <v>312</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f>IF('School Level Expenditures'!$B$2='School Tables'!L36,'School Tables'!S36,"")</f>
        <v>33</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f>IF('School Level Expenditures'!$B$2='School Tables'!W40,'School Tables'!AD40,"")</f>
        <v>37</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f>IF('School Level Expenditures'!$B$2=A91,'School Tables'!H91,"")</f>
        <v>88</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f>IF('School Level Expenditures'!$B$2=A95,'School Tables'!H95,"")</f>
        <v>92</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f>IF('School Level Expenditures'!$B$2=A150,'School Tables'!H150,"")</f>
        <v>147</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f>IF('School Level Expenditures'!$B$2=A290,'School Tables'!H290,"")</f>
        <v>287</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f>IF('School Level Expenditures'!$B$2=A315,'School Tables'!H315,"")</f>
        <v>312</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2023-10-09T18:15:39Z</cp:lastPrinted>
  <dcterms:created xsi:type="dcterms:W3CDTF">1997-12-04T19:04:30Z</dcterms:created>
  <dcterms:modified xsi:type="dcterms:W3CDTF">2023-12-28T18:50:10Z</dcterms:modified>
</cp:coreProperties>
</file>