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5EF42D7A-5993-43C6-A6E7-501DBC8334F7}"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98" i="1" l="1"/>
  <c r="F23" i="1"/>
  <c r="B19" i="12" l="1"/>
  <c r="B20" i="12"/>
  <c r="B12" i="12"/>
  <c r="B11" i="12"/>
  <c r="B10" i="12"/>
  <c r="I522" i="1" l="1"/>
  <c r="K522" i="1"/>
  <c r="H522" i="1"/>
  <c r="G522" i="1"/>
  <c r="F522" i="1"/>
  <c r="H473" i="1"/>
  <c r="H469" i="1"/>
  <c r="H359" i="1"/>
  <c r="G97" i="1"/>
  <c r="F110" i="1"/>
  <c r="F9" i="1"/>
  <c r="P2" i="14" l="1"/>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C125" i="2" s="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J652" i="1" s="1"/>
  <c r="G17" i="13"/>
  <c r="H17" i="13"/>
  <c r="L252" i="1"/>
  <c r="G18" i="13"/>
  <c r="H18" i="13"/>
  <c r="L253" i="1"/>
  <c r="G19" i="13"/>
  <c r="H19" i="13"/>
  <c r="L254" i="1"/>
  <c r="H29" i="13"/>
  <c r="L359" i="1"/>
  <c r="L360" i="1"/>
  <c r="L361" i="1"/>
  <c r="I368" i="1"/>
  <c r="J291" i="1"/>
  <c r="J310" i="1"/>
  <c r="J329" i="1"/>
  <c r="K291" i="1"/>
  <c r="K310" i="1"/>
  <c r="K329" i="1"/>
  <c r="L277" i="1"/>
  <c r="L278" i="1"/>
  <c r="L279" i="1"/>
  <c r="L280" i="1"/>
  <c r="E112" i="2" s="1"/>
  <c r="L282" i="1"/>
  <c r="L283" i="1"/>
  <c r="L284" i="1"/>
  <c r="L285" i="1"/>
  <c r="L286" i="1"/>
  <c r="L287" i="1"/>
  <c r="L288" i="1"/>
  <c r="L289" i="1"/>
  <c r="E125" i="2" s="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C130" i="2" s="1"/>
  <c r="L337" i="1"/>
  <c r="E130" i="2" s="1"/>
  <c r="C11" i="13"/>
  <c r="C10" i="13"/>
  <c r="C9" i="13"/>
  <c r="L362" i="1"/>
  <c r="B4" i="12"/>
  <c r="B36" i="12"/>
  <c r="C36" i="12"/>
  <c r="B40" i="12"/>
  <c r="C40" i="12"/>
  <c r="B27" i="12"/>
  <c r="C27" i="12"/>
  <c r="B31" i="12"/>
  <c r="C31" i="12"/>
  <c r="B9" i="12"/>
  <c r="B13" i="12"/>
  <c r="C9" i="12"/>
  <c r="B18" i="12"/>
  <c r="C18"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E58" i="2" s="1"/>
  <c r="H111" i="1"/>
  <c r="I111" i="1"/>
  <c r="I112" i="1" s="1"/>
  <c r="J111" i="1"/>
  <c r="J112" i="1" s="1"/>
  <c r="F121" i="1"/>
  <c r="F136" i="1"/>
  <c r="G121" i="1"/>
  <c r="G136" i="1"/>
  <c r="H121" i="1"/>
  <c r="H136" i="1"/>
  <c r="I121" i="1"/>
  <c r="I136" i="1"/>
  <c r="J121" i="1"/>
  <c r="J136" i="1"/>
  <c r="J140" i="1" s="1"/>
  <c r="F147" i="1"/>
  <c r="F170" i="1" s="1"/>
  <c r="G147" i="1"/>
  <c r="D85" i="2" s="1"/>
  <c r="H147" i="1"/>
  <c r="H170" i="1" s="1"/>
  <c r="I147" i="1"/>
  <c r="I170" i="1" s="1"/>
  <c r="L251" i="1"/>
  <c r="C113" i="2" s="1"/>
  <c r="H113" i="2" s="1"/>
  <c r="L333" i="1"/>
  <c r="E113" i="2" s="1"/>
  <c r="L255" i="1"/>
  <c r="L269" i="1"/>
  <c r="L270" i="1"/>
  <c r="C143" i="2" s="1"/>
  <c r="L350" i="1"/>
  <c r="E142" i="2" s="1"/>
  <c r="L351" i="1"/>
  <c r="E143" i="2" s="1"/>
  <c r="I666" i="1"/>
  <c r="I671" i="1"/>
  <c r="G663"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H22" i="2" s="1"/>
  <c r="D22" i="2"/>
  <c r="E22" i="2"/>
  <c r="F22" i="2"/>
  <c r="I450" i="1"/>
  <c r="J23" i="1" s="1"/>
  <c r="G22" i="2" s="1"/>
  <c r="C23" i="2"/>
  <c r="D23" i="2"/>
  <c r="E23" i="2"/>
  <c r="F23" i="2"/>
  <c r="I451" i="1"/>
  <c r="J24" i="1" s="1"/>
  <c r="G23" i="2" s="1"/>
  <c r="C24" i="2"/>
  <c r="D24" i="2"/>
  <c r="E24" i="2"/>
  <c r="F24" i="2"/>
  <c r="C25" i="2"/>
  <c r="H25" i="2" s="1"/>
  <c r="F25" i="2"/>
  <c r="C26" i="2"/>
  <c r="H26" i="2" s="1"/>
  <c r="F26" i="2"/>
  <c r="C27" i="2"/>
  <c r="D27" i="2"/>
  <c r="E27" i="2"/>
  <c r="F27" i="2"/>
  <c r="C28" i="2"/>
  <c r="D28" i="2"/>
  <c r="E28" i="2"/>
  <c r="F28" i="2"/>
  <c r="C29" i="2"/>
  <c r="H29" i="2" s="1"/>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H47" i="2" s="1"/>
  <c r="C49" i="2"/>
  <c r="H49" i="2" s="1"/>
  <c r="F56" i="2"/>
  <c r="C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F73" i="2"/>
  <c r="C74" i="2"/>
  <c r="H74" i="2" s="1"/>
  <c r="C75" i="2"/>
  <c r="H75" i="2" s="1"/>
  <c r="C76" i="2"/>
  <c r="H76" i="2" s="1"/>
  <c r="E76" i="2"/>
  <c r="F76" i="2"/>
  <c r="C77" i="2"/>
  <c r="D77" i="2"/>
  <c r="D78" i="2" s="1"/>
  <c r="E77" i="2"/>
  <c r="F77" i="2"/>
  <c r="G77" i="2"/>
  <c r="G78" i="2" s="1"/>
  <c r="C79" i="2"/>
  <c r="H79" i="2" s="1"/>
  <c r="D79" i="2"/>
  <c r="E79" i="2"/>
  <c r="C80" i="2"/>
  <c r="H80" i="2" s="1"/>
  <c r="E80" i="2"/>
  <c r="C85" i="2"/>
  <c r="C87" i="2"/>
  <c r="E87" i="2"/>
  <c r="F87" i="2"/>
  <c r="C89" i="2"/>
  <c r="D89" i="2"/>
  <c r="E89" i="2"/>
  <c r="F89" i="2"/>
  <c r="C90" i="2"/>
  <c r="H90" i="2" s="1"/>
  <c r="C93" i="2"/>
  <c r="H93" i="2" s="1"/>
  <c r="F93" i="2"/>
  <c r="C94" i="2"/>
  <c r="F94" i="2"/>
  <c r="D96" i="2"/>
  <c r="E96" i="2"/>
  <c r="F96" i="2"/>
  <c r="G96" i="2"/>
  <c r="C97" i="2"/>
  <c r="H97" i="2" s="1"/>
  <c r="D97" i="2"/>
  <c r="E97" i="2"/>
  <c r="F97" i="2"/>
  <c r="G97" i="2"/>
  <c r="C98" i="2"/>
  <c r="D98" i="2"/>
  <c r="E98" i="2"/>
  <c r="G98" i="2"/>
  <c r="C99" i="2"/>
  <c r="H99" i="2" s="1"/>
  <c r="D99" i="2"/>
  <c r="E99" i="2"/>
  <c r="F99" i="2"/>
  <c r="C100" i="2"/>
  <c r="D100" i="2"/>
  <c r="E100" i="2"/>
  <c r="F100" i="2"/>
  <c r="C101" i="2"/>
  <c r="H101" i="2" s="1"/>
  <c r="D101" i="2"/>
  <c r="E101" i="2"/>
  <c r="F101" i="2"/>
  <c r="C102" i="2"/>
  <c r="D102" i="2"/>
  <c r="E102" i="2"/>
  <c r="F102" i="2"/>
  <c r="C110" i="2"/>
  <c r="E111" i="2"/>
  <c r="D115" i="2"/>
  <c r="F115" i="2"/>
  <c r="G115" i="2"/>
  <c r="E120" i="2"/>
  <c r="E124" i="2"/>
  <c r="F128" i="2"/>
  <c r="G128" i="2"/>
  <c r="D134" i="2"/>
  <c r="D144" i="2" s="1"/>
  <c r="F134" i="2"/>
  <c r="K420" i="1"/>
  <c r="K428" i="1"/>
  <c r="K434" i="1"/>
  <c r="L264" i="1"/>
  <c r="C135" i="2" s="1"/>
  <c r="H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G477" i="1" s="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4" i="1"/>
  <c r="G645" i="1"/>
  <c r="G646" i="1"/>
  <c r="G651" i="1"/>
  <c r="H653" i="1"/>
  <c r="G654" i="1"/>
  <c r="H654" i="1"/>
  <c r="H655" i="1"/>
  <c r="H656" i="1"/>
  <c r="H125" i="2" l="1"/>
  <c r="C20" i="12"/>
  <c r="C19" i="12"/>
  <c r="C22" i="12" s="1"/>
  <c r="I409" i="1"/>
  <c r="H96" i="2"/>
  <c r="F85" i="2"/>
  <c r="F91" i="2" s="1"/>
  <c r="H35" i="2"/>
  <c r="H13" i="2"/>
  <c r="H140" i="1"/>
  <c r="G62" i="2"/>
  <c r="H38" i="2"/>
  <c r="H43" i="2"/>
  <c r="H28" i="2"/>
  <c r="H15" i="2"/>
  <c r="H137" i="2"/>
  <c r="H102" i="2"/>
  <c r="H100" i="2"/>
  <c r="H98" i="2"/>
  <c r="H73" i="2"/>
  <c r="H23" i="2"/>
  <c r="H11" i="2"/>
  <c r="H143" i="2"/>
  <c r="M2" i="14"/>
  <c r="M3" i="14" s="1"/>
  <c r="C112" i="2"/>
  <c r="H112" i="2" s="1"/>
  <c r="H69" i="2"/>
  <c r="H17" i="2"/>
  <c r="D18" i="13"/>
  <c r="C18" i="13" s="1"/>
  <c r="D15" i="13"/>
  <c r="C15" i="13" s="1"/>
  <c r="C12" i="10"/>
  <c r="H30" i="2"/>
  <c r="H59" i="2"/>
  <c r="H89" i="2"/>
  <c r="H34" i="2"/>
  <c r="H132" i="2"/>
  <c r="H36" i="2"/>
  <c r="H42" i="2"/>
  <c r="H44" i="2"/>
  <c r="H94" i="2"/>
  <c r="H27" i="2"/>
  <c r="H24" i="2"/>
  <c r="H12" i="2"/>
  <c r="H8" i="2"/>
  <c r="E121" i="2"/>
  <c r="N2" i="14"/>
  <c r="N3" i="14" s="1"/>
  <c r="H87" i="2"/>
  <c r="H58" i="2"/>
  <c r="C12" i="12"/>
  <c r="C10" i="12"/>
  <c r="C11" i="12"/>
  <c r="A40" i="12"/>
  <c r="D29" i="13"/>
  <c r="C29" i="13" s="1"/>
  <c r="G662" i="1"/>
  <c r="H48" i="2"/>
  <c r="H61" i="2"/>
  <c r="H77" i="2"/>
  <c r="C120" i="2"/>
  <c r="H120" i="2" s="1"/>
  <c r="C13" i="10"/>
  <c r="C121" i="2"/>
  <c r="H121" i="2" s="1"/>
  <c r="C119" i="2"/>
  <c r="D6" i="13"/>
  <c r="C6" i="13" s="1"/>
  <c r="L2" i="14"/>
  <c r="L3" i="14" s="1"/>
  <c r="K2" i="14"/>
  <c r="K3" i="14" s="1"/>
  <c r="H477" i="1"/>
  <c r="H625" i="1" s="1"/>
  <c r="J625" i="1" s="1"/>
  <c r="H9" i="2"/>
  <c r="G409" i="1"/>
  <c r="H646" i="1" s="1"/>
  <c r="J646" i="1" s="1"/>
  <c r="E119" i="2"/>
  <c r="H409" i="1"/>
  <c r="H645" i="1" s="1"/>
  <c r="J645" i="1" s="1"/>
  <c r="G339" i="1"/>
  <c r="G353" i="1" s="1"/>
  <c r="J258" i="1"/>
  <c r="J272" i="1" s="1"/>
  <c r="E123" i="2"/>
  <c r="E110" i="2"/>
  <c r="H110" i="2" s="1"/>
  <c r="K339" i="1"/>
  <c r="K353" i="1" s="1"/>
  <c r="J656" i="1"/>
  <c r="J572" i="1"/>
  <c r="D50" i="2"/>
  <c r="E131" i="2"/>
  <c r="H131" i="2" s="1"/>
  <c r="G553" i="1"/>
  <c r="H663" i="1"/>
  <c r="F258" i="1"/>
  <c r="F272" i="1" s="1"/>
  <c r="C20" i="10"/>
  <c r="I370" i="1"/>
  <c r="H635" i="1" s="1"/>
  <c r="J635" i="1" s="1"/>
  <c r="L257" i="1"/>
  <c r="H193" i="1"/>
  <c r="C11" i="10"/>
  <c r="A31" i="12"/>
  <c r="E114" i="2"/>
  <c r="E85" i="2"/>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H114" i="2" s="1"/>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D12" i="13"/>
  <c r="C12" i="13" s="1"/>
  <c r="D5" i="13"/>
  <c r="C5" i="13" s="1"/>
  <c r="E8" i="13"/>
  <c r="C8" i="13" s="1"/>
  <c r="C35" i="10"/>
  <c r="C29" i="10"/>
  <c r="G650" i="1"/>
  <c r="J650" i="1" s="1"/>
  <c r="L545" i="1"/>
  <c r="L525" i="1"/>
  <c r="J339" i="1"/>
  <c r="J353" i="1" s="1"/>
  <c r="D127" i="2"/>
  <c r="C124" i="2"/>
  <c r="H124" i="2" s="1"/>
  <c r="C122" i="2"/>
  <c r="C118" i="2"/>
  <c r="H118" i="2" s="1"/>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E128" i="2" l="1"/>
  <c r="H119" i="2"/>
  <c r="H31" i="2"/>
  <c r="H122" i="2"/>
  <c r="H78" i="2"/>
  <c r="H134" i="2"/>
  <c r="H21" i="2"/>
  <c r="H57" i="2"/>
  <c r="H103" i="2"/>
  <c r="E51" i="2"/>
  <c r="L572" i="1"/>
  <c r="H16" i="2"/>
  <c r="C13" i="12"/>
  <c r="A13" i="12" s="1"/>
  <c r="E91" i="2"/>
  <c r="H91" i="2" s="1"/>
  <c r="H85" i="2"/>
  <c r="D128" i="2"/>
  <c r="D145" i="2" s="1"/>
  <c r="H127" i="2"/>
  <c r="D51" i="2"/>
  <c r="I662" i="1"/>
  <c r="H62" i="2"/>
  <c r="C81" i="2"/>
  <c r="H81" i="2" s="1"/>
  <c r="F194" i="1"/>
  <c r="G628" i="1" s="1"/>
  <c r="J628" i="1" s="1"/>
  <c r="H18" i="2"/>
  <c r="H50" i="2"/>
  <c r="M24" i="14"/>
  <c r="F661" i="1"/>
  <c r="F665" i="1" s="1"/>
  <c r="F670" i="1" s="1"/>
  <c r="E115" i="2"/>
  <c r="H109" i="2"/>
  <c r="F144" i="2"/>
  <c r="H130" i="2"/>
  <c r="H661" i="1"/>
  <c r="H665" i="1" s="1"/>
  <c r="H194" i="1"/>
  <c r="G630" i="1" s="1"/>
  <c r="J630" i="1" s="1"/>
  <c r="H649" i="1"/>
  <c r="J649" i="1" s="1"/>
  <c r="C141" i="2"/>
  <c r="F51" i="2"/>
  <c r="G36" i="14"/>
  <c r="H36" i="14" s="1"/>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H63" i="2" s="1"/>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H128" i="2" l="1"/>
  <c r="E104" i="2"/>
  <c r="C104" i="2"/>
  <c r="H51" i="2"/>
  <c r="C144" i="2"/>
  <c r="H144" i="2" s="1"/>
  <c r="H141" i="2"/>
  <c r="M36" i="14"/>
  <c r="I36" i="14"/>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104" i="2" l="1"/>
  <c r="C145" i="2"/>
  <c r="H145" i="2" s="1"/>
  <c r="H657" i="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<sst xmlns="http://schemas.openxmlformats.org/spreadsheetml/2006/main" count="6557" uniqueCount="1812">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</sst>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8" zoomScale="115" zoomScaleNormal="115" workbookViewId="0">
      <selection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1156</v>
      </c>
      <c r="B2">
        <f>INDEX('School Tables'!$AH$3:$AH$209,MATCH('DOE25'!A2,'School Tables'!$AJ$3:$AJ$209,0))</f>
        <v>281</v>
      </c>
      <c r="C2">
        <f>INDEX('School Tables'!$AI$3:$AI$209,MATCH('DOE25'!A2,'School Tables'!$AJ$3:$AJ$209,0))</f>
        <v>281</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f>40921.49+296228.14</f>
        <v>337149.63</v>
      </c>
      <c r="G9" s="18"/>
      <c r="H9" s="18"/>
      <c r="I9" s="18"/>
      <c r="J9" s="13">
        <f>SUM(I440)</f>
        <v>0</v>
      </c>
      <c r="K9" s="23" t="s">
        <v>288</v>
      </c>
      <c r="L9" s="23" t="s">
        <v>288</v>
      </c>
      <c r="M9" s="8"/>
      <c r="N9" s="165"/>
    </row>
    <row r="10" spans="1:14" s="3" customFormat="1" ht="12.2" customHeight="1" x14ac:dyDescent="0.15">
      <c r="A10" s="1" t="s">
        <v>562</v>
      </c>
      <c r="B10" s="2" t="s">
        <v>289</v>
      </c>
      <c r="C10" s="6">
        <v>2</v>
      </c>
      <c r="D10" s="2" t="s">
        <v>428</v>
      </c>
      <c r="E10" s="6">
        <v>110</v>
      </c>
      <c r="F10" s="18">
        <v>9090.69</v>
      </c>
      <c r="G10" s="18"/>
      <c r="H10" s="18"/>
      <c r="I10" s="18"/>
      <c r="J10" s="13">
        <f>SUM(I441)</f>
        <v>123992.36</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c r="G12" s="18"/>
      <c r="H12" s="18"/>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v>9216.32</v>
      </c>
      <c r="G13" s="18"/>
      <c r="H13" s="18"/>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v>16258.4</v>
      </c>
      <c r="G14" s="18"/>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v>2141.65</v>
      </c>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371715.04000000004</v>
      </c>
      <c r="G19" s="38">
        <f>SUM(G9:G18)</f>
        <v>2141.65</v>
      </c>
      <c r="H19" s="38">
        <f>SUM(H9:H18)</f>
        <v>0</v>
      </c>
      <c r="I19" s="38">
        <f>SUM(I9:I18)</f>
        <v>0</v>
      </c>
      <c r="J19" s="38">
        <f>SUM(J9:J18)</f>
        <v>123992.36</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v>35991.86</v>
      </c>
      <c r="G22" s="18">
        <v>-25986.92</v>
      </c>
      <c r="H22" s="18">
        <v>-10004.94</v>
      </c>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f>74748.91+25293.12</f>
        <v>100042.03</v>
      </c>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v>55398.41</v>
      </c>
      <c r="G24" s="18"/>
      <c r="H24" s="18"/>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v>138670.43</v>
      </c>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c r="G30" s="18"/>
      <c r="H30" s="18"/>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330102.73</v>
      </c>
      <c r="G32" s="38">
        <f>SUM(G22:G31)</f>
        <v>-25986.92</v>
      </c>
      <c r="H32" s="38">
        <f>SUM(H22:H31)</f>
        <v>-10004.94</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v>20000</v>
      </c>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c r="H48" s="18"/>
      <c r="I48" s="18"/>
      <c r="J48" s="13">
        <f>SUM(I460)</f>
        <v>123992.36</v>
      </c>
      <c r="K48" s="23" t="s">
        <v>288</v>
      </c>
      <c r="L48" s="23" t="s">
        <v>288</v>
      </c>
      <c r="M48" s="8"/>
      <c r="N48" s="165"/>
    </row>
    <row r="49" spans="1:14" s="3" customFormat="1" ht="12.2" customHeight="1" x14ac:dyDescent="0.15">
      <c r="A49" s="1" t="s">
        <v>858</v>
      </c>
      <c r="B49" s="2" t="s">
        <v>289</v>
      </c>
      <c r="C49" s="6">
        <v>34</v>
      </c>
      <c r="D49" s="2"/>
      <c r="E49" s="6">
        <v>753</v>
      </c>
      <c r="F49" s="18"/>
      <c r="G49" s="18">
        <v>28128.57</v>
      </c>
      <c r="H49" s="18">
        <v>10004.94</v>
      </c>
      <c r="I49" s="18"/>
      <c r="J49" s="13">
        <f>I455</f>
        <v>0</v>
      </c>
      <c r="K49" s="23"/>
      <c r="L49" s="23"/>
      <c r="M49" s="8"/>
      <c r="N49" s="165"/>
    </row>
    <row r="50" spans="1:14" s="3" customFormat="1" ht="12.2" customHeight="1" thickBot="1" x14ac:dyDescent="0.2">
      <c r="A50" s="28" t="s">
        <v>839</v>
      </c>
      <c r="B50" s="2" t="s">
        <v>289</v>
      </c>
      <c r="C50" s="56">
        <v>35</v>
      </c>
      <c r="D50" s="2" t="s">
        <v>653</v>
      </c>
      <c r="E50" s="6">
        <v>770</v>
      </c>
      <c r="F50" s="18">
        <v>21612.31</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41612.31</v>
      </c>
      <c r="G51" s="38">
        <f>SUM(G35:G50)</f>
        <v>28128.57</v>
      </c>
      <c r="H51" s="38">
        <f>SUM(H35:H50)</f>
        <v>10004.94</v>
      </c>
      <c r="I51" s="38">
        <f>SUM(I35:I50)</f>
        <v>0</v>
      </c>
      <c r="J51" s="38">
        <f>SUM(J35:J50)</f>
        <v>123992.36</v>
      </c>
      <c r="K51" s="42" t="s">
        <v>288</v>
      </c>
      <c r="L51" s="42" t="s">
        <v>288</v>
      </c>
      <c r="N51" s="131"/>
    </row>
    <row r="52" spans="1:14" s="3" customFormat="1" ht="12.2" customHeight="1" thickTop="1" x14ac:dyDescent="0.15">
      <c r="A52" s="35" t="s">
        <v>455</v>
      </c>
      <c r="B52" s="36" t="s">
        <v>289</v>
      </c>
      <c r="C52" s="6">
        <v>37</v>
      </c>
      <c r="D52" s="36" t="s">
        <v>653</v>
      </c>
      <c r="E52" s="36"/>
      <c r="F52" s="38">
        <f>F51+F32</f>
        <v>371715.04</v>
      </c>
      <c r="G52" s="38">
        <f>G51+G32</f>
        <v>2141.6500000000015</v>
      </c>
      <c r="H52" s="38">
        <f>H51+H32</f>
        <v>0</v>
      </c>
      <c r="I52" s="38">
        <f>I51+I32</f>
        <v>0</v>
      </c>
      <c r="J52" s="38">
        <f>J51+J32</f>
        <v>123992.36</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2870828</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2870828</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v>1600</v>
      </c>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1600</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6605.42</v>
      </c>
      <c r="G96" s="18"/>
      <c r="H96" s="18"/>
      <c r="I96" s="18"/>
      <c r="J96" s="18">
        <v>476.76</v>
      </c>
      <c r="K96" s="23" t="s">
        <v>288</v>
      </c>
      <c r="L96" s="23" t="s">
        <v>288</v>
      </c>
      <c r="M96" s="8"/>
      <c r="N96" s="165"/>
    </row>
    <row r="97" spans="1:14" s="3" customFormat="1" ht="12.2" customHeight="1" x14ac:dyDescent="0.15">
      <c r="A97" s="1" t="s">
        <v>503</v>
      </c>
      <c r="B97" s="2" t="s">
        <v>315</v>
      </c>
      <c r="C97" s="6">
        <v>12</v>
      </c>
      <c r="D97" s="2" t="s">
        <v>430</v>
      </c>
      <c r="E97" s="6">
        <v>1600</v>
      </c>
      <c r="F97" s="23" t="s">
        <v>288</v>
      </c>
      <c r="G97" s="18">
        <f>3548.85+8775.08+30434.75+40552.45</f>
        <v>83311.13</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v>3075.55</v>
      </c>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f>12934.03+1364.53+1</f>
        <v>14299.560000000001</v>
      </c>
      <c r="G110" s="18">
        <v>6328.25</v>
      </c>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20904.980000000003</v>
      </c>
      <c r="G111" s="38">
        <f>SUM(G96:G110)</f>
        <v>89639.38</v>
      </c>
      <c r="H111" s="38">
        <f>SUM(H96:H110)</f>
        <v>3075.55</v>
      </c>
      <c r="I111" s="38">
        <f>SUM(I96:I110)</f>
        <v>0</v>
      </c>
      <c r="J111" s="38">
        <f>SUM(J96:J110)</f>
        <v>476.76</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2893332.98</v>
      </c>
      <c r="G112" s="38">
        <f>G60+G111</f>
        <v>89639.38</v>
      </c>
      <c r="H112" s="38">
        <f>H60+H79+H94+H111</f>
        <v>3075.55</v>
      </c>
      <c r="I112" s="38">
        <f>I60+I111</f>
        <v>0</v>
      </c>
      <c r="J112" s="38">
        <f>J60+J111</f>
        <v>476.76</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288902.2</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263670</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20631.22</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573203.41999999993</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v>55974.6</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880.29</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55974.6</v>
      </c>
      <c r="G136" s="38">
        <f>SUM(G123:G135)</f>
        <v>880.29</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629178.0199999999</v>
      </c>
      <c r="G140" s="38">
        <f>G121+SUM(G136:G137)</f>
        <v>880.29</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v>15837.19</v>
      </c>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7050.82</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v>7063.06</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v>19746.97</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100384.73</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359.46</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v>24999.63</v>
      </c>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v>68426.559999999998</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359.46</v>
      </c>
      <c r="G163" s="38">
        <f>SUM(G150:G162)</f>
        <v>19746.97</v>
      </c>
      <c r="H163" s="38">
        <f>SUM(H150:H162)</f>
        <v>223761.99</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359.46</v>
      </c>
      <c r="G170" s="38">
        <f>G147+G163+SUM(G164:G169)</f>
        <v>19746.97</v>
      </c>
      <c r="H170" s="38">
        <f>H147+H163+SUM(H164:H169)</f>
        <v>223761.99</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c r="H180" s="18"/>
      <c r="I180" s="18"/>
      <c r="J180" s="18">
        <v>20000</v>
      </c>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20000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0</v>
      </c>
      <c r="G193" s="38">
        <f>G184+SUM(G189:G192)</f>
        <v>0</v>
      </c>
      <c r="H193" s="38">
        <f>+H184+SUM(H189:H192)</f>
        <v>0</v>
      </c>
      <c r="I193" s="38">
        <f>I178+I184+SUM(I189:I192)</f>
        <v>0</v>
      </c>
      <c r="J193" s="38">
        <f>J184</f>
        <v>20000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3522870.46</v>
      </c>
      <c r="G194" s="38">
        <f>G112+G140+G170+G193</f>
        <v>110266.64</v>
      </c>
      <c r="H194" s="38">
        <f>H112+H140+H170+H193</f>
        <v>226837.53999999998</v>
      </c>
      <c r="I194" s="38">
        <f>I112+I140+I170+I193</f>
        <v>0</v>
      </c>
      <c r="J194" s="38">
        <f>J112+J140+J193</f>
        <v>20476.759999999998</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1053234.17</v>
      </c>
      <c r="G198" s="18">
        <f>25293.12+561058.56</f>
        <v>586351.68000000005</v>
      </c>
      <c r="H198" s="18">
        <v>330</v>
      </c>
      <c r="I198" s="18">
        <v>30397.13</v>
      </c>
      <c r="J198" s="18">
        <v>3635.14</v>
      </c>
      <c r="K198" s="18"/>
      <c r="L198" s="13">
        <f>SUM(F198:K198)</f>
        <v>1673948.1199999999</v>
      </c>
      <c r="M198" s="8"/>
      <c r="N198" s="165"/>
    </row>
    <row r="199" spans="1:14" s="3" customFormat="1" ht="12.2" customHeight="1" x14ac:dyDescent="0.15">
      <c r="A199" s="1" t="s">
        <v>439</v>
      </c>
      <c r="B199" s="2" t="s">
        <v>341</v>
      </c>
      <c r="C199" s="2" t="s">
        <v>291</v>
      </c>
      <c r="D199" s="2" t="s">
        <v>431</v>
      </c>
      <c r="E199" s="6">
        <v>1200</v>
      </c>
      <c r="F199" s="18">
        <v>266516.33</v>
      </c>
      <c r="G199" s="18">
        <v>127926.38</v>
      </c>
      <c r="H199" s="18">
        <v>26063.9</v>
      </c>
      <c r="I199" s="18">
        <v>6710.75</v>
      </c>
      <c r="J199" s="18">
        <v>3118.44</v>
      </c>
      <c r="K199" s="18"/>
      <c r="L199" s="13">
        <f>SUM(F199:K199)</f>
        <v>430335.80000000005</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v>1700</v>
      </c>
      <c r="G201" s="18">
        <v>580.95000000000005</v>
      </c>
      <c r="H201" s="18"/>
      <c r="I201" s="18"/>
      <c r="J201" s="18"/>
      <c r="K201" s="18">
        <v>6302.27</v>
      </c>
      <c r="L201" s="13">
        <f>SUM(F201:K201)</f>
        <v>8583.2200000000012</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227806.84</v>
      </c>
      <c r="G203" s="18">
        <v>114698.05</v>
      </c>
      <c r="H203" s="18">
        <v>55769.64</v>
      </c>
      <c r="I203" s="18">
        <v>1963.69</v>
      </c>
      <c r="J203" s="18">
        <v>75.34</v>
      </c>
      <c r="K203" s="18"/>
      <c r="L203" s="13">
        <f t="shared" ref="L203:L209" si="0">SUM(F203:K203)</f>
        <v>400313.56000000006</v>
      </c>
      <c r="M203" s="8"/>
      <c r="N203" s="165"/>
    </row>
    <row r="204" spans="1:14" s="3" customFormat="1" ht="12.2" customHeight="1" x14ac:dyDescent="0.15">
      <c r="A204" s="1" t="s">
        <v>443</v>
      </c>
      <c r="B204" s="2" t="s">
        <v>341</v>
      </c>
      <c r="C204" s="2" t="s">
        <v>295</v>
      </c>
      <c r="D204" s="2" t="s">
        <v>431</v>
      </c>
      <c r="E204" s="6">
        <v>2200</v>
      </c>
      <c r="F204" s="18">
        <v>122893.69</v>
      </c>
      <c r="G204" s="18">
        <v>41996.89</v>
      </c>
      <c r="H204" s="18">
        <v>8926.3799999999992</v>
      </c>
      <c r="I204" s="18">
        <v>7263.13</v>
      </c>
      <c r="J204" s="18">
        <v>11073.86</v>
      </c>
      <c r="K204" s="18"/>
      <c r="L204" s="13">
        <f t="shared" si="0"/>
        <v>192153.95</v>
      </c>
      <c r="M204" s="8"/>
      <c r="N204" s="165"/>
    </row>
    <row r="205" spans="1:14" s="3" customFormat="1" ht="12.2" customHeight="1" x14ac:dyDescent="0.15">
      <c r="A205" s="1" t="s">
        <v>444</v>
      </c>
      <c r="B205" s="2" t="s">
        <v>341</v>
      </c>
      <c r="C205" s="2" t="s">
        <v>296</v>
      </c>
      <c r="D205" s="2" t="s">
        <v>431</v>
      </c>
      <c r="E205" s="6">
        <v>2300</v>
      </c>
      <c r="F205" s="18">
        <v>3826.8</v>
      </c>
      <c r="G205" s="18">
        <v>323.54000000000002</v>
      </c>
      <c r="H205" s="18">
        <v>87936.03</v>
      </c>
      <c r="I205" s="18"/>
      <c r="J205" s="18"/>
      <c r="K205" s="18"/>
      <c r="L205" s="13">
        <f t="shared" si="0"/>
        <v>92086.37</v>
      </c>
      <c r="M205" s="8"/>
      <c r="N205" s="165"/>
    </row>
    <row r="206" spans="1:14" s="3" customFormat="1" ht="12.2" customHeight="1" x14ac:dyDescent="0.15">
      <c r="A206" s="1" t="s">
        <v>445</v>
      </c>
      <c r="B206" s="2" t="s">
        <v>341</v>
      </c>
      <c r="C206" s="2" t="s">
        <v>297</v>
      </c>
      <c r="D206" s="2" t="s">
        <v>431</v>
      </c>
      <c r="E206" s="6">
        <v>2400</v>
      </c>
      <c r="F206" s="18">
        <v>159997.25</v>
      </c>
      <c r="G206" s="18">
        <v>97708.37</v>
      </c>
      <c r="H206" s="18">
        <v>31977.11</v>
      </c>
      <c r="I206" s="18">
        <v>2963.92</v>
      </c>
      <c r="J206" s="18">
        <v>127.52</v>
      </c>
      <c r="K206" s="18">
        <v>24.28</v>
      </c>
      <c r="L206" s="13">
        <f t="shared" si="0"/>
        <v>292798.45</v>
      </c>
      <c r="M206" s="8"/>
      <c r="N206" s="165"/>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5"/>
    </row>
    <row r="208" spans="1:14" s="3" customFormat="1" ht="12.2" customHeight="1" x14ac:dyDescent="0.15">
      <c r="A208" s="1" t="s">
        <v>447</v>
      </c>
      <c r="B208" s="2" t="s">
        <v>341</v>
      </c>
      <c r="C208" s="2" t="s">
        <v>299</v>
      </c>
      <c r="D208" s="2" t="s">
        <v>431</v>
      </c>
      <c r="E208" s="6">
        <v>2600</v>
      </c>
      <c r="F208" s="18">
        <v>96474</v>
      </c>
      <c r="G208" s="18">
        <v>47373.18</v>
      </c>
      <c r="H208" s="18">
        <v>149618.16</v>
      </c>
      <c r="I208" s="18">
        <v>46451.21</v>
      </c>
      <c r="J208" s="18"/>
      <c r="K208" s="18"/>
      <c r="L208" s="13">
        <f t="shared" si="0"/>
        <v>339916.55</v>
      </c>
      <c r="M208" s="8"/>
      <c r="N208" s="165"/>
    </row>
    <row r="209" spans="1:14" s="3" customFormat="1" ht="12.2" customHeight="1" x14ac:dyDescent="0.15">
      <c r="A209" s="1" t="s">
        <v>448</v>
      </c>
      <c r="B209" s="2" t="s">
        <v>341</v>
      </c>
      <c r="C209" s="2" t="s">
        <v>300</v>
      </c>
      <c r="D209" s="2" t="s">
        <v>431</v>
      </c>
      <c r="E209" s="6">
        <v>2700</v>
      </c>
      <c r="F209" s="18"/>
      <c r="G209" s="18"/>
      <c r="H209" s="18">
        <v>141299.56</v>
      </c>
      <c r="I209" s="18"/>
      <c r="J209" s="18"/>
      <c r="K209" s="18"/>
      <c r="L209" s="13">
        <f t="shared" si="0"/>
        <v>141299.56</v>
      </c>
      <c r="M209" s="8"/>
      <c r="N209" s="165"/>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1932449.08</v>
      </c>
      <c r="G212" s="38">
        <f t="shared" si="1"/>
        <v>1016959.0400000002</v>
      </c>
      <c r="H212" s="38">
        <f t="shared" si="1"/>
        <v>501920.77999999997</v>
      </c>
      <c r="I212" s="38">
        <f t="shared" si="1"/>
        <v>95749.83</v>
      </c>
      <c r="J212" s="38">
        <f t="shared" si="1"/>
        <v>18030.3</v>
      </c>
      <c r="K212" s="38">
        <f t="shared" si="1"/>
        <v>6326.55</v>
      </c>
      <c r="L212" s="38">
        <f t="shared" si="1"/>
        <v>3571435.5800000005</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5"/>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5"/>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5"/>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5"/>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c r="G234" s="18"/>
      <c r="H234" s="18"/>
      <c r="I234" s="18"/>
      <c r="J234" s="18"/>
      <c r="K234" s="18"/>
      <c r="L234" s="13">
        <f>SUM(F234:K234)</f>
        <v>0</v>
      </c>
      <c r="M234" s="8"/>
      <c r="N234" s="165"/>
    </row>
    <row r="235" spans="1:14" s="3" customFormat="1" ht="12.2" customHeight="1" x14ac:dyDescent="0.15">
      <c r="A235" s="1" t="s">
        <v>439</v>
      </c>
      <c r="B235" s="2" t="s">
        <v>350</v>
      </c>
      <c r="C235" s="2" t="s">
        <v>291</v>
      </c>
      <c r="D235" s="2" t="s">
        <v>431</v>
      </c>
      <c r="E235" s="6">
        <v>1200</v>
      </c>
      <c r="F235" s="18"/>
      <c r="G235" s="18"/>
      <c r="H235" s="18"/>
      <c r="I235" s="18"/>
      <c r="J235" s="18"/>
      <c r="K235" s="18"/>
      <c r="L235" s="13">
        <f>SUM(F235:K235)</f>
        <v>0</v>
      </c>
      <c r="M235" s="8"/>
      <c r="N235" s="165"/>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5"/>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5"/>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5"/>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5"/>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5"/>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5"/>
    </row>
    <row r="245" spans="1:14" s="3" customFormat="1" ht="12.2" customHeight="1" x14ac:dyDescent="0.15">
      <c r="A245" s="1" t="s">
        <v>448</v>
      </c>
      <c r="B245" s="2" t="s">
        <v>350</v>
      </c>
      <c r="C245" s="2" t="s">
        <v>300</v>
      </c>
      <c r="D245" s="2" t="s">
        <v>431</v>
      </c>
      <c r="E245" s="6">
        <v>2700</v>
      </c>
      <c r="F245" s="18"/>
      <c r="G245" s="18"/>
      <c r="H245" s="18"/>
      <c r="I245" s="18"/>
      <c r="J245" s="18"/>
      <c r="K245" s="18"/>
      <c r="L245" s="13">
        <f t="shared" si="4"/>
        <v>0</v>
      </c>
      <c r="M245" s="8"/>
      <c r="N245" s="165"/>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0</v>
      </c>
      <c r="I248" s="38">
        <f t="shared" si="5"/>
        <v>0</v>
      </c>
      <c r="J248" s="38">
        <f t="shared" si="5"/>
        <v>0</v>
      </c>
      <c r="K248" s="38">
        <f t="shared" si="5"/>
        <v>0</v>
      </c>
      <c r="L248" s="38">
        <f t="shared" si="5"/>
        <v>0</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5"/>
    </row>
    <row r="258" spans="1:14" s="3" customFormat="1" ht="12.2" customHeight="1" thickTop="1" x14ac:dyDescent="0.15">
      <c r="A258" s="35" t="s">
        <v>462</v>
      </c>
      <c r="B258" s="37">
        <v>10</v>
      </c>
      <c r="C258" s="37">
        <v>8</v>
      </c>
      <c r="D258" s="36" t="s">
        <v>431</v>
      </c>
      <c r="E258" s="37"/>
      <c r="F258" s="38">
        <f t="shared" ref="F258:L258" si="8">F212+F230+F248+F257</f>
        <v>1932449.08</v>
      </c>
      <c r="G258" s="38">
        <f t="shared" si="8"/>
        <v>1016959.0400000002</v>
      </c>
      <c r="H258" s="38">
        <f t="shared" si="8"/>
        <v>501920.77999999997</v>
      </c>
      <c r="I258" s="38">
        <f t="shared" si="8"/>
        <v>95749.83</v>
      </c>
      <c r="J258" s="38">
        <f t="shared" si="8"/>
        <v>18030.3</v>
      </c>
      <c r="K258" s="38">
        <f t="shared" si="8"/>
        <v>6326.55</v>
      </c>
      <c r="L258" s="38">
        <f t="shared" si="8"/>
        <v>3571435.5800000005</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20000</v>
      </c>
      <c r="L267" s="13">
        <f t="shared" si="9"/>
        <v>20000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20000</v>
      </c>
      <c r="L271" s="38">
        <f t="shared" si="9"/>
        <v>20000</v>
      </c>
      <c r="M271" s="8"/>
      <c r="N271" s="165"/>
    </row>
    <row r="272" spans="1:14" s="33" customFormat="1" ht="12.2" customHeight="1" thickTop="1" x14ac:dyDescent="0.2">
      <c r="A272" s="40" t="s">
        <v>464</v>
      </c>
      <c r="B272" s="37">
        <v>10</v>
      </c>
      <c r="C272" s="37">
        <v>18</v>
      </c>
      <c r="D272" s="36" t="s">
        <v>431</v>
      </c>
      <c r="E272" s="37"/>
      <c r="F272" s="39">
        <f t="shared" ref="F272:L272" si="11">F258+F271</f>
        <v>1932449.08</v>
      </c>
      <c r="G272" s="39">
        <f t="shared" si="11"/>
        <v>1016959.0400000002</v>
      </c>
      <c r="H272" s="39">
        <f t="shared" si="11"/>
        <v>501920.77999999997</v>
      </c>
      <c r="I272" s="39">
        <f t="shared" si="11"/>
        <v>95749.83</v>
      </c>
      <c r="J272" s="39">
        <f t="shared" si="11"/>
        <v>18030.3</v>
      </c>
      <c r="K272" s="39">
        <f t="shared" si="11"/>
        <v>26326.55</v>
      </c>
      <c r="L272" s="39">
        <f t="shared" si="11"/>
        <v>3591435.5800000005</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c r="G277" s="18"/>
      <c r="H277" s="18"/>
      <c r="I277" s="18"/>
      <c r="J277" s="18"/>
      <c r="K277" s="18"/>
      <c r="L277" s="13">
        <f>SUM(F277:K277)</f>
        <v>0</v>
      </c>
      <c r="M277" s="8"/>
      <c r="N277" s="165"/>
    </row>
    <row r="278" spans="1:14" s="3" customFormat="1" ht="12.2" customHeight="1" x14ac:dyDescent="0.15">
      <c r="A278" s="1" t="s">
        <v>439</v>
      </c>
      <c r="B278" s="2" t="s">
        <v>357</v>
      </c>
      <c r="C278" s="2" t="s">
        <v>291</v>
      </c>
      <c r="D278" s="2" t="s">
        <v>431</v>
      </c>
      <c r="E278" s="6">
        <v>1200</v>
      </c>
      <c r="F278" s="18">
        <v>102809.39</v>
      </c>
      <c r="G278" s="18">
        <v>41810.160000000003</v>
      </c>
      <c r="H278" s="18">
        <v>55080.87</v>
      </c>
      <c r="I278" s="18">
        <v>21976.33</v>
      </c>
      <c r="J278" s="18"/>
      <c r="K278" s="18">
        <v>2085.2399999999998</v>
      </c>
      <c r="L278" s="13">
        <f>SUM(F278:K278)</f>
        <v>223761.99</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c r="G282" s="18"/>
      <c r="H282" s="18"/>
      <c r="I282" s="18"/>
      <c r="J282" s="18"/>
      <c r="K282" s="18"/>
      <c r="L282" s="13">
        <f t="shared" ref="L282:L288" si="12">SUM(F282:K282)</f>
        <v>0</v>
      </c>
      <c r="M282" s="8"/>
      <c r="N282" s="165"/>
    </row>
    <row r="283" spans="1:14" s="3" customFormat="1" ht="12.2" customHeight="1" x14ac:dyDescent="0.15">
      <c r="A283" s="1" t="s">
        <v>443</v>
      </c>
      <c r="B283" s="2" t="s">
        <v>357</v>
      </c>
      <c r="C283" s="2" t="s">
        <v>295</v>
      </c>
      <c r="D283" s="2" t="s">
        <v>431</v>
      </c>
      <c r="E283" s="6">
        <v>2200</v>
      </c>
      <c r="F283" s="18"/>
      <c r="G283" s="18"/>
      <c r="H283" s="18"/>
      <c r="I283" s="18"/>
      <c r="J283" s="18"/>
      <c r="K283" s="18"/>
      <c r="L283" s="13">
        <f t="shared" si="12"/>
        <v>0</v>
      </c>
      <c r="M283" s="8"/>
      <c r="N283" s="165"/>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5"/>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5"/>
    </row>
    <row r="287" spans="1:14" s="3" customFormat="1" ht="12.2" customHeight="1" x14ac:dyDescent="0.15">
      <c r="A287" s="1" t="s">
        <v>447</v>
      </c>
      <c r="B287" s="2" t="s">
        <v>357</v>
      </c>
      <c r="C287" s="2" t="s">
        <v>299</v>
      </c>
      <c r="D287" s="2" t="s">
        <v>431</v>
      </c>
      <c r="E287" s="6">
        <v>2600</v>
      </c>
      <c r="F287" s="18"/>
      <c r="G287" s="18"/>
      <c r="H287" s="18"/>
      <c r="I287" s="18"/>
      <c r="J287" s="18"/>
      <c r="K287" s="18"/>
      <c r="L287" s="13">
        <f t="shared" si="12"/>
        <v>0</v>
      </c>
      <c r="M287" s="8"/>
      <c r="N287" s="165"/>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102809.39</v>
      </c>
      <c r="G291" s="39">
        <f t="shared" si="13"/>
        <v>41810.160000000003</v>
      </c>
      <c r="H291" s="39">
        <f t="shared" si="13"/>
        <v>55080.87</v>
      </c>
      <c r="I291" s="39">
        <f t="shared" si="13"/>
        <v>21976.33</v>
      </c>
      <c r="J291" s="39">
        <f t="shared" si="13"/>
        <v>0</v>
      </c>
      <c r="K291" s="39">
        <f t="shared" si="13"/>
        <v>2085.2399999999998</v>
      </c>
      <c r="L291" s="38">
        <f t="shared" si="13"/>
        <v>223761.99</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5"/>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5"/>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2" customHeight="1" thickTop="1" x14ac:dyDescent="0.15">
      <c r="A339" s="35" t="s">
        <v>468</v>
      </c>
      <c r="B339" s="37">
        <v>14</v>
      </c>
      <c r="C339" s="37">
        <v>7</v>
      </c>
      <c r="D339" s="36" t="s">
        <v>431</v>
      </c>
      <c r="E339" s="37"/>
      <c r="F339" s="38">
        <f t="shared" ref="F339:L339" si="20">F291+F310+F329+F338</f>
        <v>102809.39</v>
      </c>
      <c r="G339" s="38">
        <f t="shared" si="20"/>
        <v>41810.160000000003</v>
      </c>
      <c r="H339" s="38">
        <f t="shared" si="20"/>
        <v>55080.87</v>
      </c>
      <c r="I339" s="38">
        <f t="shared" si="20"/>
        <v>21976.33</v>
      </c>
      <c r="J339" s="38">
        <f t="shared" si="20"/>
        <v>0</v>
      </c>
      <c r="K339" s="38">
        <f t="shared" si="20"/>
        <v>2085.2399999999998</v>
      </c>
      <c r="L339" s="38">
        <f t="shared" si="20"/>
        <v>223761.99</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v>4078.43</v>
      </c>
      <c r="L345" s="13">
        <f t="shared" ref="L345:L351" si="21">SUM(F345:K345)</f>
        <v>4078.43</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4078.43</v>
      </c>
      <c r="L352" s="38">
        <f>SUM(L342:L351)</f>
        <v>4078.43</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102809.39</v>
      </c>
      <c r="G353" s="38">
        <f>G339</f>
        <v>41810.160000000003</v>
      </c>
      <c r="H353" s="38">
        <f>H339</f>
        <v>55080.87</v>
      </c>
      <c r="I353" s="38">
        <f>I339</f>
        <v>21976.33</v>
      </c>
      <c r="J353" s="38">
        <f>J339</f>
        <v>0</v>
      </c>
      <c r="K353" s="38">
        <f>K339+K352</f>
        <v>6163.67</v>
      </c>
      <c r="L353" s="38">
        <f>L339+L352</f>
        <v>227840.41999999998</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v>52182.83</v>
      </c>
      <c r="G359" s="18">
        <v>20087.89</v>
      </c>
      <c r="H359" s="18">
        <f>823.13+2882</f>
        <v>3705.13</v>
      </c>
      <c r="I359" s="18">
        <v>36140.65</v>
      </c>
      <c r="J359" s="18"/>
      <c r="K359" s="18"/>
      <c r="L359" s="13">
        <f>SUM(F359:K359)</f>
        <v>112116.5</v>
      </c>
      <c r="M359" s="8"/>
      <c r="N359" s="165"/>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52182.83</v>
      </c>
      <c r="G363" s="38">
        <f t="shared" si="22"/>
        <v>20087.89</v>
      </c>
      <c r="H363" s="38">
        <f t="shared" si="22"/>
        <v>3705.13</v>
      </c>
      <c r="I363" s="38">
        <f t="shared" si="22"/>
        <v>36140.65</v>
      </c>
      <c r="J363" s="38">
        <f t="shared" si="22"/>
        <v>0</v>
      </c>
      <c r="K363" s="38">
        <f t="shared" si="22"/>
        <v>0</v>
      </c>
      <c r="L363" s="38">
        <f t="shared" si="22"/>
        <v>112116.5</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v>34606.04</v>
      </c>
      <c r="G368" s="18"/>
      <c r="H368" s="18"/>
      <c r="I368" s="13">
        <f>SUM(F368:H368)</f>
        <v>34606.04</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v>1534.61</v>
      </c>
      <c r="G369" s="53"/>
      <c r="H369" s="53"/>
      <c r="I369" s="13">
        <f>SUM(F369:H369)</f>
        <v>1534.61</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36140.65</v>
      </c>
      <c r="G370" s="38">
        <f>SUM(G368:G369)</f>
        <v>0</v>
      </c>
      <c r="H370" s="38">
        <f>SUM(H368:H369)</f>
        <v>0</v>
      </c>
      <c r="I370" s="38">
        <f>SUM(I368:I369)</f>
        <v>36140.65</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v>10000</v>
      </c>
      <c r="H397" s="18">
        <v>-1.71</v>
      </c>
      <c r="I397" s="18"/>
      <c r="J397" s="23" t="s">
        <v>288</v>
      </c>
      <c r="K397" s="23" t="s">
        <v>288</v>
      </c>
      <c r="L397" s="13">
        <f t="shared" si="26"/>
        <v>9998.2900000000009</v>
      </c>
      <c r="M397" s="8"/>
      <c r="N397" s="165"/>
    </row>
    <row r="398" spans="1:14" s="3" customFormat="1" ht="12.2" customHeight="1" x14ac:dyDescent="0.15">
      <c r="A398" s="62" t="s">
        <v>515</v>
      </c>
      <c r="B398" s="2" t="s">
        <v>381</v>
      </c>
      <c r="C398" s="6">
        <v>10</v>
      </c>
      <c r="D398" s="2" t="s">
        <v>432</v>
      </c>
      <c r="E398" s="6"/>
      <c r="F398" s="18"/>
      <c r="G398" s="18">
        <v>10000</v>
      </c>
      <c r="H398" s="18">
        <v>-1.71</v>
      </c>
      <c r="I398" s="18"/>
      <c r="J398" s="23" t="s">
        <v>288</v>
      </c>
      <c r="K398" s="23" t="s">
        <v>288</v>
      </c>
      <c r="L398" s="13">
        <f t="shared" si="26"/>
        <v>9998.2900000000009</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c r="H401" s="18">
        <v>480.18</v>
      </c>
      <c r="I401" s="18"/>
      <c r="J401" s="23" t="s">
        <v>288</v>
      </c>
      <c r="K401" s="23" t="s">
        <v>288</v>
      </c>
      <c r="L401" s="13">
        <f t="shared" si="26"/>
        <v>480.18</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20000</v>
      </c>
      <c r="H402" s="38">
        <f>SUM(H396:H401)</f>
        <v>476.76</v>
      </c>
      <c r="I402" s="38">
        <f>SUM(I396:I401)</f>
        <v>0</v>
      </c>
      <c r="J402" s="42" t="s">
        <v>288</v>
      </c>
      <c r="K402" s="42" t="s">
        <v>288</v>
      </c>
      <c r="L402" s="38">
        <f>SUM(L396:L401)</f>
        <v>20476.760000000002</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20000</v>
      </c>
      <c r="H409" s="38">
        <f>H394+H402+H408</f>
        <v>476.76</v>
      </c>
      <c r="I409" s="38">
        <f>I394+I402+I408</f>
        <v>0</v>
      </c>
      <c r="J409" s="23" t="s">
        <v>288</v>
      </c>
      <c r="K409" s="23" t="s">
        <v>288</v>
      </c>
      <c r="L409" s="38">
        <f>L394+L402+L408</f>
        <v>20476.760000000002</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v>123992.36</v>
      </c>
      <c r="H441" s="18"/>
      <c r="I441" s="13">
        <f t="shared" si="33"/>
        <v>123992.36</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0</v>
      </c>
      <c r="G447" s="13">
        <f>SUM(G440:G446)</f>
        <v>123992.36</v>
      </c>
      <c r="H447" s="13">
        <f>SUM(H440:H446)</f>
        <v>0</v>
      </c>
      <c r="I447" s="13">
        <f>SUM(I440:I446)</f>
        <v>123992.36</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v>123992.36</v>
      </c>
      <c r="H460" s="18"/>
      <c r="I460" s="13">
        <f t="shared" si="34"/>
        <v>123992.36</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0</v>
      </c>
      <c r="G461" s="65">
        <f>SUM(G455:G460)</f>
        <v>123992.36</v>
      </c>
      <c r="H461" s="65">
        <f>SUM(H455:H460)</f>
        <v>0</v>
      </c>
      <c r="I461" s="65">
        <f>SUM(I455:I460)</f>
        <v>123992.36</v>
      </c>
      <c r="J461" s="23" t="s">
        <v>288</v>
      </c>
      <c r="K461" s="23" t="s">
        <v>288</v>
      </c>
      <c r="L461" s="23" t="s">
        <v>288</v>
      </c>
      <c r="N461" s="131"/>
    </row>
    <row r="462" spans="1:86" ht="12.2" customHeight="1" thickTop="1" x14ac:dyDescent="0.2">
      <c r="A462" s="40" t="s">
        <v>424</v>
      </c>
      <c r="B462" s="41">
        <v>18</v>
      </c>
      <c r="C462" s="64">
        <v>21</v>
      </c>
      <c r="D462" s="114" t="s">
        <v>432</v>
      </c>
      <c r="E462" s="64"/>
      <c r="F462" s="39">
        <f>F453+F461</f>
        <v>0</v>
      </c>
      <c r="G462" s="39">
        <f>G453+G461</f>
        <v>123992.36</v>
      </c>
      <c r="H462" s="39">
        <f>H453+H461</f>
        <v>0</v>
      </c>
      <c r="I462" s="39">
        <f>I453+I461</f>
        <v>123992.36</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110177.43</v>
      </c>
      <c r="G466" s="18">
        <v>29978.43</v>
      </c>
      <c r="H466" s="18">
        <v>11007.82</v>
      </c>
      <c r="I466" s="18"/>
      <c r="J466" s="18">
        <v>103515.6</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3522870.46</v>
      </c>
      <c r="G469" s="18">
        <v>110266.64</v>
      </c>
      <c r="H469" s="18">
        <f>223761.99+3075.55</f>
        <v>226837.53999999998</v>
      </c>
      <c r="I469" s="18"/>
      <c r="J469" s="18">
        <v>20476.759999999998</v>
      </c>
      <c r="K469" s="23" t="s">
        <v>288</v>
      </c>
      <c r="L469" s="23" t="s">
        <v>288</v>
      </c>
      <c r="N469" s="131"/>
    </row>
    <row r="470" spans="1:14" ht="12.2" customHeight="1" x14ac:dyDescent="0.2">
      <c r="A470" s="71" t="s">
        <v>611</v>
      </c>
      <c r="B470" s="22">
        <v>19</v>
      </c>
      <c r="C470" s="31">
        <v>3</v>
      </c>
      <c r="D470" s="2" t="s">
        <v>432</v>
      </c>
      <c r="E470" s="31"/>
      <c r="F470" s="18"/>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3522870.46</v>
      </c>
      <c r="G471" s="19">
        <f>SUM(G469:G470)</f>
        <v>110266.64</v>
      </c>
      <c r="H471" s="19">
        <f>SUM(H469:H470)</f>
        <v>226837.53999999998</v>
      </c>
      <c r="I471" s="19">
        <f>SUM(I469:I470)</f>
        <v>0</v>
      </c>
      <c r="J471" s="19">
        <f>SUM(J469:J470)</f>
        <v>20476.759999999998</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3591435.58</v>
      </c>
      <c r="G473" s="18">
        <v>112116.5</v>
      </c>
      <c r="H473" s="18">
        <f>223761.99+4078.43</f>
        <v>227840.41999999998</v>
      </c>
      <c r="I473" s="18"/>
      <c r="J473" s="18">
        <v>0</v>
      </c>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3591435.58</v>
      </c>
      <c r="G475" s="19">
        <f>SUM(G473:G474)</f>
        <v>112116.5</v>
      </c>
      <c r="H475" s="19">
        <f>SUM(H473:H474)</f>
        <v>227840.41999999998</v>
      </c>
      <c r="I475" s="19">
        <f>SUM(I473:I474)</f>
        <v>0</v>
      </c>
      <c r="J475" s="19">
        <f>SUM(J473:J474)</f>
        <v>0</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41612.310000000056</v>
      </c>
      <c r="G477" s="19">
        <f>(G466+G471)- G475</f>
        <v>28128.570000000007</v>
      </c>
      <c r="H477" s="19">
        <f>(H466+H471)- H475</f>
        <v>10004.940000000002</v>
      </c>
      <c r="I477" s="19">
        <f>(I466+I471)- I475</f>
        <v>0</v>
      </c>
      <c r="J477" s="19">
        <f>(J466+J471)- J475</f>
        <v>123992.36</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c r="G491" s="111"/>
      <c r="H491" s="111"/>
      <c r="I491" s="111"/>
      <c r="J491" s="111"/>
      <c r="K491" s="23" t="s">
        <v>288</v>
      </c>
      <c r="L491" s="23" t="s">
        <v>288</v>
      </c>
      <c r="N491" s="131"/>
    </row>
    <row r="492" spans="1:14" ht="12.2" customHeight="1" x14ac:dyDescent="0.2">
      <c r="A492" s="21" t="s">
        <v>615</v>
      </c>
      <c r="B492" s="22">
        <v>20</v>
      </c>
      <c r="C492" s="22">
        <v>2</v>
      </c>
      <c r="D492" s="2" t="s">
        <v>432</v>
      </c>
      <c r="E492" s="22"/>
      <c r="F492" s="112"/>
      <c r="G492" s="112"/>
      <c r="H492" s="111"/>
      <c r="I492" s="111"/>
      <c r="J492" s="111"/>
      <c r="K492" s="23" t="s">
        <v>288</v>
      </c>
      <c r="L492" s="23" t="s">
        <v>288</v>
      </c>
      <c r="N492" s="131"/>
    </row>
    <row r="493" spans="1:14" ht="12.2" customHeight="1" x14ac:dyDescent="0.2">
      <c r="A493" s="21" t="s">
        <v>616</v>
      </c>
      <c r="B493" s="22">
        <v>20</v>
      </c>
      <c r="C493" s="22">
        <v>3</v>
      </c>
      <c r="D493" s="2" t="s">
        <v>432</v>
      </c>
      <c r="E493" s="22"/>
      <c r="F493" s="112"/>
      <c r="G493" s="112"/>
      <c r="H493" s="111"/>
      <c r="I493" s="111"/>
      <c r="J493" s="111"/>
      <c r="K493" s="23" t="s">
        <v>288</v>
      </c>
      <c r="L493" s="23" t="s">
        <v>288</v>
      </c>
      <c r="N493" s="131"/>
    </row>
    <row r="494" spans="1:14" ht="12.2" customHeight="1" x14ac:dyDescent="0.2">
      <c r="A494" s="21" t="s">
        <v>617</v>
      </c>
      <c r="B494" s="22">
        <v>20</v>
      </c>
      <c r="C494" s="22">
        <v>4</v>
      </c>
      <c r="D494" s="2" t="s">
        <v>432</v>
      </c>
      <c r="E494" s="22"/>
      <c r="F494" s="18"/>
      <c r="G494" s="18"/>
      <c r="H494" s="18"/>
      <c r="I494" s="18"/>
      <c r="J494" s="18"/>
      <c r="K494" s="23" t="s">
        <v>288</v>
      </c>
      <c r="L494" s="23" t="s">
        <v>288</v>
      </c>
      <c r="N494" s="131"/>
    </row>
    <row r="495" spans="1:14" ht="12.2" customHeight="1" x14ac:dyDescent="0.2">
      <c r="A495" s="21" t="s">
        <v>618</v>
      </c>
      <c r="B495" s="22">
        <v>20</v>
      </c>
      <c r="C495" s="22">
        <v>5</v>
      </c>
      <c r="D495" s="2" t="s">
        <v>432</v>
      </c>
      <c r="E495" s="22"/>
      <c r="F495" s="18"/>
      <c r="G495" s="18"/>
      <c r="H495" s="18"/>
      <c r="I495" s="18"/>
      <c r="J495" s="18"/>
      <c r="K495" s="23" t="s">
        <v>288</v>
      </c>
      <c r="L495" s="23" t="s">
        <v>288</v>
      </c>
      <c r="N495" s="131"/>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1"/>
    </row>
    <row r="499" spans="1:14" ht="12.2" customHeight="1" x14ac:dyDescent="0.2">
      <c r="A499" s="144" t="s">
        <v>622</v>
      </c>
      <c r="B499" s="145">
        <v>20</v>
      </c>
      <c r="C499" s="145">
        <v>9</v>
      </c>
      <c r="D499" s="146" t="s">
        <v>432</v>
      </c>
      <c r="E499" s="145"/>
      <c r="F499" s="147"/>
      <c r="G499" s="147"/>
      <c r="H499" s="147"/>
      <c r="I499" s="147"/>
      <c r="J499" s="147"/>
      <c r="K499" s="148">
        <f t="shared" si="35"/>
        <v>0</v>
      </c>
      <c r="L499" s="149" t="s">
        <v>288</v>
      </c>
      <c r="N499" s="131"/>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1"/>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1"/>
    </row>
    <row r="502" spans="1:14" ht="12.2" customHeight="1" x14ac:dyDescent="0.2">
      <c r="A502" s="144" t="s">
        <v>651</v>
      </c>
      <c r="B502" s="145">
        <v>20</v>
      </c>
      <c r="C502" s="145">
        <v>12</v>
      </c>
      <c r="D502" s="146" t="s">
        <v>432</v>
      </c>
      <c r="E502" s="145"/>
      <c r="F502" s="147"/>
      <c r="G502" s="147"/>
      <c r="H502" s="147"/>
      <c r="I502" s="147"/>
      <c r="J502" s="147"/>
      <c r="K502" s="148">
        <f t="shared" si="35"/>
        <v>0</v>
      </c>
      <c r="L502" s="149" t="s">
        <v>288</v>
      </c>
      <c r="N502" s="131"/>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f>102809.39+226516.33</f>
        <v>329325.71999999997</v>
      </c>
      <c r="G522" s="18">
        <f>127926.38+41810.16</f>
        <v>169736.54</v>
      </c>
      <c r="H522" s="18">
        <f>55080.87+26063.9</f>
        <v>81144.77</v>
      </c>
      <c r="I522" s="18">
        <f>21976.33+6710.75</f>
        <v>28687.08</v>
      </c>
      <c r="J522" s="18">
        <v>3118.44</v>
      </c>
      <c r="K522" s="18">
        <f>2085.24</f>
        <v>2085.2399999999998</v>
      </c>
      <c r="L522" s="69">
        <f>SUM(F522:K522)</f>
        <v>614097.78999999992</v>
      </c>
      <c r="N522" s="131"/>
    </row>
    <row r="523" spans="1:14" ht="12.2" customHeight="1" x14ac:dyDescent="0.2">
      <c r="A523" s="21" t="s">
        <v>634</v>
      </c>
      <c r="B523" s="22">
        <v>21</v>
      </c>
      <c r="C523" s="22">
        <v>2</v>
      </c>
      <c r="D523" s="2" t="s">
        <v>432</v>
      </c>
      <c r="E523" s="22"/>
      <c r="F523" s="18"/>
      <c r="G523" s="18"/>
      <c r="H523" s="18"/>
      <c r="I523" s="18"/>
      <c r="J523" s="18"/>
      <c r="K523" s="18"/>
      <c r="L523" s="69">
        <f>SUM(F523:K523)</f>
        <v>0</v>
      </c>
      <c r="N523" s="131"/>
    </row>
    <row r="524" spans="1:14" ht="12.2" customHeight="1" thickBot="1" x14ac:dyDescent="0.25">
      <c r="A524" s="21" t="s">
        <v>635</v>
      </c>
      <c r="B524" s="22">
        <v>21</v>
      </c>
      <c r="C524" s="22">
        <v>3</v>
      </c>
      <c r="D524" s="2" t="s">
        <v>432</v>
      </c>
      <c r="E524" s="22"/>
      <c r="F524" s="18"/>
      <c r="G524" s="18"/>
      <c r="H524" s="18"/>
      <c r="I524" s="18"/>
      <c r="J524" s="18"/>
      <c r="K524" s="18"/>
      <c r="L524" s="69">
        <f>SUM(F524:K524)</f>
        <v>0</v>
      </c>
      <c r="N524" s="131"/>
    </row>
    <row r="525" spans="1:14" ht="12.2" customHeight="1" thickTop="1" x14ac:dyDescent="0.2">
      <c r="A525" s="97" t="s">
        <v>63</v>
      </c>
      <c r="B525" s="41">
        <v>21</v>
      </c>
      <c r="C525" s="41">
        <v>4</v>
      </c>
      <c r="D525" s="115" t="s">
        <v>432</v>
      </c>
      <c r="E525" s="41"/>
      <c r="F525" s="81">
        <f>SUM(F522:F524)</f>
        <v>329325.71999999997</v>
      </c>
      <c r="G525" s="81">
        <f t="shared" ref="G525:L525" si="36">SUM(G522:G524)</f>
        <v>169736.54</v>
      </c>
      <c r="H525" s="81">
        <f t="shared" si="36"/>
        <v>81144.77</v>
      </c>
      <c r="I525" s="81">
        <f t="shared" si="36"/>
        <v>28687.08</v>
      </c>
      <c r="J525" s="81">
        <f t="shared" si="36"/>
        <v>3118.44</v>
      </c>
      <c r="K525" s="81">
        <f t="shared" si="36"/>
        <v>2085.2399999999998</v>
      </c>
      <c r="L525" s="70">
        <f t="shared" si="36"/>
        <v>614097.78999999992</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v>227806.84</v>
      </c>
      <c r="G527" s="18">
        <v>114698.05</v>
      </c>
      <c r="H527" s="18">
        <v>55769.64</v>
      </c>
      <c r="I527" s="18">
        <v>1963.69</v>
      </c>
      <c r="J527" s="18"/>
      <c r="K527" s="18"/>
      <c r="L527" s="69">
        <f>SUM(F527:K527)</f>
        <v>400238.22000000003</v>
      </c>
      <c r="M527" s="8"/>
      <c r="N527" s="165"/>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5"/>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5"/>
    </row>
    <row r="530" spans="1:14" s="3" customFormat="1" ht="12.2" customHeight="1" thickTop="1" x14ac:dyDescent="0.15">
      <c r="A530" s="97" t="s">
        <v>65</v>
      </c>
      <c r="B530" s="41">
        <v>21</v>
      </c>
      <c r="C530" s="41">
        <v>8</v>
      </c>
      <c r="D530" s="115" t="s">
        <v>432</v>
      </c>
      <c r="E530" s="41"/>
      <c r="F530" s="70">
        <f>SUM(F527:F529)</f>
        <v>227806.84</v>
      </c>
      <c r="G530" s="70">
        <f t="shared" ref="G530:L530" si="37">SUM(G527:G529)</f>
        <v>114698.05</v>
      </c>
      <c r="H530" s="70">
        <f t="shared" si="37"/>
        <v>55769.64</v>
      </c>
      <c r="I530" s="70">
        <f t="shared" si="37"/>
        <v>1963.69</v>
      </c>
      <c r="J530" s="70">
        <f t="shared" si="37"/>
        <v>0</v>
      </c>
      <c r="K530" s="70">
        <f t="shared" si="37"/>
        <v>0</v>
      </c>
      <c r="L530" s="70">
        <f t="shared" si="37"/>
        <v>400238.22000000003</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v>22066.240000000002</v>
      </c>
      <c r="G532" s="18">
        <v>13475.58</v>
      </c>
      <c r="H532" s="18">
        <v>4412.84</v>
      </c>
      <c r="I532" s="18">
        <v>409.02</v>
      </c>
      <c r="J532" s="18"/>
      <c r="K532" s="18"/>
      <c r="L532" s="69">
        <f>SUM(F532:K532)</f>
        <v>40363.68</v>
      </c>
      <c r="M532" s="8"/>
      <c r="N532" s="165"/>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5"/>
    </row>
    <row r="535" spans="1:14" s="3" customFormat="1" ht="12.2" customHeight="1" thickTop="1" x14ac:dyDescent="0.15">
      <c r="A535" s="97" t="s">
        <v>67</v>
      </c>
      <c r="B535" s="41">
        <v>21</v>
      </c>
      <c r="C535" s="41">
        <v>12</v>
      </c>
      <c r="D535" s="115" t="s">
        <v>432</v>
      </c>
      <c r="E535" s="41"/>
      <c r="F535" s="70">
        <f>SUM(F532:F534)</f>
        <v>22066.240000000002</v>
      </c>
      <c r="G535" s="70">
        <f t="shared" ref="G535:L535" si="38">SUM(G532:G534)</f>
        <v>13475.58</v>
      </c>
      <c r="H535" s="70">
        <f t="shared" si="38"/>
        <v>4412.84</v>
      </c>
      <c r="I535" s="70">
        <f t="shared" si="38"/>
        <v>409.02</v>
      </c>
      <c r="J535" s="70">
        <f t="shared" si="38"/>
        <v>0</v>
      </c>
      <c r="K535" s="70">
        <f t="shared" si="38"/>
        <v>0</v>
      </c>
      <c r="L535" s="70">
        <f t="shared" si="38"/>
        <v>40363.68</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v>868</v>
      </c>
      <c r="I537" s="18"/>
      <c r="J537" s="18"/>
      <c r="K537" s="18"/>
      <c r="L537" s="69">
        <f>SUM(F537:K537)</f>
        <v>868</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868</v>
      </c>
      <c r="I540" s="70">
        <f t="shared" si="39"/>
        <v>0</v>
      </c>
      <c r="J540" s="70">
        <f t="shared" si="39"/>
        <v>0</v>
      </c>
      <c r="K540" s="70">
        <f t="shared" si="39"/>
        <v>0</v>
      </c>
      <c r="L540" s="70">
        <f t="shared" si="39"/>
        <v>868</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v>33584</v>
      </c>
      <c r="I542" s="18"/>
      <c r="J542" s="18"/>
      <c r="K542" s="18"/>
      <c r="L542" s="69">
        <f>SUM(F542:K542)</f>
        <v>33584</v>
      </c>
      <c r="M542" s="8"/>
      <c r="N542" s="165"/>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5"/>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33584</v>
      </c>
      <c r="I545" s="141">
        <f t="shared" si="40"/>
        <v>0</v>
      </c>
      <c r="J545" s="141">
        <f t="shared" si="40"/>
        <v>0</v>
      </c>
      <c r="K545" s="141">
        <f t="shared" si="40"/>
        <v>0</v>
      </c>
      <c r="L545" s="141">
        <f t="shared" si="40"/>
        <v>33584</v>
      </c>
      <c r="M545" s="8"/>
      <c r="N545" s="165"/>
    </row>
    <row r="546" spans="1:14" s="3" customFormat="1" ht="12.2" customHeight="1" thickTop="1" x14ac:dyDescent="0.15">
      <c r="A546" s="75" t="s">
        <v>72</v>
      </c>
      <c r="B546" s="41">
        <v>21</v>
      </c>
      <c r="C546" s="41">
        <v>21</v>
      </c>
      <c r="D546" s="115" t="s">
        <v>432</v>
      </c>
      <c r="E546" s="41"/>
      <c r="F546" s="70">
        <f>F525+F530+F535+F540+F545</f>
        <v>579198.79999999993</v>
      </c>
      <c r="G546" s="70">
        <f t="shared" ref="G546:L546" si="41">G525+G530+G535+G540+G545</f>
        <v>297910.17000000004</v>
      </c>
      <c r="H546" s="70">
        <f t="shared" si="41"/>
        <v>175779.25</v>
      </c>
      <c r="I546" s="70">
        <f t="shared" si="41"/>
        <v>31059.79</v>
      </c>
      <c r="J546" s="70">
        <f t="shared" si="41"/>
        <v>3118.44</v>
      </c>
      <c r="K546" s="70">
        <f t="shared" si="41"/>
        <v>2085.2399999999998</v>
      </c>
      <c r="L546" s="70">
        <f t="shared" si="41"/>
        <v>1089151.69</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614097.78999999992</v>
      </c>
      <c r="G550" s="69">
        <f>L527</f>
        <v>400238.22000000003</v>
      </c>
      <c r="H550" s="69">
        <f>L532</f>
        <v>40363.68</v>
      </c>
      <c r="I550" s="69">
        <f>L537</f>
        <v>868</v>
      </c>
      <c r="J550" s="69">
        <f>L542</f>
        <v>33584</v>
      </c>
      <c r="K550" s="69">
        <f>SUM(F550:J550)</f>
        <v>1089151.69</v>
      </c>
      <c r="L550" s="23" t="s">
        <v>288</v>
      </c>
      <c r="M550" s="8"/>
      <c r="N550" s="165"/>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5"/>
    </row>
    <row r="552" spans="1:14" s="3" customFormat="1" ht="12.2" customHeight="1" thickBot="1" x14ac:dyDescent="0.2">
      <c r="A552" s="21" t="s">
        <v>635</v>
      </c>
      <c r="B552" s="22">
        <v>21</v>
      </c>
      <c r="C552" s="22">
        <v>24</v>
      </c>
      <c r="D552" s="2" t="s">
        <v>432</v>
      </c>
      <c r="E552" s="22"/>
      <c r="F552" s="69">
        <f>L524</f>
        <v>0</v>
      </c>
      <c r="G552" s="69">
        <f>L529</f>
        <v>0</v>
      </c>
      <c r="H552" s="69">
        <f>L534</f>
        <v>0</v>
      </c>
      <c r="I552" s="69">
        <f>L539</f>
        <v>0</v>
      </c>
      <c r="J552" s="69">
        <f>L544</f>
        <v>0</v>
      </c>
      <c r="K552" s="69">
        <f>SUM(F552:J552)</f>
        <v>0</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614097.78999999992</v>
      </c>
      <c r="G553" s="70">
        <f t="shared" si="42"/>
        <v>400238.22000000003</v>
      </c>
      <c r="H553" s="70">
        <f t="shared" si="42"/>
        <v>40363.68</v>
      </c>
      <c r="I553" s="70">
        <f t="shared" si="42"/>
        <v>868</v>
      </c>
      <c r="J553" s="70">
        <f t="shared" si="42"/>
        <v>33584</v>
      </c>
      <c r="K553" s="70">
        <f t="shared" si="42"/>
        <v>1089151.69</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c r="G583" s="18"/>
      <c r="H583" s="18"/>
      <c r="I583" s="69">
        <f t="shared" si="47"/>
        <v>0</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107515.56</v>
      </c>
      <c r="I592" s="18"/>
      <c r="J592" s="18"/>
      <c r="K592" s="80">
        <f t="shared" ref="K592:K598" si="48">SUM(H592:J592)</f>
        <v>107515.56</v>
      </c>
      <c r="L592" s="23" t="s">
        <v>288</v>
      </c>
      <c r="M592" s="8"/>
      <c r="N592" s="165"/>
    </row>
    <row r="593" spans="1:14" s="3" customFormat="1" ht="12.2" customHeight="1" x14ac:dyDescent="0.15">
      <c r="A593" s="3" t="s">
        <v>638</v>
      </c>
      <c r="B593" s="22">
        <v>23</v>
      </c>
      <c r="C593" s="22">
        <v>2</v>
      </c>
      <c r="D593" s="2" t="s">
        <v>432</v>
      </c>
      <c r="E593" s="22"/>
      <c r="F593" s="78">
        <v>2722</v>
      </c>
      <c r="G593" s="79" t="s">
        <v>97</v>
      </c>
      <c r="H593" s="18">
        <v>33584</v>
      </c>
      <c r="I593" s="18"/>
      <c r="J593" s="18"/>
      <c r="K593" s="80">
        <f t="shared" si="48"/>
        <v>33584</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c r="K594" s="80">
        <f t="shared" si="48"/>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c r="I595" s="18"/>
      <c r="J595" s="18"/>
      <c r="K595" s="80">
        <f t="shared" si="48"/>
        <v>0</v>
      </c>
      <c r="L595" s="23" t="s">
        <v>288</v>
      </c>
      <c r="M595" s="8"/>
      <c r="N595" s="165"/>
    </row>
    <row r="596" spans="1:14" s="3" customFormat="1" ht="12.2" customHeight="1" x14ac:dyDescent="0.15">
      <c r="A596" s="103" t="s">
        <v>652</v>
      </c>
      <c r="B596" s="22">
        <v>23</v>
      </c>
      <c r="C596" s="22">
        <v>5</v>
      </c>
      <c r="D596" s="2" t="s">
        <v>432</v>
      </c>
      <c r="E596" s="22"/>
      <c r="F596" s="78">
        <v>2725</v>
      </c>
      <c r="G596" s="79" t="s">
        <v>97</v>
      </c>
      <c r="H596" s="18">
        <v>200</v>
      </c>
      <c r="I596" s="18"/>
      <c r="J596" s="18"/>
      <c r="K596" s="80">
        <f t="shared" si="48"/>
        <v>200</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141299.56</v>
      </c>
      <c r="I599" s="81">
        <f>SUM(I592:I598)</f>
        <v>0</v>
      </c>
      <c r="J599" s="81">
        <f>SUM(J592:J598)</f>
        <v>0</v>
      </c>
      <c r="K599" s="81">
        <f>SUM(K592:K598)</f>
        <v>141299.56</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v>18030.3</v>
      </c>
      <c r="I605" s="18"/>
      <c r="J605" s="18"/>
      <c r="K605" s="80">
        <f>SUM(H605:J605)</f>
        <v>18030.3</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18030.3</v>
      </c>
      <c r="I606" s="81">
        <f>SUM(I603:I605)</f>
        <v>0</v>
      </c>
      <c r="J606" s="81">
        <f>SUM(J603:J605)</f>
        <v>0</v>
      </c>
      <c r="K606" s="81">
        <f>SUM(K603:K605)</f>
        <v>18030.3</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0</v>
      </c>
      <c r="G615" s="81">
        <f t="shared" si="49"/>
        <v>0</v>
      </c>
      <c r="H615" s="81">
        <f t="shared" si="49"/>
        <v>0</v>
      </c>
      <c r="I615" s="81">
        <f t="shared" si="49"/>
        <v>0</v>
      </c>
      <c r="J615" s="81">
        <f t="shared" si="49"/>
        <v>0</v>
      </c>
      <c r="K615" s="81">
        <f t="shared" si="49"/>
        <v>0</v>
      </c>
      <c r="L615" s="70">
        <f t="shared" si="49"/>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371715.04000000004</v>
      </c>
      <c r="H618" s="80">
        <f>SUM(F52)</f>
        <v>371715.04</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2141.65</v>
      </c>
      <c r="H619" s="80">
        <f>SUM(G52)</f>
        <v>2141.6500000000015</v>
      </c>
      <c r="I619" s="87" t="s">
        <v>875</v>
      </c>
      <c r="J619" s="80">
        <f>G619-H619</f>
        <v>0</v>
      </c>
      <c r="K619" s="80"/>
      <c r="L619" s="80"/>
      <c r="M619" s="8"/>
    </row>
    <row r="620" spans="1:14" s="3" customFormat="1" ht="12.2" customHeight="1" x14ac:dyDescent="0.15">
      <c r="A620" s="74"/>
      <c r="B620" s="22"/>
      <c r="C620" s="22"/>
      <c r="D620" s="22"/>
      <c r="E620" s="22"/>
      <c r="F620" s="87" t="s">
        <v>685</v>
      </c>
      <c r="G620" s="80">
        <f>SUM(H19)</f>
        <v>0</v>
      </c>
      <c r="H620" s="80">
        <f>SUM(H52)</f>
        <v>0</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123992.36</v>
      </c>
      <c r="H622" s="80">
        <f>SUM(J52)</f>
        <v>123992.36</v>
      </c>
      <c r="I622" s="87" t="s">
        <v>878</v>
      </c>
      <c r="J622" s="80">
        <f>G622-H622</f>
        <v>0</v>
      </c>
      <c r="K622" s="80"/>
      <c r="L622" s="80"/>
      <c r="M622" s="8"/>
    </row>
    <row r="623" spans="1:14" s="3" customFormat="1" ht="12.2" customHeight="1" x14ac:dyDescent="0.15">
      <c r="A623" s="74"/>
      <c r="B623" s="22"/>
      <c r="C623" s="22"/>
      <c r="D623" s="22"/>
      <c r="E623" s="22"/>
      <c r="F623" s="87" t="s">
        <v>864</v>
      </c>
      <c r="G623" s="80">
        <f>F51</f>
        <v>41612.31</v>
      </c>
      <c r="H623" s="80">
        <f>F477</f>
        <v>41612.310000000056</v>
      </c>
      <c r="I623" s="87" t="s">
        <v>101</v>
      </c>
      <c r="J623" s="80">
        <f t="shared" ref="J623:J656" si="50">G623-H623</f>
        <v>-5.8207660913467407E-11</v>
      </c>
      <c r="K623" s="80"/>
      <c r="L623" s="80"/>
      <c r="M623" s="8"/>
    </row>
    <row r="624" spans="1:14" s="3" customFormat="1" ht="12.2" customHeight="1" x14ac:dyDescent="0.15">
      <c r="A624" s="74"/>
      <c r="B624" s="22"/>
      <c r="C624" s="85"/>
      <c r="D624" s="85"/>
      <c r="E624" s="85"/>
      <c r="F624" s="85" t="s">
        <v>865</v>
      </c>
      <c r="G624" s="80">
        <f>G51</f>
        <v>28128.57</v>
      </c>
      <c r="H624" s="80">
        <f>G477</f>
        <v>28128.570000000007</v>
      </c>
      <c r="I624" s="87" t="s">
        <v>102</v>
      </c>
      <c r="J624" s="80">
        <f t="shared" si="50"/>
        <v>0</v>
      </c>
      <c r="K624" s="80"/>
      <c r="L624" s="80"/>
      <c r="M624" s="8"/>
    </row>
    <row r="625" spans="1:13" s="3" customFormat="1" ht="12.2" customHeight="1" x14ac:dyDescent="0.15">
      <c r="A625" s="74"/>
      <c r="B625" s="22"/>
      <c r="C625" s="22"/>
      <c r="D625" s="22"/>
      <c r="E625" s="22"/>
      <c r="F625" s="86" t="s">
        <v>866</v>
      </c>
      <c r="G625" s="80">
        <f>H51</f>
        <v>10004.94</v>
      </c>
      <c r="H625" s="80">
        <f>H477</f>
        <v>10004.940000000002</v>
      </c>
      <c r="I625" s="87" t="s">
        <v>103</v>
      </c>
      <c r="J625" s="80">
        <f t="shared" si="50"/>
        <v>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868</v>
      </c>
      <c r="G627" s="80">
        <f>J51</f>
        <v>123992.36</v>
      </c>
      <c r="H627" s="80">
        <f>J477</f>
        <v>123992.36</v>
      </c>
      <c r="I627" s="87" t="s">
        <v>105</v>
      </c>
      <c r="J627" s="80">
        <f t="shared" si="50"/>
        <v>0</v>
      </c>
      <c r="K627" s="67"/>
      <c r="L627" s="69"/>
      <c r="M627" s="8"/>
    </row>
    <row r="628" spans="1:13" s="3" customFormat="1" ht="12.2" customHeight="1" x14ac:dyDescent="0.15">
      <c r="A628" s="21"/>
      <c r="B628" s="22"/>
      <c r="C628" s="22"/>
      <c r="D628" s="22"/>
      <c r="E628" s="22"/>
      <c r="F628" s="86" t="s">
        <v>658</v>
      </c>
      <c r="G628" s="80">
        <f>F194</f>
        <v>3522870.46</v>
      </c>
      <c r="H628" s="80">
        <f>SUM(F469)</f>
        <v>3522870.46</v>
      </c>
      <c r="I628" s="87" t="s">
        <v>106</v>
      </c>
      <c r="J628" s="80">
        <f>G628-H628</f>
        <v>0</v>
      </c>
      <c r="K628" s="67"/>
      <c r="L628" s="69"/>
      <c r="M628" s="8"/>
    </row>
    <row r="629" spans="1:13" s="3" customFormat="1" ht="12.2" customHeight="1" x14ac:dyDescent="0.15">
      <c r="A629" s="21"/>
      <c r="B629" s="22"/>
      <c r="C629" s="22"/>
      <c r="D629" s="22"/>
      <c r="E629" s="22"/>
      <c r="F629" s="86" t="s">
        <v>659</v>
      </c>
      <c r="G629" s="80">
        <f>G194</f>
        <v>110266.64</v>
      </c>
      <c r="H629" s="80">
        <f>SUM(G469)</f>
        <v>110266.64</v>
      </c>
      <c r="I629" s="87" t="s">
        <v>107</v>
      </c>
      <c r="J629" s="80">
        <f>G629-H629</f>
        <v>0</v>
      </c>
      <c r="K629" s="67"/>
      <c r="L629" s="69"/>
      <c r="M629" s="8"/>
    </row>
    <row r="630" spans="1:13" s="3" customFormat="1" ht="12.2" customHeight="1" x14ac:dyDescent="0.15">
      <c r="A630" s="21"/>
      <c r="B630" s="22"/>
      <c r="C630" s="22"/>
      <c r="D630" s="22"/>
      <c r="E630" s="22"/>
      <c r="F630" s="86" t="s">
        <v>660</v>
      </c>
      <c r="G630" s="80">
        <f>H194</f>
        <v>226837.53999999998</v>
      </c>
      <c r="H630" s="80">
        <f>SUM(H469)</f>
        <v>226837.53999999998</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20476.759999999998</v>
      </c>
      <c r="H632" s="80">
        <f>SUM(J469)</f>
        <v>20476.759999999998</v>
      </c>
      <c r="I632" s="87" t="s">
        <v>110</v>
      </c>
      <c r="J632" s="80">
        <f>G632-H632</f>
        <v>0</v>
      </c>
      <c r="K632" s="67"/>
      <c r="L632" s="69"/>
      <c r="M632" s="8"/>
    </row>
    <row r="633" spans="1:13" s="3" customFormat="1" ht="12.2" customHeight="1" x14ac:dyDescent="0.15">
      <c r="A633" s="21"/>
      <c r="B633" s="22"/>
      <c r="C633" s="22"/>
      <c r="D633" s="22"/>
      <c r="E633" s="22"/>
      <c r="F633" s="86" t="s">
        <v>394</v>
      </c>
      <c r="G633" s="80">
        <f>SUM(L272)</f>
        <v>3591435.5800000005</v>
      </c>
      <c r="H633" s="80">
        <f>SUM(F473)</f>
        <v>3591435.58</v>
      </c>
      <c r="I633" s="87" t="s">
        <v>111</v>
      </c>
      <c r="J633" s="80">
        <f t="shared" si="50"/>
        <v>0</v>
      </c>
      <c r="K633" s="67"/>
      <c r="L633" s="69"/>
      <c r="M633" s="8"/>
    </row>
    <row r="634" spans="1:13" s="3" customFormat="1" ht="12.2" customHeight="1" x14ac:dyDescent="0.15">
      <c r="A634" s="21"/>
      <c r="B634" s="22"/>
      <c r="C634" s="22"/>
      <c r="D634" s="22"/>
      <c r="E634" s="22"/>
      <c r="F634" s="86" t="s">
        <v>395</v>
      </c>
      <c r="G634" s="80">
        <f>SUM(L353)</f>
        <v>227840.41999999998</v>
      </c>
      <c r="H634" s="80">
        <f>SUM(H473)</f>
        <v>227840.41999999998</v>
      </c>
      <c r="I634" s="87" t="s">
        <v>112</v>
      </c>
      <c r="J634" s="80">
        <f>G634-H634</f>
        <v>0</v>
      </c>
      <c r="K634" s="67"/>
      <c r="L634" s="69"/>
      <c r="M634" s="8"/>
    </row>
    <row r="635" spans="1:13" s="124" customFormat="1" ht="12.2" customHeight="1" x14ac:dyDescent="0.15">
      <c r="A635" s="21"/>
      <c r="B635" s="22"/>
      <c r="C635" s="22"/>
      <c r="D635" s="22"/>
      <c r="E635" s="22"/>
      <c r="F635" s="99" t="s">
        <v>247</v>
      </c>
      <c r="G635" s="80">
        <f>I363</f>
        <v>36140.65</v>
      </c>
      <c r="H635" s="80">
        <f>I370</f>
        <v>36140.65</v>
      </c>
      <c r="I635" s="100" t="s">
        <v>248</v>
      </c>
      <c r="J635" s="80">
        <f>G635-H635</f>
        <v>0</v>
      </c>
      <c r="K635" s="67"/>
      <c r="L635" s="69"/>
      <c r="M635" s="123"/>
    </row>
    <row r="636" spans="1:13" s="124" customFormat="1" ht="12.2" customHeight="1" x14ac:dyDescent="0.15">
      <c r="A636" s="21"/>
      <c r="B636" s="22"/>
      <c r="C636" s="22"/>
      <c r="D636" s="22"/>
      <c r="E636" s="22"/>
      <c r="F636" s="86" t="s">
        <v>113</v>
      </c>
      <c r="G636" s="80">
        <f>SUM(L363)</f>
        <v>112116.5</v>
      </c>
      <c r="H636" s="80">
        <f>SUM(G473)</f>
        <v>112116.5</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20476.760000000002</v>
      </c>
      <c r="H638" s="108">
        <f>SUM(J469)</f>
        <v>20476.759999999998</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0</v>
      </c>
      <c r="H640" s="80">
        <f>SUM(F462)</f>
        <v>0</v>
      </c>
      <c r="I640" s="87" t="s">
        <v>840</v>
      </c>
      <c r="J640" s="80">
        <f t="shared" si="50"/>
        <v>0</v>
      </c>
      <c r="K640" s="67"/>
      <c r="L640" s="69"/>
      <c r="M640" s="8"/>
    </row>
    <row r="641" spans="1:13" s="3" customFormat="1" ht="12.2" customHeight="1" x14ac:dyDescent="0.15">
      <c r="A641" s="21"/>
      <c r="B641" s="22"/>
      <c r="C641" s="22"/>
      <c r="D641" s="22"/>
      <c r="E641" s="22"/>
      <c r="F641" s="86" t="s">
        <v>119</v>
      </c>
      <c r="G641" s="80">
        <f>SUM(G447)</f>
        <v>123992.36</v>
      </c>
      <c r="H641" s="80">
        <f>SUM(G462)</f>
        <v>123992.36</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123992.36</v>
      </c>
      <c r="H643" s="80">
        <f>SUM(I462)</f>
        <v>123992.36</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476.76</v>
      </c>
      <c r="H645" s="80">
        <f>H409</f>
        <v>476.76</v>
      </c>
      <c r="I645" s="87" t="s">
        <v>480</v>
      </c>
      <c r="J645" s="80">
        <f t="shared" si="50"/>
        <v>0</v>
      </c>
      <c r="K645" s="67"/>
      <c r="L645" s="69"/>
      <c r="M645" s="8"/>
    </row>
    <row r="646" spans="1:13" s="3" customFormat="1" ht="12.2" customHeight="1" x14ac:dyDescent="0.15">
      <c r="A646" s="21"/>
      <c r="B646" s="22"/>
      <c r="C646" s="22"/>
      <c r="D646" s="22"/>
      <c r="E646" s="22"/>
      <c r="F646" s="86" t="s">
        <v>664</v>
      </c>
      <c r="G646" s="80">
        <f>J184</f>
        <v>20000</v>
      </c>
      <c r="H646" s="80">
        <f>G409</f>
        <v>20000</v>
      </c>
      <c r="I646" s="87" t="s">
        <v>481</v>
      </c>
      <c r="J646" s="80">
        <f t="shared" si="50"/>
        <v>0</v>
      </c>
      <c r="K646" s="67"/>
      <c r="L646" s="69"/>
      <c r="M646" s="8"/>
    </row>
    <row r="647" spans="1:13" s="3" customFormat="1" ht="12.2" customHeight="1" x14ac:dyDescent="0.15">
      <c r="A647" s="21"/>
      <c r="B647" s="22"/>
      <c r="C647" s="22"/>
      <c r="D647" s="22"/>
      <c r="E647" s="22"/>
      <c r="F647" s="86" t="s">
        <v>662</v>
      </c>
      <c r="G647" s="80">
        <f>J194</f>
        <v>20476.759999999998</v>
      </c>
      <c r="H647" s="80">
        <f>L409</f>
        <v>20476.760000000002</v>
      </c>
      <c r="I647" s="87" t="s">
        <v>477</v>
      </c>
      <c r="J647" s="80">
        <f t="shared" si="50"/>
        <v>0</v>
      </c>
      <c r="K647" s="67"/>
      <c r="L647" s="69"/>
      <c r="M647" s="8"/>
    </row>
    <row r="648" spans="1:13" s="3" customFormat="1" ht="12.2" customHeight="1" x14ac:dyDescent="0.15">
      <c r="A648" s="21"/>
      <c r="B648" s="22"/>
      <c r="C648" s="22"/>
      <c r="D648" s="22"/>
      <c r="E648" s="22"/>
      <c r="F648" s="86" t="s">
        <v>51</v>
      </c>
      <c r="G648" s="80">
        <f>K599</f>
        <v>141299.56</v>
      </c>
      <c r="H648" s="80">
        <f>L209+L227+L245</f>
        <v>141299.56</v>
      </c>
      <c r="I648" s="87" t="s">
        <v>396</v>
      </c>
      <c r="J648" s="80">
        <f t="shared" si="50"/>
        <v>0</v>
      </c>
      <c r="K648" s="67"/>
      <c r="L648" s="69"/>
      <c r="M648" s="8"/>
    </row>
    <row r="649" spans="1:13" s="3" customFormat="1" ht="12.2" customHeight="1" x14ac:dyDescent="0.15">
      <c r="A649" s="21"/>
      <c r="B649" s="22"/>
      <c r="C649" s="22"/>
      <c r="D649" s="22"/>
      <c r="E649" s="22"/>
      <c r="F649" s="86" t="s">
        <v>52</v>
      </c>
      <c r="G649" s="80">
        <f>K606</f>
        <v>18030.3</v>
      </c>
      <c r="H649" s="80">
        <f>(J258+J339)-(J256+J337)</f>
        <v>18030.3</v>
      </c>
      <c r="I649" s="87" t="s">
        <v>699</v>
      </c>
      <c r="J649" s="80">
        <f t="shared" si="50"/>
        <v>0</v>
      </c>
      <c r="K649" s="67"/>
      <c r="L649" s="69"/>
      <c r="M649" s="8"/>
    </row>
    <row r="650" spans="1:13" s="3" customFormat="1" ht="12.2" customHeight="1" x14ac:dyDescent="0.15">
      <c r="A650" s="21"/>
      <c r="B650" s="22"/>
      <c r="C650" s="22"/>
      <c r="D650" s="22"/>
      <c r="E650" s="22"/>
      <c r="F650" s="86" t="s">
        <v>387</v>
      </c>
      <c r="G650" s="80">
        <f>L209</f>
        <v>141299.56</v>
      </c>
      <c r="H650" s="80">
        <f>H599</f>
        <v>141299.56</v>
      </c>
      <c r="I650" s="87" t="s">
        <v>388</v>
      </c>
      <c r="J650" s="80">
        <f t="shared" si="50"/>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0"/>
        <v>0</v>
      </c>
      <c r="K651" s="67"/>
      <c r="L651" s="69"/>
      <c r="M651" s="8"/>
    </row>
    <row r="652" spans="1:13" s="3" customFormat="1" ht="12.2" customHeight="1" x14ac:dyDescent="0.15">
      <c r="A652" s="21"/>
      <c r="B652" s="22"/>
      <c r="C652" s="22"/>
      <c r="D652" s="22"/>
      <c r="E652" s="22"/>
      <c r="F652" s="86" t="s">
        <v>393</v>
      </c>
      <c r="G652" s="80">
        <f>L245</f>
        <v>0</v>
      </c>
      <c r="H652" s="80">
        <f>J599</f>
        <v>0</v>
      </c>
      <c r="I652" s="87" t="s">
        <v>390</v>
      </c>
      <c r="J652" s="80">
        <f t="shared" si="50"/>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20000</v>
      </c>
      <c r="H656" s="80">
        <f>K267+K348</f>
        <v>20000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3907314.0700000003</v>
      </c>
      <c r="G661" s="13">
        <f>(L230+L310+L360)</f>
        <v>0</v>
      </c>
      <c r="H661" s="13">
        <f>(L248+L329+L361)</f>
        <v>0</v>
      </c>
      <c r="I661" s="13">
        <f>SUM(F661:H661)</f>
        <v>3907314.0700000003</v>
      </c>
      <c r="J661" s="13"/>
      <c r="K661" s="13"/>
      <c r="L661" s="13"/>
      <c r="M661" s="9"/>
    </row>
    <row r="662" spans="1:13" s="3" customFormat="1" ht="12.2" customHeight="1" x14ac:dyDescent="0.2">
      <c r="A662" s="1" t="s">
        <v>127</v>
      </c>
      <c r="F662" s="13">
        <f>(L359/IF(SUM(L359:L361)=0,1,SUM(L359:L361))*(SUM(G97:G110)))</f>
        <v>89639.38</v>
      </c>
      <c r="G662" s="13">
        <f>(L360/IF(SUM(L359:L361)=0,1,SUM(L359:L361))*(SUM(G97:G110)))</f>
        <v>0</v>
      </c>
      <c r="H662" s="13">
        <f>(L361/IF(SUM(L359:L361)=0,1,SUM(L359:L361))*(SUM(G97:G110)))</f>
        <v>0</v>
      </c>
      <c r="I662" s="13">
        <f>SUM(F662:H662)</f>
        <v>89639.38</v>
      </c>
      <c r="J662"/>
      <c r="K662" s="13"/>
      <c r="L662" s="13"/>
      <c r="M662" s="8"/>
    </row>
    <row r="663" spans="1:13" s="3" customFormat="1" ht="12.2" customHeight="1" x14ac:dyDescent="0.2">
      <c r="A663" s="1" t="s">
        <v>128</v>
      </c>
      <c r="F663" s="13">
        <f>(L209+L288)-(J209+J288)</f>
        <v>141299.56</v>
      </c>
      <c r="G663" s="13">
        <f>(L227+L307)-(J227+J307)</f>
        <v>0</v>
      </c>
      <c r="H663" s="13">
        <f>(L245+L326)-(J245+J326)</f>
        <v>0</v>
      </c>
      <c r="I663" s="13">
        <f>SUM(F663:H663)</f>
        <v>141299.56</v>
      </c>
      <c r="J663"/>
      <c r="K663" s="13"/>
      <c r="L663" s="13"/>
      <c r="M663" s="9"/>
    </row>
    <row r="664" spans="1:13" s="3" customFormat="1" ht="12.2" customHeight="1" x14ac:dyDescent="0.15">
      <c r="A664" s="142" t="s">
        <v>129</v>
      </c>
      <c r="B664" s="124"/>
      <c r="C664" s="124"/>
      <c r="D664" s="124"/>
      <c r="E664" s="124"/>
      <c r="F664" s="143">
        <f>SUM(F576:F588)+SUM(H603:H605)+SUM(L612)</f>
        <v>18030.3</v>
      </c>
      <c r="G664" s="143">
        <f>SUM(G576:G588)+SUM(I603:I605)+L613</f>
        <v>0</v>
      </c>
      <c r="H664" s="143">
        <f>SUM(H576:H588)+SUM(J603:J605)+L614</f>
        <v>0</v>
      </c>
      <c r="I664" s="13">
        <f>SUM(F664:H664)</f>
        <v>18030.3</v>
      </c>
      <c r="J664" s="13"/>
      <c r="K664" s="13"/>
      <c r="L664" s="13"/>
      <c r="M664" s="9"/>
    </row>
    <row r="665" spans="1:13" s="3" customFormat="1" ht="12.2" customHeight="1" x14ac:dyDescent="0.15">
      <c r="A665" s="1" t="s">
        <v>130</v>
      </c>
      <c r="F665" s="13">
        <f>F661-SUM(F662:F664)</f>
        <v>3658344.83</v>
      </c>
      <c r="G665" s="13">
        <f>G661-SUM(G662:G664)</f>
        <v>0</v>
      </c>
      <c r="H665" s="13">
        <f>H661-SUM(H662:H664)</f>
        <v>0</v>
      </c>
      <c r="I665" s="13">
        <f>I661-SUM(I662:I664)</f>
        <v>3658344.83</v>
      </c>
      <c r="J665" s="13"/>
      <c r="K665" s="13"/>
      <c r="L665" s="13"/>
      <c r="M665" s="8"/>
    </row>
    <row r="666" spans="1:13" s="3" customFormat="1" ht="12.2" customHeight="1" x14ac:dyDescent="0.2">
      <c r="A666" s="1" t="s">
        <v>131</v>
      </c>
      <c r="F666" s="183">
        <v>134.52000000000001</v>
      </c>
      <c r="G666" s="184"/>
      <c r="H666" s="184"/>
      <c r="I666" s="13">
        <f>SUM(F666:H666)</f>
        <v>134.52000000000001</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27195.55</v>
      </c>
      <c r="G668" s="13" t="e">
        <f>ROUND(G665/G666,2)</f>
        <v>#DIV/0!</v>
      </c>
      <c r="H668" s="13" t="e">
        <f>ROUND(H665/H666,2)</f>
        <v>#DIV/0!</v>
      </c>
      <c r="I668" s="13">
        <f>ROUND(I665/I666,2)</f>
        <v>27195.55</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t="str">
        <f t="shared" si="51"/>
        <v/>
      </c>
      <c r="H670" s="73" t="str">
        <f t="shared" si="51"/>
        <v/>
      </c>
      <c r="I670" s="13">
        <f>SUM(F670:H670)</f>
        <v>0</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27195.55</v>
      </c>
      <c r="G673" s="13" t="e">
        <f>ROUND((G665+G670)/(G666+G671),2)</f>
        <v>#DIV/0!</v>
      </c>
      <c r="H673" s="13" t="e">
        <f>ROUND((H665+H670)/(H666+H671),2)</f>
        <v>#DIV/0!</v>
      </c>
      <c r="I673" s="13">
        <f>ROUND((I665+I670)/(I666+I671),2)</f>
        <v>27195.55</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C28" sqref="C28"/>
    </sheetView>
  </sheetViews>
  <sheetFormatPr defaultColWidth="9.33203125"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7063.06</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v>1830.42</v>
      </c>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v>5232.6400000000003</v>
      </c>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v>15837.19</v>
      </c>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t="s">
        <v>1606</v>
      </c>
      <c r="C3" s="243"/>
      <c r="D3" s="243"/>
      <c r="E3" s="243"/>
      <c r="F3" s="243"/>
      <c r="G3" s="243"/>
      <c r="H3" s="243"/>
      <c r="I3" t="s">
        <v>1605</v>
      </c>
    </row>
    <row r="4" spans="1:9" x14ac:dyDescent="0.2">
      <c r="I4" t="s">
        <v>1606</v>
      </c>
    </row>
    <row r="5" spans="1:9" ht="15.75" x14ac:dyDescent="0.25">
      <c r="A5" s="239" t="s">
        <v>900</v>
      </c>
      <c r="B5" s="316" t="str">
        <f>'DOE25'!A2</f>
        <v>Kensington</v>
      </c>
      <c r="C5" s="317"/>
      <c r="D5" s="317"/>
      <c r="E5" s="317"/>
      <c r="F5" s="317"/>
    </row>
    <row r="8" spans="1:9" ht="18" x14ac:dyDescent="0.25">
      <c r="A8" s="240" t="s">
        <v>1560</v>
      </c>
      <c r="F8" s="247" t="s">
        <v>1578</v>
      </c>
    </row>
    <row r="9" spans="1:9" ht="15" x14ac:dyDescent="0.2">
      <c r="A9" s="238" t="s">
        <v>1561</v>
      </c>
      <c r="B9" s="241">
        <f>'DOE25'!G97</f>
        <v>83311.13</v>
      </c>
      <c r="F9" s="238" t="s">
        <v>1574</v>
      </c>
    </row>
    <row r="10" spans="1:9" ht="15" x14ac:dyDescent="0.2">
      <c r="A10" s="238" t="s">
        <v>1562</v>
      </c>
      <c r="B10" s="241">
        <f>'DOE25'!G112-'DOE25'!G97</f>
        <v>6328.25</v>
      </c>
      <c r="F10" s="238" t="s">
        <v>1575</v>
      </c>
    </row>
    <row r="11" spans="1:9" ht="15" x14ac:dyDescent="0.2">
      <c r="A11" s="238" t="s">
        <v>1563</v>
      </c>
      <c r="B11" s="241">
        <f>'DOE25'!G140</f>
        <v>880.29</v>
      </c>
      <c r="F11" s="238" t="s">
        <v>1576</v>
      </c>
    </row>
    <row r="12" spans="1:9" ht="15" x14ac:dyDescent="0.2">
      <c r="A12" s="238" t="s">
        <v>1564</v>
      </c>
      <c r="B12" s="241">
        <f>'DOE25'!G170</f>
        <v>19746.97</v>
      </c>
      <c r="F12" s="238" t="s">
        <v>1577</v>
      </c>
    </row>
    <row r="13" spans="1:9" ht="15" x14ac:dyDescent="0.2">
      <c r="A13" s="238" t="s">
        <v>1565</v>
      </c>
      <c r="B13" s="241">
        <f>'DOE25'!G193-'DOE25'!G180</f>
        <v>0</v>
      </c>
      <c r="F13" s="238" t="s">
        <v>1587</v>
      </c>
    </row>
    <row r="14" spans="1:9" ht="18" x14ac:dyDescent="0.25">
      <c r="A14" s="240" t="s">
        <v>732</v>
      </c>
      <c r="B14" s="242">
        <f>SUM(B9:B13)</f>
        <v>110266.64</v>
      </c>
    </row>
    <row r="16" spans="1:9" ht="18" x14ac:dyDescent="0.25">
      <c r="A16" s="240" t="s">
        <v>786</v>
      </c>
      <c r="F16" s="247" t="s">
        <v>1579</v>
      </c>
    </row>
    <row r="17" spans="1:6" ht="15" x14ac:dyDescent="0.2">
      <c r="A17" s="238" t="s">
        <v>1566</v>
      </c>
      <c r="B17" s="241">
        <f>'DOE25'!L363-'DOE25'!L362</f>
        <v>112116.5</v>
      </c>
      <c r="F17" s="238" t="s">
        <v>1580</v>
      </c>
    </row>
    <row r="18" spans="1:6" ht="15" x14ac:dyDescent="0.2">
      <c r="A18" s="238" t="s">
        <v>1567</v>
      </c>
      <c r="B18" s="251"/>
      <c r="F18" s="247" t="s">
        <v>1604</v>
      </c>
    </row>
    <row r="19" spans="1:6" ht="18" x14ac:dyDescent="0.25">
      <c r="A19" s="240" t="s">
        <v>725</v>
      </c>
      <c r="B19" s="242">
        <f>SUM(B17:B18)</f>
        <v>112116.5</v>
      </c>
    </row>
    <row r="21" spans="1:6" ht="18.75" thickBot="1" x14ac:dyDescent="0.3">
      <c r="A21" s="240" t="s">
        <v>1568</v>
      </c>
    </row>
    <row r="22" spans="1:6" ht="18.75" thickTop="1" x14ac:dyDescent="0.25">
      <c r="A22" s="240" t="s">
        <v>1569</v>
      </c>
      <c r="B22" s="246">
        <f>B14-B19</f>
        <v>-1849.8600000000006</v>
      </c>
      <c r="F22" s="238" t="s">
        <v>1581</v>
      </c>
    </row>
    <row r="26" spans="1:6" ht="18" x14ac:dyDescent="0.25">
      <c r="A26" s="240" t="s">
        <v>186</v>
      </c>
    </row>
    <row r="27" spans="1:6" ht="15" x14ac:dyDescent="0.2">
      <c r="A27" s="238" t="s">
        <v>1570</v>
      </c>
      <c r="B27" s="241">
        <f>'DOE25'!G180</f>
        <v>0</v>
      </c>
      <c r="F27" s="238" t="s">
        <v>1582</v>
      </c>
    </row>
    <row r="28" spans="1:6" ht="15" x14ac:dyDescent="0.2">
      <c r="A28" s="238" t="s">
        <v>1572</v>
      </c>
      <c r="B28" s="241">
        <f>'DOE25'!L362</f>
        <v>0</v>
      </c>
      <c r="F28" s="238" t="s">
        <v>1583</v>
      </c>
    </row>
    <row r="31" spans="1:6" ht="15" x14ac:dyDescent="0.2">
      <c r="A31" s="238" t="s">
        <v>1797</v>
      </c>
      <c r="B31" s="241">
        <f>'DOE25'!G466</f>
        <v>29978.43</v>
      </c>
      <c r="F31" s="238" t="s">
        <v>1584</v>
      </c>
    </row>
    <row r="33" spans="1:6" ht="15" x14ac:dyDescent="0.2">
      <c r="A33" s="238" t="s">
        <v>1798</v>
      </c>
      <c r="B33" s="241">
        <f>'DOE25'!G477</f>
        <v>28128.570000000007</v>
      </c>
      <c r="F33" s="238" t="s">
        <v>1585</v>
      </c>
    </row>
    <row r="36" spans="1:6" ht="15" x14ac:dyDescent="0.2">
      <c r="A36" s="238" t="s">
        <v>1571</v>
      </c>
      <c r="B36" s="252">
        <v>8775.08</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J36" sqref="J36"/>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Kensington</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1053234.17</v>
      </c>
      <c r="C9" s="167">
        <f>'DOE25'!G198+'DOE25'!G216+'DOE25'!G234+'DOE25'!G277+'DOE25'!G296+'DOE25'!G315</f>
        <v>586351.68000000005</v>
      </c>
    </row>
    <row r="10" spans="1:3" x14ac:dyDescent="0.2">
      <c r="A10" t="s">
        <v>775</v>
      </c>
      <c r="B10" s="177">
        <f>949901+42199.2+3000</f>
        <v>995100.2</v>
      </c>
      <c r="C10" s="177">
        <f>B10/B9*C9</f>
        <v>553987.60376178834</v>
      </c>
    </row>
    <row r="11" spans="1:3" x14ac:dyDescent="0.2">
      <c r="A11" t="s">
        <v>776</v>
      </c>
      <c r="B11" s="177">
        <f>37410.62</f>
        <v>37410.620000000003</v>
      </c>
      <c r="C11" s="177">
        <f>B11/B9*C9</f>
        <v>20827.06819779841</v>
      </c>
    </row>
    <row r="12" spans="1:3" x14ac:dyDescent="0.2">
      <c r="A12" t="s">
        <v>777</v>
      </c>
      <c r="B12" s="177">
        <f>20723.35</f>
        <v>20723.349999999999</v>
      </c>
      <c r="C12" s="177">
        <f>B12/B9*C9</f>
        <v>11537.008040413273</v>
      </c>
    </row>
    <row r="13" spans="1:3" x14ac:dyDescent="0.2">
      <c r="A13" t="str">
        <f>IF(B9=B13,IF(C9=C13,"Check Total OK","Check Total Error"),"Check Total Error")</f>
        <v>Check Total OK</v>
      </c>
      <c r="B13" s="169">
        <f>SUM(B10:B12)</f>
        <v>1053234.17</v>
      </c>
      <c r="C13" s="169">
        <f>SUM(C10:C12)</f>
        <v>586351.68000000005</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369325.72000000003</v>
      </c>
      <c r="C18" s="167">
        <f>'DOE25'!G199+'DOE25'!G217+'DOE25'!G235+'DOE25'!G278+'DOE25'!G297+'DOE25'!G316</f>
        <v>169736.54</v>
      </c>
    </row>
    <row r="19" spans="1:3" x14ac:dyDescent="0.2">
      <c r="A19" t="s">
        <v>775</v>
      </c>
      <c r="B19" s="177">
        <f>102809.39+141344.09+600+39807.69</f>
        <v>284561.17</v>
      </c>
      <c r="C19" s="177">
        <f>B19/B18*C18</f>
        <v>130780.02911400754</v>
      </c>
    </row>
    <row r="20" spans="1:3" x14ac:dyDescent="0.2">
      <c r="A20" t="s">
        <v>776</v>
      </c>
      <c r="B20" s="177">
        <f>84764.55</f>
        <v>84764.55</v>
      </c>
      <c r="C20" s="177">
        <f>B20/B18*C18</f>
        <v>38956.510885992451</v>
      </c>
    </row>
    <row r="21" spans="1:3" x14ac:dyDescent="0.2">
      <c r="A21" t="s">
        <v>777</v>
      </c>
      <c r="B21" s="177"/>
      <c r="C21" s="177"/>
    </row>
    <row r="22" spans="1:3" x14ac:dyDescent="0.2">
      <c r="A22" t="str">
        <f>IF(B18=B22,IF(C18=C22,"Check Total OK","Check Total Error"),"Check Total Error")</f>
        <v>Check Total OK</v>
      </c>
      <c r="B22" s="169">
        <f>SUM(B19:B21)</f>
        <v>369325.72</v>
      </c>
      <c r="C22" s="169">
        <f>SUM(C19:C21)</f>
        <v>169736.53999999998</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1700</v>
      </c>
      <c r="C36" s="173">
        <f>'DOE25'!G201+'DOE25'!G219+'DOE25'!G237+'DOE25'!G280+'DOE25'!G299+'DOE25'!G318</f>
        <v>580.95000000000005</v>
      </c>
    </row>
    <row r="37" spans="1:3" x14ac:dyDescent="0.2">
      <c r="A37" t="s">
        <v>775</v>
      </c>
      <c r="B37" s="177">
        <v>1700</v>
      </c>
      <c r="C37" s="177">
        <v>580.95000000000005</v>
      </c>
    </row>
    <row r="38" spans="1:3" x14ac:dyDescent="0.2">
      <c r="A38" t="s">
        <v>776</v>
      </c>
      <c r="B38" s="177"/>
      <c r="C38" s="177"/>
    </row>
    <row r="39" spans="1:3" x14ac:dyDescent="0.2">
      <c r="A39" t="s">
        <v>777</v>
      </c>
      <c r="B39" s="177"/>
      <c r="C39" s="177"/>
    </row>
    <row r="40" spans="1:3" x14ac:dyDescent="0.2">
      <c r="A40" t="str">
        <f>IF(B36=B40,IF(C36=C40,"Check Total OK","Check Total Error"),"Check Total Error")</f>
        <v>Check Total OK</v>
      </c>
      <c r="B40" s="169">
        <f>SUM(B37:B39)</f>
        <v>1700</v>
      </c>
      <c r="C40" s="169">
        <f>SUM(C37:C39)</f>
        <v>580.95000000000005</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115" zoomScaleNormal="115"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Kensington</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2112867.14</v>
      </c>
      <c r="D5" s="19">
        <f>SUM('DOE25'!L198:L201)+SUM('DOE25'!L216:L219)+SUM('DOE25'!L234:L237)-F5-G5-H5</f>
        <v>2099811.29</v>
      </c>
      <c r="E5" s="180"/>
      <c r="F5" s="181"/>
      <c r="G5" s="19">
        <f>SUM('DOE25'!J198:J201)+SUM('DOE25'!J216:J219)+SUM('DOE25'!J234:J237)</f>
        <v>6753.58</v>
      </c>
      <c r="H5" s="19">
        <f>SUM('DOE25'!K198:K201)+SUM('DOE25'!K216:K219)+SUM('DOE25'!K234:K237)</f>
        <v>6302.27</v>
      </c>
      <c r="I5" s="192"/>
    </row>
    <row r="6" spans="1:9" x14ac:dyDescent="0.2">
      <c r="A6" s="31">
        <v>2100</v>
      </c>
      <c r="B6" t="s">
        <v>796</v>
      </c>
      <c r="C6" s="206">
        <f t="shared" si="0"/>
        <v>400313.56000000006</v>
      </c>
      <c r="D6" s="19">
        <f>'DOE25'!L203+'DOE25'!L221+'DOE25'!L239-F6-G6-H6</f>
        <v>400238.22000000003</v>
      </c>
      <c r="E6" s="180"/>
      <c r="F6" s="181"/>
      <c r="G6" s="19">
        <f>'DOE25'!J203+'DOE25'!J221+'DOE25'!J239</f>
        <v>75.34</v>
      </c>
      <c r="H6" s="19">
        <f>'DOE25'!K203+'DOE25'!K221+'DOE25'!K239</f>
        <v>0</v>
      </c>
      <c r="I6" s="192"/>
    </row>
    <row r="7" spans="1:9" x14ac:dyDescent="0.2">
      <c r="A7" s="31">
        <v>2200</v>
      </c>
      <c r="B7" t="s">
        <v>820</v>
      </c>
      <c r="C7" s="206">
        <f t="shared" si="0"/>
        <v>192153.95</v>
      </c>
      <c r="D7" s="19">
        <f>'DOE25'!L204+'DOE25'!L222+'DOE25'!L240-F7-G7-H7</f>
        <v>181080.09000000003</v>
      </c>
      <c r="E7" s="180"/>
      <c r="F7" s="181"/>
      <c r="G7" s="19">
        <f>'DOE25'!J204+'DOE25'!J222+'DOE25'!J240</f>
        <v>11073.86</v>
      </c>
      <c r="H7" s="19">
        <f>'DOE25'!K204+'DOE25'!K222+'DOE25'!K240</f>
        <v>0</v>
      </c>
      <c r="I7" s="192"/>
    </row>
    <row r="8" spans="1:9" x14ac:dyDescent="0.2">
      <c r="A8" s="31">
        <v>2300</v>
      </c>
      <c r="B8" t="s">
        <v>797</v>
      </c>
      <c r="C8" s="206">
        <f t="shared" si="0"/>
        <v>88259.569999999992</v>
      </c>
      <c r="D8" s="180"/>
      <c r="E8" s="19">
        <f>'DOE25'!L205+'DOE25'!L223+'DOE25'!L241-F8-G8-H8-D9-D11</f>
        <v>88259.569999999992</v>
      </c>
      <c r="F8" s="181"/>
      <c r="G8" s="19">
        <f>'DOE25'!J205+'DOE25'!J223+'DOE25'!J241</f>
        <v>0</v>
      </c>
      <c r="H8" s="19">
        <f>'DOE25'!K205+'DOE25'!K223+'DOE25'!K241</f>
        <v>0</v>
      </c>
      <c r="I8" s="192"/>
    </row>
    <row r="9" spans="1:9" ht="14.25" x14ac:dyDescent="0.2">
      <c r="A9" s="31">
        <v>2310</v>
      </c>
      <c r="B9" s="71" t="s">
        <v>887</v>
      </c>
      <c r="C9" s="206">
        <f t="shared" si="0"/>
        <v>3826.8</v>
      </c>
      <c r="D9" s="181">
        <v>3826.8</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292798.45</v>
      </c>
      <c r="D12" s="19">
        <f>'DOE25'!L206+'DOE25'!L224+'DOE25'!L242-F12-G12-H12</f>
        <v>292646.64999999997</v>
      </c>
      <c r="E12" s="180"/>
      <c r="F12" s="181"/>
      <c r="G12" s="19">
        <f>'DOE25'!J206+'DOE25'!J224+'DOE25'!J242</f>
        <v>127.52</v>
      </c>
      <c r="H12" s="19">
        <f>'DOE25'!K206+'DOE25'!K224+'DOE25'!K242</f>
        <v>24.28</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818</v>
      </c>
      <c r="C14" s="206">
        <f t="shared" si="0"/>
        <v>339916.55</v>
      </c>
      <c r="D14" s="19">
        <f>'DOE25'!L208+'DOE25'!L226+'DOE25'!L244-F14-G14-H14</f>
        <v>339916.55</v>
      </c>
      <c r="E14" s="180"/>
      <c r="F14" s="181"/>
      <c r="G14" s="19">
        <f>'DOE25'!J208+'DOE25'!J226+'DOE25'!J244</f>
        <v>0</v>
      </c>
      <c r="H14" s="19">
        <f>'DOE25'!K208+'DOE25'!K226+'DOE25'!K244</f>
        <v>0</v>
      </c>
      <c r="I14" s="192"/>
    </row>
    <row r="15" spans="1:9" x14ac:dyDescent="0.2">
      <c r="A15" s="31">
        <v>2700</v>
      </c>
      <c r="B15" t="s">
        <v>799</v>
      </c>
      <c r="C15" s="206">
        <f t="shared" si="0"/>
        <v>141299.56</v>
      </c>
      <c r="D15" s="19">
        <f>'DOE25'!L209+'DOE25'!L227+'DOE25'!L245-F15-G15-H15</f>
        <v>33784</v>
      </c>
      <c r="E15" s="180"/>
      <c r="F15" s="181">
        <v>107515.56</v>
      </c>
      <c r="G15" s="19">
        <f>'DOE25'!J209+'DOE25'!J227+'DOE25'!J245</f>
        <v>0</v>
      </c>
      <c r="H15" s="19">
        <f>'DOE25'!K209+'DOE25'!K227+'DOE25'!K245</f>
        <v>0</v>
      </c>
      <c r="I15" s="192"/>
    </row>
    <row r="16" spans="1:9" x14ac:dyDescent="0.2">
      <c r="A16" s="31">
        <v>2800</v>
      </c>
      <c r="B16" t="s">
        <v>800</v>
      </c>
      <c r="C16" s="206">
        <f t="shared" si="0"/>
        <v>0</v>
      </c>
      <c r="D16" s="180"/>
      <c r="E16" s="19">
        <f>'DOE25'!L210+'DOE25'!L228+'DOE25'!L246-F16-G16-H16</f>
        <v>0</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0</v>
      </c>
      <c r="D22" s="180"/>
      <c r="E22" s="180"/>
      <c r="F22" s="180"/>
      <c r="G22" s="19">
        <f>'DOE25'!L256+'DOE25'!L337</f>
        <v>0</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0</v>
      </c>
      <c r="D25" s="180"/>
      <c r="E25" s="180"/>
      <c r="F25" s="191"/>
      <c r="G25" s="180"/>
      <c r="H25" s="180"/>
      <c r="I25" s="190">
        <f>'DOE25'!L261+'DOE25'!L262+'DOE25'!L342+'DOE25'!L343</f>
        <v>0</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77510.459999999992</v>
      </c>
      <c r="D29" s="212">
        <f>'DOE25'!L359+'DOE25'!L360+'DOE25'!L361-'DOE25'!I368-F29-G29-H29-F39</f>
        <v>77510.459999999992</v>
      </c>
      <c r="E29" s="180"/>
      <c r="F29" s="180"/>
      <c r="G29" s="19">
        <f>'DOE25'!J359+'DOE25'!J360+'DOE25'!J361</f>
        <v>0</v>
      </c>
      <c r="H29" s="19">
        <f>'DOE25'!K359+'DOE25'!K360+'DOE25'!K361</f>
        <v>0</v>
      </c>
      <c r="I29" s="192"/>
    </row>
    <row r="30" spans="1:9" x14ac:dyDescent="0.2">
      <c r="A30" s="31"/>
      <c r="C30" s="207"/>
      <c r="D30" s="19"/>
      <c r="F30" s="201"/>
      <c r="G30" s="19"/>
      <c r="H30" s="19"/>
      <c r="I30" s="192"/>
    </row>
    <row r="31" spans="1:9" x14ac:dyDescent="0.2">
      <c r="A31" s="31" t="s">
        <v>817</v>
      </c>
      <c r="B31" t="s">
        <v>816</v>
      </c>
      <c r="C31" s="206">
        <f>SUM(D31:I31)</f>
        <v>223761.99</v>
      </c>
      <c r="D31" s="19">
        <f>'DOE25'!L291+'DOE25'!L310+'DOE25'!L329+'DOE25'!L334+'DOE25'!L335+'DOE25'!L336-F31-G31-H31</f>
        <v>221676.75</v>
      </c>
      <c r="E31" s="180"/>
      <c r="F31" s="181"/>
      <c r="G31" s="19">
        <f>'DOE25'!J291+'DOE25'!J310+'DOE25'!J329+'DOE25'!J334+'DOE25'!J335+'DOE25'!J336</f>
        <v>0</v>
      </c>
      <c r="H31" s="19">
        <f>'DOE25'!K291+'DOE25'!K310+'DOE25'!K329+'DOE25'!K334+'DOE25'!K335+'DOE25'!K336</f>
        <v>2085.2399999999998</v>
      </c>
      <c r="I31" s="192"/>
    </row>
    <row r="32" spans="1:9" ht="12" thickBot="1" x14ac:dyDescent="0.25">
      <c r="C32" s="207"/>
      <c r="G32" s="188"/>
      <c r="H32" s="188"/>
      <c r="I32" s="194"/>
    </row>
    <row r="33" spans="1:9" ht="12" thickTop="1" x14ac:dyDescent="0.2">
      <c r="B33" t="s">
        <v>809</v>
      </c>
      <c r="D33" s="182">
        <f t="shared" ref="D33:I33" si="1">SUM(D5:D31)</f>
        <v>3650490.8099999996</v>
      </c>
      <c r="E33" s="182">
        <f t="shared" si="1"/>
        <v>88259.569999999992</v>
      </c>
      <c r="F33" s="182">
        <f t="shared" si="1"/>
        <v>107515.56</v>
      </c>
      <c r="G33" s="182">
        <f t="shared" si="1"/>
        <v>18030.3</v>
      </c>
      <c r="H33" s="182">
        <f t="shared" si="1"/>
        <v>8411.7900000000009</v>
      </c>
      <c r="I33" s="182">
        <f t="shared" si="1"/>
        <v>0</v>
      </c>
    </row>
    <row r="34" spans="1:9" ht="12" thickBot="1" x14ac:dyDescent="0.25"/>
    <row r="35" spans="1:9" ht="12" thickBot="1" x14ac:dyDescent="0.25">
      <c r="B35" s="188" t="s">
        <v>830</v>
      </c>
      <c r="D35" s="189">
        <f>E33</f>
        <v>88259.569999999992</v>
      </c>
      <c r="E35" s="185"/>
      <c r="F35" s="295" t="s">
        <v>1608</v>
      </c>
      <c r="G35" s="296"/>
      <c r="H35" s="296"/>
      <c r="I35" s="297"/>
    </row>
    <row r="36" spans="1:9" ht="12" thickTop="1" x14ac:dyDescent="0.2">
      <c r="B36" t="s">
        <v>810</v>
      </c>
      <c r="D36" s="19">
        <f>D33</f>
        <v>3650490.8099999996</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5000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zoomScale="80" zoomScaleNormal="80" workbookViewId="0">
      <selection activeCell="D7" sqref="D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Kensington</v>
      </c>
      <c r="B2">
        <f>'DOE25'!B2</f>
        <v>281</v>
      </c>
      <c r="J2" s="224" t="s">
        <v>1808</v>
      </c>
      <c r="K2" s="309">
        <f>SUM('DOE25'!L198:L201)+SUM('DOE25'!L216:L219)+SUM('DOE25'!L234:L237)+SUM('DOE25'!L277:L280)+SUM('DOE25'!L296:L299)+SUM('DOE25'!L315:L318)</f>
        <v>2336629.13</v>
      </c>
      <c r="L2" s="309">
        <f>'DOE25'!L203+'DOE25'!L221+'DOE25'!L239+'DOE25'!L282+'DOE25'!L301+'DOE25'!L320</f>
        <v>400313.56000000006</v>
      </c>
      <c r="M2" s="309">
        <f>'DOE25'!L204+'DOE25'!L222+'DOE25'!L240+'DOE25'!L283+'DOE25'!L302+'DOE25'!L321</f>
        <v>192153.95</v>
      </c>
      <c r="N2" s="309">
        <f>'DOE25'!L206+'DOE25'!L224+'DOE25'!L242+'DOE25'!L285+'DOE25'!L304+'DOE25'!L323</f>
        <v>292798.45</v>
      </c>
      <c r="O2" s="309">
        <f>'Salaries-Benefits'!B10+'Salaries-Benefits'!B12+'Salaries-Benefits'!B19+'Salaries-Benefits'!B21+'Salaries-Benefits'!B28+'Salaries-Benefits'!B30+'Salaries-Benefits'!B37+'Salaries-Benefits'!B39</f>
        <v>1302084.72</v>
      </c>
      <c r="P2" s="309">
        <f>'Salaries-Benefits'!B11+'Salaries-Benefits'!B20+'Salaries-Benefits'!B29+'Salaries-Benefits'!B38</f>
        <v>122175.17000000001</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0</v>
      </c>
      <c r="L3" s="311">
        <f t="shared" ref="L3:P3" si="0">L21+L33+L43-L2</f>
        <v>0</v>
      </c>
      <c r="M3" s="311">
        <f t="shared" si="0"/>
        <v>0</v>
      </c>
      <c r="N3" s="311">
        <f t="shared" si="0"/>
        <v>0</v>
      </c>
      <c r="O3" s="311">
        <f t="shared" si="0"/>
        <v>0</v>
      </c>
      <c r="P3" s="311">
        <f t="shared" si="0"/>
        <v>0</v>
      </c>
      <c r="Q3" s="310"/>
      <c r="R3" s="306"/>
      <c r="S3" s="215"/>
      <c r="T3" s="215"/>
      <c r="U3" s="216"/>
    </row>
    <row r="4" spans="1:21" ht="55.5" customHeight="1" thickBot="1" x14ac:dyDescent="0.25">
      <c r="A4" s="224" t="s">
        <v>1522</v>
      </c>
      <c r="B4" s="224" t="s">
        <v>1523</v>
      </c>
      <c r="C4" s="224" t="s">
        <v>896</v>
      </c>
      <c r="D4" s="224" t="s">
        <v>786</v>
      </c>
      <c r="E4" s="224" t="s">
        <v>786</v>
      </c>
      <c r="F4" s="228">
        <f>SUM(F5:F20)</f>
        <v>3795197.5699999994</v>
      </c>
      <c r="G4" s="229">
        <f>'DOE25'!L212+'DOE25'!L291</f>
        <v>3795197.5700000003</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v>11261.8</v>
      </c>
      <c r="E5" s="220"/>
      <c r="F5" s="232">
        <f>D5+E5</f>
        <v>11261.8</v>
      </c>
      <c r="G5" s="223"/>
      <c r="H5" s="223"/>
      <c r="J5" s="223"/>
      <c r="K5" s="223"/>
      <c r="L5" s="223"/>
      <c r="M5" s="223"/>
      <c r="N5" s="223"/>
      <c r="O5" s="223"/>
      <c r="P5" s="223"/>
      <c r="Q5" s="223"/>
    </row>
    <row r="6" spans="1:21" x14ac:dyDescent="0.2">
      <c r="A6" t="str" cm="1">
        <f t="array" ref="A6">IFERROR(INDEX('School Tables'!$A$4:$G$325,'School Tables'!$J4,3),"")</f>
        <v>Kensington Elementary School</v>
      </c>
      <c r="B6" s="230">
        <f>IFERROR(VLOOKUP(A6,'School Tables'!$C$3:$D$365,2,FALSE),"")</f>
        <v>20605</v>
      </c>
      <c r="C6" s="223" t="str">
        <f>IFERROR(INDEX('School Tables'!$B$3:$B$365,MATCH('School Level Expenditures'!B6,'School Tables'!$D$3:$D$365,0)),"")</f>
        <v>Kensington</v>
      </c>
      <c r="D6" s="220">
        <v>3560173.78</v>
      </c>
      <c r="E6" s="220">
        <v>223761.99</v>
      </c>
      <c r="F6" s="232">
        <f t="shared" ref="F6:F20" si="1">D6+E6</f>
        <v>3783935.7699999996</v>
      </c>
      <c r="G6" s="223"/>
      <c r="H6" s="223"/>
      <c r="J6" t="str">
        <f>A6</f>
        <v>Kensington Elementary School</v>
      </c>
      <c r="K6" s="20">
        <v>2336629.13</v>
      </c>
      <c r="L6" s="20">
        <v>400313.56</v>
      </c>
      <c r="M6" s="308">
        <v>192153.95</v>
      </c>
      <c r="N6" s="20">
        <v>292798.45</v>
      </c>
      <c r="O6" s="20">
        <v>1302084.72</v>
      </c>
      <c r="P6" s="20">
        <v>122175.17</v>
      </c>
      <c r="Q6" s="20"/>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3571435.5799999996</v>
      </c>
      <c r="E21" s="262">
        <f>SUM(E5:E20)</f>
        <v>223761.99</v>
      </c>
      <c r="F21" s="217"/>
      <c r="G21" s="217"/>
      <c r="H21" s="217"/>
      <c r="K21" s="263">
        <f t="shared" ref="K21:Q21" si="3">SUM(K5:K20)</f>
        <v>2336629.13</v>
      </c>
      <c r="L21" s="263">
        <f t="shared" si="3"/>
        <v>400313.56</v>
      </c>
      <c r="M21" s="263">
        <f t="shared" si="3"/>
        <v>192153.95</v>
      </c>
      <c r="N21" s="263">
        <f t="shared" si="3"/>
        <v>292798.45</v>
      </c>
      <c r="O21" s="263">
        <f t="shared" si="3"/>
        <v>1302084.72</v>
      </c>
      <c r="P21" s="263">
        <f t="shared" si="3"/>
        <v>122175.17</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0</v>
      </c>
      <c r="G24" s="229">
        <f>'DOE25'!L230+'DOE25'!L310</f>
        <v>0</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c r="E25" s="220"/>
      <c r="F25" s="232">
        <f>D25+E25</f>
        <v>0</v>
      </c>
      <c r="G25" s="223"/>
      <c r="H25" s="223"/>
      <c r="J25" s="223"/>
      <c r="K25" s="223"/>
      <c r="L25" s="224"/>
      <c r="M25" s="223"/>
      <c r="N25" s="223"/>
      <c r="O25" s="223"/>
      <c r="P25" s="223"/>
      <c r="Q25" s="223"/>
    </row>
    <row r="26" spans="1:17"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4">D26+E26</f>
        <v>0</v>
      </c>
      <c r="G26" s="223"/>
      <c r="H26" s="223"/>
      <c r="J26" t="str">
        <f t="shared" ref="J26:J32" si="5">A26</f>
        <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0</v>
      </c>
      <c r="E33" s="262">
        <f>SUM(E25:E32)</f>
        <v>0</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0</v>
      </c>
      <c r="G36" s="229">
        <f>'DOE25'!L248+'DOE25'!L329</f>
        <v>0</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c r="E37" s="220"/>
      <c r="F37" s="232">
        <f t="shared" ref="F37:F42" si="7">D37+E37</f>
        <v>0</v>
      </c>
      <c r="G37" s="223"/>
      <c r="H37" s="223"/>
      <c r="J37" s="223"/>
      <c r="K37" s="223"/>
      <c r="L37" s="224"/>
      <c r="M37" s="223"/>
      <c r="N37" s="223"/>
      <c r="O37" s="223"/>
      <c r="P37" s="223"/>
      <c r="Q37" s="223"/>
    </row>
    <row r="38" spans="1:18"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si="7"/>
        <v>0</v>
      </c>
      <c r="G38" s="223"/>
      <c r="H38" s="223"/>
      <c r="J38" t="str">
        <f t="shared" ref="J38:J42" si="8">A38</f>
        <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0</v>
      </c>
      <c r="E43" s="263">
        <f>SUM(E37:E42)</f>
        <v>0</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view="pageLayout" zoomScaleNormal="80" workbookViewId="0">
      <selection activeCell="J12" sqref="J1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Kensington</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337149.63</v>
      </c>
      <c r="D8" s="73">
        <f>'DOE25'!G9</f>
        <v>0</v>
      </c>
      <c r="E8" s="73">
        <f>'DOE25'!H9</f>
        <v>0</v>
      </c>
      <c r="F8" s="73">
        <f>'DOE25'!I9</f>
        <v>0</v>
      </c>
      <c r="G8" s="73">
        <f>'DOE25'!J9</f>
        <v>0</v>
      </c>
      <c r="H8" s="13">
        <f>SUM(C8:G8)</f>
        <v>337149.63</v>
      </c>
      <c r="I8" s="90"/>
    </row>
    <row r="9" spans="1:9" x14ac:dyDescent="0.2">
      <c r="A9" s="1" t="s">
        <v>140</v>
      </c>
      <c r="B9" s="6">
        <v>110</v>
      </c>
      <c r="C9" s="73">
        <f>'DOE25'!F10</f>
        <v>9090.69</v>
      </c>
      <c r="D9" s="73">
        <f>'DOE25'!G10</f>
        <v>0</v>
      </c>
      <c r="E9" s="73">
        <f>'DOE25'!H10</f>
        <v>0</v>
      </c>
      <c r="F9" s="73">
        <f>'DOE25'!I10</f>
        <v>0</v>
      </c>
      <c r="G9" s="73">
        <f>'DOE25'!J10</f>
        <v>123992.36</v>
      </c>
      <c r="H9" s="13">
        <f t="shared" ref="H9:H18" si="0">SUM(C9:G9)</f>
        <v>133083.04999999999</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0</v>
      </c>
      <c r="D11" s="73">
        <f>'DOE25'!G12</f>
        <v>0</v>
      </c>
      <c r="E11" s="73">
        <f>'DOE25'!H12</f>
        <v>0</v>
      </c>
      <c r="F11" s="73">
        <f>'DOE25'!I12</f>
        <v>0</v>
      </c>
      <c r="G11" s="73">
        <f>'DOE25'!J12</f>
        <v>0</v>
      </c>
      <c r="H11" s="13">
        <f t="shared" si="0"/>
        <v>0</v>
      </c>
      <c r="I11" s="90"/>
    </row>
    <row r="12" spans="1:9" x14ac:dyDescent="0.2">
      <c r="A12" s="1" t="s">
        <v>143</v>
      </c>
      <c r="B12" s="6">
        <v>140</v>
      </c>
      <c r="C12" s="73">
        <f>'DOE25'!F13</f>
        <v>9216.32</v>
      </c>
      <c r="D12" s="73">
        <f>'DOE25'!G13</f>
        <v>0</v>
      </c>
      <c r="E12" s="73">
        <f>'DOE25'!H13</f>
        <v>0</v>
      </c>
      <c r="F12" s="73">
        <f>'DOE25'!I13</f>
        <v>0</v>
      </c>
      <c r="G12" s="73">
        <f>'DOE25'!J13</f>
        <v>0</v>
      </c>
      <c r="H12" s="13">
        <f t="shared" si="0"/>
        <v>9216.32</v>
      </c>
      <c r="I12" s="90"/>
    </row>
    <row r="13" spans="1:9" x14ac:dyDescent="0.2">
      <c r="A13" s="1" t="s">
        <v>144</v>
      </c>
      <c r="B13" s="6">
        <v>150</v>
      </c>
      <c r="C13" s="73">
        <f>'DOE25'!F14</f>
        <v>16258.4</v>
      </c>
      <c r="D13" s="73">
        <f>'DOE25'!G14</f>
        <v>0</v>
      </c>
      <c r="E13" s="73">
        <f>'DOE25'!H14</f>
        <v>0</v>
      </c>
      <c r="F13" s="73">
        <f>'DOE25'!I14</f>
        <v>0</v>
      </c>
      <c r="G13" s="73">
        <f>'DOE25'!J14</f>
        <v>0</v>
      </c>
      <c r="H13" s="13">
        <f t="shared" si="0"/>
        <v>16258.4</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2141.65</v>
      </c>
      <c r="E15" s="73">
        <f>'DOE25'!H16</f>
        <v>0</v>
      </c>
      <c r="F15" s="73">
        <f>'DOE25'!I16</f>
        <v>0</v>
      </c>
      <c r="G15" s="23" t="s">
        <v>288</v>
      </c>
      <c r="H15" s="13">
        <f t="shared" si="0"/>
        <v>2141.65</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371715.04000000004</v>
      </c>
      <c r="D18" s="38">
        <f>SUM(D8:D17)</f>
        <v>2141.65</v>
      </c>
      <c r="E18" s="38">
        <f>SUM(E8:E17)</f>
        <v>0</v>
      </c>
      <c r="F18" s="38">
        <f>SUM(F8:F17)</f>
        <v>0</v>
      </c>
      <c r="G18" s="38">
        <f>SUM(G8:G17)</f>
        <v>123992.36</v>
      </c>
      <c r="H18" s="38">
        <f t="shared" si="0"/>
        <v>497849.05000000005</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35991.86</v>
      </c>
      <c r="D21" s="73">
        <f>'DOE25'!G22</f>
        <v>-25986.92</v>
      </c>
      <c r="E21" s="73">
        <f>'DOE25'!H22</f>
        <v>-10004.94</v>
      </c>
      <c r="F21" s="73">
        <f>'DOE25'!I22</f>
        <v>0</v>
      </c>
      <c r="G21" s="73">
        <f>'DOE25'!J22</f>
        <v>0</v>
      </c>
      <c r="H21" s="13">
        <f t="shared" ref="H21:H31" si="1">SUM(C21:G21)</f>
        <v>1.8189894035458565E-12</v>
      </c>
      <c r="I21" s="90"/>
    </row>
    <row r="22" spans="1:9" x14ac:dyDescent="0.2">
      <c r="A22" s="1" t="s">
        <v>151</v>
      </c>
      <c r="B22" s="6">
        <v>410</v>
      </c>
      <c r="C22" s="73">
        <f>'DOE25'!F23</f>
        <v>100042.03</v>
      </c>
      <c r="D22" s="73">
        <f>'DOE25'!G23</f>
        <v>0</v>
      </c>
      <c r="E22" s="73">
        <f>'DOE25'!H23</f>
        <v>0</v>
      </c>
      <c r="F22" s="73">
        <f>'DOE25'!I23</f>
        <v>0</v>
      </c>
      <c r="G22" s="73">
        <f>'DOE25'!J23</f>
        <v>0</v>
      </c>
      <c r="H22" s="13">
        <f t="shared" si="1"/>
        <v>100042.03</v>
      </c>
      <c r="I22" s="90"/>
    </row>
    <row r="23" spans="1:9" x14ac:dyDescent="0.2">
      <c r="A23" s="1" t="s">
        <v>152</v>
      </c>
      <c r="B23" s="6">
        <v>420</v>
      </c>
      <c r="C23" s="73">
        <f>'DOE25'!F24</f>
        <v>55398.41</v>
      </c>
      <c r="D23" s="73">
        <f>'DOE25'!G24</f>
        <v>0</v>
      </c>
      <c r="E23" s="73">
        <f>'DOE25'!H24</f>
        <v>0</v>
      </c>
      <c r="F23" s="73">
        <f>'DOE25'!I24</f>
        <v>0</v>
      </c>
      <c r="G23" s="73">
        <f>'DOE25'!J24</f>
        <v>0</v>
      </c>
      <c r="H23" s="13">
        <f t="shared" si="1"/>
        <v>55398.41</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138670.43</v>
      </c>
      <c r="D27" s="73">
        <f>'DOE25'!G28</f>
        <v>0</v>
      </c>
      <c r="E27" s="73">
        <f>'DOE25'!H28</f>
        <v>0</v>
      </c>
      <c r="F27" s="73">
        <f>'DOE25'!I28</f>
        <v>0</v>
      </c>
      <c r="G27" s="23" t="s">
        <v>288</v>
      </c>
      <c r="H27" s="13">
        <f t="shared" si="1"/>
        <v>138670.43</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0</v>
      </c>
      <c r="D29" s="73">
        <f>'DOE25'!G30</f>
        <v>0</v>
      </c>
      <c r="E29" s="73">
        <f>'DOE25'!H30</f>
        <v>0</v>
      </c>
      <c r="F29" s="73">
        <f>'DOE25'!I30</f>
        <v>0</v>
      </c>
      <c r="G29" s="23" t="s">
        <v>288</v>
      </c>
      <c r="H29" s="13">
        <f t="shared" si="1"/>
        <v>0</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330102.73</v>
      </c>
      <c r="D31" s="38">
        <f>SUM(D21:D30)</f>
        <v>-25986.92</v>
      </c>
      <c r="E31" s="38">
        <f>SUM(E21:E30)</f>
        <v>-10004.94</v>
      </c>
      <c r="F31" s="38">
        <f>SUM(F21:F30)</f>
        <v>0</v>
      </c>
      <c r="G31" s="38">
        <f>SUM(G21:G30)</f>
        <v>0</v>
      </c>
      <c r="H31" s="38">
        <f t="shared" si="1"/>
        <v>294110.87</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0</v>
      </c>
      <c r="E39" s="23" t="s">
        <v>288</v>
      </c>
      <c r="F39" s="23" t="s">
        <v>288</v>
      </c>
      <c r="G39" s="23" t="s">
        <v>288</v>
      </c>
      <c r="H39" s="13">
        <f t="shared" si="2"/>
        <v>0</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20000</v>
      </c>
      <c r="D43" s="73">
        <f>'DOE25'!G44</f>
        <v>0</v>
      </c>
      <c r="E43" s="73">
        <f>'DOE25'!H44</f>
        <v>0</v>
      </c>
      <c r="F43" s="73">
        <f>'DOE25'!I44</f>
        <v>0</v>
      </c>
      <c r="G43" s="23" t="s">
        <v>288</v>
      </c>
      <c r="H43" s="13">
        <f t="shared" si="2"/>
        <v>20000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0</v>
      </c>
      <c r="D45" s="23" t="s">
        <v>288</v>
      </c>
      <c r="E45" s="23" t="s">
        <v>288</v>
      </c>
      <c r="F45" s="23" t="s">
        <v>288</v>
      </c>
      <c r="G45" s="23" t="s">
        <v>288</v>
      </c>
      <c r="H45" s="13">
        <f t="shared" si="2"/>
        <v>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0</v>
      </c>
      <c r="E47" s="73">
        <f>'DOE25'!H48</f>
        <v>0</v>
      </c>
      <c r="F47" s="73">
        <f>'DOE25'!I48</f>
        <v>0</v>
      </c>
      <c r="G47" s="73">
        <f>'DOE25'!J48</f>
        <v>123992.36</v>
      </c>
      <c r="H47" s="13">
        <f t="shared" si="2"/>
        <v>123992.36</v>
      </c>
      <c r="I47" s="90"/>
    </row>
    <row r="48" spans="1:9" x14ac:dyDescent="0.2">
      <c r="A48" s="1" t="s">
        <v>881</v>
      </c>
      <c r="B48" s="6">
        <v>753</v>
      </c>
      <c r="C48" s="73">
        <f>'DOE25'!F49</f>
        <v>0</v>
      </c>
      <c r="D48" s="73">
        <f>'DOE25'!G49</f>
        <v>28128.57</v>
      </c>
      <c r="E48" s="73">
        <f>'DOE25'!H49</f>
        <v>10004.94</v>
      </c>
      <c r="F48" s="73">
        <f>'DOE25'!I49</f>
        <v>0</v>
      </c>
      <c r="G48" s="73">
        <f>'DOE25'!J49</f>
        <v>0</v>
      </c>
      <c r="H48" s="13">
        <f t="shared" si="2"/>
        <v>38133.51</v>
      </c>
      <c r="I48" s="90"/>
    </row>
    <row r="49" spans="1:9" ht="12" thickBot="1" x14ac:dyDescent="0.25">
      <c r="A49" s="28" t="s">
        <v>882</v>
      </c>
      <c r="B49" s="56">
        <v>770</v>
      </c>
      <c r="C49" s="73">
        <f>'DOE25'!F50</f>
        <v>21612.31</v>
      </c>
      <c r="D49" s="23" t="s">
        <v>288</v>
      </c>
      <c r="E49" s="23" t="s">
        <v>288</v>
      </c>
      <c r="F49" s="23" t="s">
        <v>288</v>
      </c>
      <c r="G49" s="23" t="s">
        <v>288</v>
      </c>
      <c r="H49" s="13">
        <f t="shared" si="2"/>
        <v>21612.31</v>
      </c>
      <c r="I49" s="90"/>
    </row>
    <row r="50" spans="1:9" ht="12.75" thickTop="1" thickBot="1" x14ac:dyDescent="0.25">
      <c r="A50" s="35" t="s">
        <v>883</v>
      </c>
      <c r="B50" s="44"/>
      <c r="C50" s="38">
        <f>SUM(C34:C49)</f>
        <v>41612.31</v>
      </c>
      <c r="D50" s="38">
        <f>SUM(D34:D49)</f>
        <v>28128.57</v>
      </c>
      <c r="E50" s="38">
        <f>SUM(E34:E49)</f>
        <v>10004.94</v>
      </c>
      <c r="F50" s="38">
        <f>SUM(F34:F49)</f>
        <v>0</v>
      </c>
      <c r="G50" s="38">
        <f>SUM(G34:G49)</f>
        <v>123992.36</v>
      </c>
      <c r="H50" s="38">
        <f t="shared" si="2"/>
        <v>203738.18</v>
      </c>
      <c r="I50" s="90"/>
    </row>
    <row r="51" spans="1:9" ht="12" thickTop="1" x14ac:dyDescent="0.2">
      <c r="A51" s="35" t="s">
        <v>884</v>
      </c>
      <c r="B51" s="2"/>
      <c r="C51" s="38">
        <f>C50+C31</f>
        <v>371715.04</v>
      </c>
      <c r="D51" s="38">
        <f>D50+D31</f>
        <v>2141.6500000000015</v>
      </c>
      <c r="E51" s="38">
        <f>E50+E31</f>
        <v>0</v>
      </c>
      <c r="F51" s="38">
        <f>F50+F31</f>
        <v>0</v>
      </c>
      <c r="G51" s="38">
        <f>G50+G31</f>
        <v>123992.36</v>
      </c>
      <c r="H51" s="38">
        <f t="shared" si="2"/>
        <v>497849.05</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2870828</v>
      </c>
      <c r="D56" s="73">
        <f>'DOE25'!G60</f>
        <v>0</v>
      </c>
      <c r="E56" s="73">
        <f>'DOE25'!H60</f>
        <v>0</v>
      </c>
      <c r="F56" s="73">
        <f>'DOE25'!I60</f>
        <v>0</v>
      </c>
      <c r="G56" s="73">
        <f>'DOE25'!J60</f>
        <v>0</v>
      </c>
      <c r="H56" s="13">
        <f t="shared" ref="H56:H63" si="3">SUM(C56:G56)</f>
        <v>2870828</v>
      </c>
      <c r="I56"/>
    </row>
    <row r="57" spans="1:9" x14ac:dyDescent="0.2">
      <c r="A57" s="1" t="s">
        <v>164</v>
      </c>
      <c r="B57" s="6" t="s">
        <v>165</v>
      </c>
      <c r="C57" s="73">
        <f>'DOE25'!F79</f>
        <v>1600</v>
      </c>
      <c r="D57" s="23" t="s">
        <v>288</v>
      </c>
      <c r="E57" s="73">
        <f>'DOE25'!H79</f>
        <v>0</v>
      </c>
      <c r="F57" s="23" t="s">
        <v>288</v>
      </c>
      <c r="G57" s="23" t="s">
        <v>288</v>
      </c>
      <c r="H57" s="13">
        <f t="shared" si="3"/>
        <v>1600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6605.42</v>
      </c>
      <c r="D59" s="73">
        <f>'DOE25'!G96</f>
        <v>0</v>
      </c>
      <c r="E59" s="73">
        <f>'DOE25'!H96</f>
        <v>0</v>
      </c>
      <c r="F59" s="73">
        <f>'DOE25'!I96</f>
        <v>0</v>
      </c>
      <c r="G59" s="73">
        <f>'DOE25'!J96</f>
        <v>476.76</v>
      </c>
      <c r="H59" s="13">
        <f t="shared" si="3"/>
        <v>7082.18</v>
      </c>
      <c r="I59"/>
    </row>
    <row r="60" spans="1:9" x14ac:dyDescent="0.2">
      <c r="A60" s="1" t="s">
        <v>170</v>
      </c>
      <c r="B60" s="22" t="s">
        <v>171</v>
      </c>
      <c r="C60" s="23" t="s">
        <v>288</v>
      </c>
      <c r="D60" s="73">
        <f>'DOE25'!G97</f>
        <v>83311.13</v>
      </c>
      <c r="E60" s="23" t="s">
        <v>288</v>
      </c>
      <c r="F60" s="23" t="s">
        <v>288</v>
      </c>
      <c r="G60" s="23" t="s">
        <v>288</v>
      </c>
      <c r="H60" s="13">
        <f t="shared" si="3"/>
        <v>83311.13</v>
      </c>
      <c r="I60"/>
    </row>
    <row r="61" spans="1:9" ht="12" thickBot="1" x14ac:dyDescent="0.25">
      <c r="A61" s="1" t="s">
        <v>172</v>
      </c>
      <c r="B61" s="22" t="s">
        <v>173</v>
      </c>
      <c r="C61" s="73">
        <f>SUM('DOE25'!F98:F110)</f>
        <v>14299.560000000001</v>
      </c>
      <c r="D61" s="73">
        <f>SUM('DOE25'!G98:G110)</f>
        <v>6328.25</v>
      </c>
      <c r="E61" s="73">
        <f>SUM('DOE25'!H98:H110)</f>
        <v>3075.55</v>
      </c>
      <c r="F61" s="73">
        <f>SUM('DOE25'!I98:I110)</f>
        <v>0</v>
      </c>
      <c r="G61" s="73">
        <f>SUM('DOE25'!J98:J110)</f>
        <v>0</v>
      </c>
      <c r="H61" s="13">
        <f t="shared" si="3"/>
        <v>23703.360000000001</v>
      </c>
      <c r="I61"/>
    </row>
    <row r="62" spans="1:9" ht="12.75" thickTop="1" thickBot="1" x14ac:dyDescent="0.25">
      <c r="A62" s="28" t="s">
        <v>174</v>
      </c>
      <c r="B62" s="6"/>
      <c r="C62" s="93">
        <f>SUM(C57:C61)</f>
        <v>22504.980000000003</v>
      </c>
      <c r="D62" s="93">
        <f>SUM(D57:D61)</f>
        <v>89639.38</v>
      </c>
      <c r="E62" s="93">
        <f>SUM(E57:E61)</f>
        <v>3075.55</v>
      </c>
      <c r="F62" s="93">
        <f>SUM(F57:F61)</f>
        <v>0</v>
      </c>
      <c r="G62" s="93">
        <f>SUM(G57:G61)</f>
        <v>476.76</v>
      </c>
      <c r="H62" s="13">
        <f t="shared" si="3"/>
        <v>115696.67000000001</v>
      </c>
      <c r="I62"/>
    </row>
    <row r="63" spans="1:9" ht="12" thickTop="1" x14ac:dyDescent="0.2">
      <c r="A63" s="28" t="s">
        <v>175</v>
      </c>
      <c r="B63" s="6"/>
      <c r="C63" s="21">
        <f>C56+C62</f>
        <v>2893332.98</v>
      </c>
      <c r="D63" s="21">
        <f>D56+D62</f>
        <v>89639.38</v>
      </c>
      <c r="E63" s="21">
        <f>E56+E62</f>
        <v>3075.55</v>
      </c>
      <c r="F63" s="21">
        <f>F56+F62</f>
        <v>0</v>
      </c>
      <c r="G63" s="21">
        <f>G56+G62</f>
        <v>476.76</v>
      </c>
      <c r="H63" s="13">
        <f t="shared" si="3"/>
        <v>2986524.6699999995</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288902.2</v>
      </c>
      <c r="D66" s="23" t="s">
        <v>288</v>
      </c>
      <c r="E66" s="23" t="s">
        <v>288</v>
      </c>
      <c r="F66" s="23" t="s">
        <v>288</v>
      </c>
      <c r="G66" s="23" t="s">
        <v>288</v>
      </c>
      <c r="H66" s="13">
        <f t="shared" ref="H66:H81" si="4">SUM(C66:G66)</f>
        <v>288902.2</v>
      </c>
      <c r="I66"/>
    </row>
    <row r="67" spans="1:9" x14ac:dyDescent="0.2">
      <c r="A67" s="1" t="s">
        <v>770</v>
      </c>
      <c r="B67" s="6">
        <v>3112</v>
      </c>
      <c r="C67" s="73">
        <f>'DOE25'!F118</f>
        <v>263670</v>
      </c>
      <c r="D67" s="23"/>
      <c r="E67" s="23"/>
      <c r="F67" s="23"/>
      <c r="G67" s="23"/>
      <c r="H67" s="13">
        <f t="shared" si="4"/>
        <v>263670</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20631.22</v>
      </c>
      <c r="D69" s="73">
        <f>'DOE25'!G120</f>
        <v>0</v>
      </c>
      <c r="E69" s="73">
        <f>'DOE25'!H120</f>
        <v>0</v>
      </c>
      <c r="F69" s="73">
        <f>'DOE25'!I120</f>
        <v>0</v>
      </c>
      <c r="G69" s="73">
        <f>'DOE25'!J120</f>
        <v>0</v>
      </c>
      <c r="H69" s="13">
        <f t="shared" si="4"/>
        <v>20631.22</v>
      </c>
      <c r="I69"/>
    </row>
    <row r="70" spans="1:9" ht="12" thickTop="1" x14ac:dyDescent="0.2">
      <c r="A70" s="28" t="s">
        <v>252</v>
      </c>
      <c r="B70" s="2"/>
      <c r="C70" s="97">
        <f>SUM(C66:C69)</f>
        <v>573203.41999999993</v>
      </c>
      <c r="D70" s="97">
        <f>D69</f>
        <v>0</v>
      </c>
      <c r="E70" s="97">
        <f>E69</f>
        <v>0</v>
      </c>
      <c r="F70" s="97">
        <f>F69</f>
        <v>0</v>
      </c>
      <c r="G70" s="97">
        <f>G69</f>
        <v>0</v>
      </c>
      <c r="H70" s="13">
        <f t="shared" si="4"/>
        <v>573203.41999999993</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55974.6</v>
      </c>
      <c r="D75" s="23" t="s">
        <v>288</v>
      </c>
      <c r="E75" s="23" t="s">
        <v>288</v>
      </c>
      <c r="F75" s="23" t="s">
        <v>288</v>
      </c>
      <c r="G75" s="23" t="s">
        <v>288</v>
      </c>
      <c r="H75" s="13">
        <f t="shared" si="4"/>
        <v>55974.6</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880.29</v>
      </c>
      <c r="E77" s="73">
        <f>SUM('DOE25'!H131:H135)</f>
        <v>0</v>
      </c>
      <c r="F77" s="73">
        <f>SUM('DOE25'!I131:I135)</f>
        <v>0</v>
      </c>
      <c r="G77" s="73">
        <f>SUM('DOE25'!J131:J135)</f>
        <v>0</v>
      </c>
      <c r="H77" s="13">
        <f t="shared" si="4"/>
        <v>880.29</v>
      </c>
      <c r="I77"/>
    </row>
    <row r="78" spans="1:9" ht="12.75" thickTop="1" thickBot="1" x14ac:dyDescent="0.25">
      <c r="A78" s="28" t="s">
        <v>259</v>
      </c>
      <c r="B78" s="6"/>
      <c r="C78" s="93">
        <f>SUM(C72:C77)</f>
        <v>55974.6</v>
      </c>
      <c r="D78" s="93">
        <f>SUM(D72:D77)</f>
        <v>880.29</v>
      </c>
      <c r="E78" s="93">
        <f>SUM(E72:E77)</f>
        <v>0</v>
      </c>
      <c r="F78" s="93">
        <f>SUM(F72:F77)</f>
        <v>0</v>
      </c>
      <c r="G78" s="93">
        <f>SUM(G72:G77)</f>
        <v>0</v>
      </c>
      <c r="H78" s="13">
        <f t="shared" si="4"/>
        <v>56854.89</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629178.0199999999</v>
      </c>
      <c r="D81" s="93">
        <f>SUM(D79:D80)+D78+D70</f>
        <v>880.29</v>
      </c>
      <c r="E81" s="93">
        <f>SUM(E79:E80)+E78+E70</f>
        <v>0</v>
      </c>
      <c r="F81" s="93">
        <f>SUM(F79:F80)+F78+F70</f>
        <v>0</v>
      </c>
      <c r="G81" s="93">
        <f>SUM(G79:G80)+G78+G70</f>
        <v>0</v>
      </c>
      <c r="H81" s="93">
        <f t="shared" si="4"/>
        <v>630058.30999999994</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15837.19</v>
      </c>
      <c r="F87" s="73">
        <f>SUM('DOE25'!I149:I152)</f>
        <v>0</v>
      </c>
      <c r="G87" s="23" t="s">
        <v>288</v>
      </c>
      <c r="H87" s="13">
        <f t="shared" si="5"/>
        <v>15837.19</v>
      </c>
    </row>
    <row r="88" spans="1:9" x14ac:dyDescent="0.2">
      <c r="A88" s="217" t="s">
        <v>747</v>
      </c>
      <c r="B88" s="231" t="s">
        <v>184</v>
      </c>
      <c r="C88" s="253">
        <f>SUM('DOE25'!F153:F162)</f>
        <v>359.46</v>
      </c>
      <c r="D88" s="253">
        <f>SUM('DOE25'!G153:G162)</f>
        <v>19746.97</v>
      </c>
      <c r="E88" s="253">
        <f>SUM('DOE25'!H153:H162)</f>
        <v>207924.8</v>
      </c>
      <c r="F88" s="253">
        <f>SUM('DOE25'!I153:I162)</f>
        <v>0</v>
      </c>
      <c r="G88" s="23" t="s">
        <v>288</v>
      </c>
      <c r="H88" s="13">
        <f t="shared" si="5"/>
        <v>228031.22999999998</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359.46</v>
      </c>
      <c r="D91" s="94">
        <f>SUM(D85:D90)</f>
        <v>19746.97</v>
      </c>
      <c r="E91" s="94">
        <f>SUM(E85:E90)</f>
        <v>223761.99</v>
      </c>
      <c r="F91" s="94">
        <f>SUM(F85:F90)</f>
        <v>0</v>
      </c>
      <c r="G91" s="23" t="s">
        <v>288</v>
      </c>
      <c r="H91" s="13">
        <f t="shared" si="5"/>
        <v>243868.41999999998</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0</v>
      </c>
      <c r="E96" s="73">
        <f>'DOE25'!H180</f>
        <v>0</v>
      </c>
      <c r="F96" s="73">
        <f>'DOE25'!I180</f>
        <v>0</v>
      </c>
      <c r="G96" s="73">
        <f>'DOE25'!J180</f>
        <v>20000</v>
      </c>
      <c r="H96" s="13">
        <f t="shared" si="5"/>
        <v>20000</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0</v>
      </c>
      <c r="D103" s="68">
        <f>SUM(D93:D102)</f>
        <v>0</v>
      </c>
      <c r="E103" s="68">
        <f>SUM(E93:E102)</f>
        <v>0</v>
      </c>
      <c r="F103" s="68">
        <f>SUM(F93:F102)</f>
        <v>0</v>
      </c>
      <c r="G103" s="68">
        <f>SUM(G93:G102)</f>
        <v>20000</v>
      </c>
      <c r="H103" s="68">
        <f t="shared" si="5"/>
        <v>20000</v>
      </c>
    </row>
    <row r="104" spans="1:8" ht="12.75" thickTop="1" thickBot="1" x14ac:dyDescent="0.25">
      <c r="A104" s="32" t="s">
        <v>761</v>
      </c>
      <c r="C104" s="68">
        <f>C63+C81+C91+C103</f>
        <v>3522870.46</v>
      </c>
      <c r="D104" s="68">
        <f>D63+D81+D91+D103</f>
        <v>110266.64</v>
      </c>
      <c r="E104" s="68">
        <f>E63+E81+E91+E103</f>
        <v>226837.53999999998</v>
      </c>
      <c r="F104" s="68">
        <f>F63+F81+F91+F103</f>
        <v>0</v>
      </c>
      <c r="G104" s="68">
        <f>G63+G81+G103</f>
        <v>20476.759999999998</v>
      </c>
      <c r="H104" s="68">
        <f t="shared" si="5"/>
        <v>3880451.4</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1673948.1199999999</v>
      </c>
      <c r="D109" s="23" t="s">
        <v>288</v>
      </c>
      <c r="E109" s="73">
        <f>('DOE25'!L277)+('DOE25'!L296)+('DOE25'!L315)</f>
        <v>0</v>
      </c>
      <c r="F109" s="23" t="s">
        <v>288</v>
      </c>
      <c r="G109" s="23" t="s">
        <v>288</v>
      </c>
      <c r="H109" s="13">
        <f t="shared" ref="H109:H115" si="6">SUM(C109:G109)</f>
        <v>1673948.1199999999</v>
      </c>
    </row>
    <row r="110" spans="1:8" x14ac:dyDescent="0.2">
      <c r="A110" t="s">
        <v>198</v>
      </c>
      <c r="B110" s="31" t="s">
        <v>199</v>
      </c>
      <c r="C110" s="73">
        <f>('DOE25'!L199)+('DOE25'!L217)+('DOE25'!L235)</f>
        <v>430335.80000000005</v>
      </c>
      <c r="D110" s="23" t="s">
        <v>288</v>
      </c>
      <c r="E110" s="73">
        <f>('DOE25'!L278)+('DOE25'!L297)+('DOE25'!L316)</f>
        <v>223761.99</v>
      </c>
      <c r="F110" s="23" t="s">
        <v>288</v>
      </c>
      <c r="G110" s="23" t="s">
        <v>288</v>
      </c>
      <c r="H110" s="13">
        <f t="shared" si="6"/>
        <v>654097.79</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8583.2200000000012</v>
      </c>
      <c r="D112" s="23" t="s">
        <v>288</v>
      </c>
      <c r="E112" s="73">
        <f>+('DOE25'!L280)+('DOE25'!L299)+('DOE25'!L318)</f>
        <v>0</v>
      </c>
      <c r="F112" s="23" t="s">
        <v>288</v>
      </c>
      <c r="G112" s="23" t="s">
        <v>288</v>
      </c>
      <c r="H112" s="13">
        <f t="shared" si="6"/>
        <v>8583.2200000000012</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2112867.14</v>
      </c>
      <c r="D115" s="68">
        <f>SUM(D109:D114)</f>
        <v>0</v>
      </c>
      <c r="E115" s="68">
        <f>SUM(E109:E114)</f>
        <v>223761.99</v>
      </c>
      <c r="F115" s="68">
        <f>SUM(F109:F114)</f>
        <v>0</v>
      </c>
      <c r="G115" s="68">
        <f>SUM(G109:G114)</f>
        <v>0</v>
      </c>
      <c r="H115" s="68">
        <f t="shared" si="6"/>
        <v>2336629.13</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400313.56000000006</v>
      </c>
      <c r="D118" s="23" t="s">
        <v>288</v>
      </c>
      <c r="E118" s="73">
        <f>+('DOE25'!L282)+('DOE25'!L301)+('DOE25'!L320)</f>
        <v>0</v>
      </c>
      <c r="F118" s="23" t="s">
        <v>288</v>
      </c>
      <c r="G118" s="23" t="s">
        <v>288</v>
      </c>
      <c r="H118" s="13">
        <f t="shared" ref="H118:H145" si="7">SUM(C118:G118)</f>
        <v>400313.56000000006</v>
      </c>
    </row>
    <row r="119" spans="1:8" x14ac:dyDescent="0.2">
      <c r="A119" t="s">
        <v>208</v>
      </c>
      <c r="B119" s="31" t="s">
        <v>209</v>
      </c>
      <c r="C119" s="73">
        <f>('DOE25'!L204)+('DOE25'!L222)+('DOE25'!L240)</f>
        <v>192153.95</v>
      </c>
      <c r="D119" s="23" t="s">
        <v>288</v>
      </c>
      <c r="E119" s="73">
        <f>+('DOE25'!L283)+('DOE25'!L302)+('DOE25'!L321)</f>
        <v>0</v>
      </c>
      <c r="F119" s="23" t="s">
        <v>288</v>
      </c>
      <c r="G119" s="23" t="s">
        <v>288</v>
      </c>
      <c r="H119" s="13">
        <f t="shared" si="7"/>
        <v>192153.95</v>
      </c>
    </row>
    <row r="120" spans="1:8" x14ac:dyDescent="0.2">
      <c r="A120" t="s">
        <v>210</v>
      </c>
      <c r="B120" s="31" t="s">
        <v>211</v>
      </c>
      <c r="C120" s="73">
        <f>('DOE25'!L205)+('DOE25'!L223)+('DOE25'!L241)</f>
        <v>92086.37</v>
      </c>
      <c r="D120" s="23" t="s">
        <v>288</v>
      </c>
      <c r="E120" s="73">
        <f>+('DOE25'!L284)+('DOE25'!L303)+('DOE25'!L322)</f>
        <v>0</v>
      </c>
      <c r="F120" s="23" t="s">
        <v>288</v>
      </c>
      <c r="G120" s="23" t="s">
        <v>288</v>
      </c>
      <c r="H120" s="13">
        <f t="shared" si="7"/>
        <v>92086.37</v>
      </c>
    </row>
    <row r="121" spans="1:8" x14ac:dyDescent="0.2">
      <c r="A121" t="s">
        <v>212</v>
      </c>
      <c r="B121" s="31" t="s">
        <v>213</v>
      </c>
      <c r="C121" s="73">
        <f>('DOE25'!L206)+('DOE25'!L224)+('DOE25'!L242)</f>
        <v>292798.45</v>
      </c>
      <c r="D121" s="23" t="s">
        <v>288</v>
      </c>
      <c r="E121" s="73">
        <f>+('DOE25'!L285)+('DOE25'!L304)+('DOE25'!L323)</f>
        <v>0</v>
      </c>
      <c r="F121" s="23" t="s">
        <v>288</v>
      </c>
      <c r="G121" s="23" t="s">
        <v>288</v>
      </c>
      <c r="H121" s="13">
        <f t="shared" si="7"/>
        <v>292798.45</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339916.55</v>
      </c>
      <c r="D123" s="23" t="s">
        <v>288</v>
      </c>
      <c r="E123" s="73">
        <f>+('DOE25'!L287)+('DOE25'!L306)+('DOE25'!L325)</f>
        <v>0</v>
      </c>
      <c r="F123" s="23" t="s">
        <v>288</v>
      </c>
      <c r="G123" s="23" t="s">
        <v>288</v>
      </c>
      <c r="H123" s="13">
        <f t="shared" si="7"/>
        <v>339916.55</v>
      </c>
    </row>
    <row r="124" spans="1:8" x14ac:dyDescent="0.2">
      <c r="A124" t="s">
        <v>218</v>
      </c>
      <c r="B124" s="31" t="s">
        <v>219</v>
      </c>
      <c r="C124" s="73">
        <f>('DOE25'!L209)+('DOE25'!L227)+('DOE25'!L245+'DOE25'!L255)</f>
        <v>141299.56</v>
      </c>
      <c r="D124" s="23" t="s">
        <v>288</v>
      </c>
      <c r="E124" s="73">
        <f>+('DOE25'!L288)+('DOE25'!L307)+('DOE25'!L326)</f>
        <v>0</v>
      </c>
      <c r="F124" s="23" t="s">
        <v>288</v>
      </c>
      <c r="G124" s="23" t="s">
        <v>288</v>
      </c>
      <c r="H124" s="13">
        <f t="shared" si="7"/>
        <v>141299.56</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112116.5</v>
      </c>
      <c r="E127" s="23" t="s">
        <v>288</v>
      </c>
      <c r="F127" s="23" t="s">
        <v>288</v>
      </c>
      <c r="G127" s="23" t="s">
        <v>288</v>
      </c>
      <c r="H127" s="13">
        <f t="shared" si="7"/>
        <v>112116.5</v>
      </c>
    </row>
    <row r="128" spans="1:8" ht="12.75" thickTop="1" thickBot="1" x14ac:dyDescent="0.25">
      <c r="A128" s="32" t="s">
        <v>226</v>
      </c>
      <c r="C128" s="68">
        <f>SUM(C118:C127)</f>
        <v>1458568.4400000002</v>
      </c>
      <c r="D128" s="68">
        <f>SUM(D118:D127)</f>
        <v>112116.5</v>
      </c>
      <c r="E128" s="68">
        <f>SUM(E118:E127)</f>
        <v>0</v>
      </c>
      <c r="F128" s="68">
        <f>SUM(F118:F127)</f>
        <v>0</v>
      </c>
      <c r="G128" s="68">
        <f>SUM(G118:G127)</f>
        <v>0</v>
      </c>
      <c r="H128" s="68">
        <f t="shared" si="7"/>
        <v>1570684.9400000002</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4078.43</v>
      </c>
      <c r="F134" s="73">
        <f>'DOE25'!K382</f>
        <v>0</v>
      </c>
      <c r="G134" s="73">
        <f>'DOE25'!K435</f>
        <v>0</v>
      </c>
      <c r="H134" s="13">
        <f t="shared" si="7"/>
        <v>4078.43</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20476.760000000002</v>
      </c>
      <c r="D139" s="23" t="s">
        <v>288</v>
      </c>
      <c r="E139" s="23" t="s">
        <v>288</v>
      </c>
      <c r="F139" s="23" t="s">
        <v>288</v>
      </c>
      <c r="G139" s="23" t="s">
        <v>288</v>
      </c>
      <c r="H139" s="13">
        <f t="shared" si="7"/>
        <v>20476.760000000002</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-476.76000000000204</v>
      </c>
      <c r="D141" s="23" t="s">
        <v>288</v>
      </c>
      <c r="E141" s="23" t="s">
        <v>288</v>
      </c>
      <c r="F141" s="23" t="s">
        <v>288</v>
      </c>
      <c r="G141" s="23" t="s">
        <v>288</v>
      </c>
      <c r="H141" s="13">
        <f t="shared" si="7"/>
        <v>-476.76000000000204</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20000</v>
      </c>
      <c r="D144" s="98">
        <f>SUM(D130:D143)</f>
        <v>0</v>
      </c>
      <c r="E144" s="98">
        <f>SUM(E130:E143)</f>
        <v>4078.43</v>
      </c>
      <c r="F144" s="98">
        <f>SUM(F130:F143)</f>
        <v>0</v>
      </c>
      <c r="G144" s="98">
        <f>SUM(G130:G143)</f>
        <v>0</v>
      </c>
      <c r="H144" s="98">
        <f t="shared" si="7"/>
        <v>24078.43</v>
      </c>
    </row>
    <row r="145" spans="1:9" ht="12.75" thickTop="1" thickBot="1" x14ac:dyDescent="0.25">
      <c r="A145" s="32" t="s">
        <v>244</v>
      </c>
      <c r="C145" s="68">
        <f>(C115+C128+C144)</f>
        <v>3591435.58</v>
      </c>
      <c r="D145" s="68">
        <f>(D115+D128+D144)</f>
        <v>112116.5</v>
      </c>
      <c r="E145" s="68">
        <f>(E115+E128+E144)</f>
        <v>227840.41999999998</v>
      </c>
      <c r="F145" s="68">
        <f>(F115+F128+F144)</f>
        <v>0</v>
      </c>
      <c r="G145" s="68">
        <f>(G115+G128+G144)</f>
        <v>0</v>
      </c>
      <c r="H145" s="68">
        <f t="shared" si="7"/>
        <v>3931392.5</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VZCKihZM+uWA5AyrutwXhc07XKDc8k06Q1APTNZ/6mpanah96w7eQ1cJCFA0OPIFP/BXBJT7aPclXKJ8Zym+Ig==" saltValue="Cehkxvw3BQdSpH6YhHn4zw==" spinCount="100000" sheet="1" objects="1" scenarios="1"/>
  <phoneticPr fontId="0" type="noConversion"/>
  <printOptions gridLines="1" gridLinesSet="0"/>
  <pageMargins left="0.75" right="0.75" top="1" bottom="1" header="0.5" footer="0.5"/>
  <pageSetup scale="9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Kensington</v>
      </c>
    </row>
    <row r="3" spans="1:4" x14ac:dyDescent="0.2">
      <c r="B3" s="137" t="s">
        <v>1799</v>
      </c>
    </row>
    <row r="4" spans="1:4" x14ac:dyDescent="0.2">
      <c r="B4" t="s">
        <v>61</v>
      </c>
      <c r="C4" s="129">
        <f>IF('DOE25'!F666+'DOE25'!F671=0,0,ROUND('DOE25'!F673,0))</f>
        <v>27196</v>
      </c>
    </row>
    <row r="5" spans="1:4" x14ac:dyDescent="0.2">
      <c r="B5" t="s">
        <v>700</v>
      </c>
      <c r="C5" s="129">
        <f>IF('DOE25'!G666+'DOE25'!G671=0,0,ROUND('DOE25'!G673,0))</f>
        <v>0</v>
      </c>
    </row>
    <row r="6" spans="1:4" x14ac:dyDescent="0.2">
      <c r="B6" t="s">
        <v>62</v>
      </c>
      <c r="C6" s="129">
        <f>IF('DOE25'!H666+'DOE25'!H671=0,0,ROUND('DOE25'!H673,0))</f>
        <v>0</v>
      </c>
    </row>
    <row r="7" spans="1:4" x14ac:dyDescent="0.2">
      <c r="B7" t="s">
        <v>701</v>
      </c>
      <c r="C7" s="129">
        <f>IF('DOE25'!I666+'DOE25'!I671=0,0,ROUND('DOE25'!I673,0))</f>
        <v>27196</v>
      </c>
    </row>
    <row r="9" spans="1:4" x14ac:dyDescent="0.2">
      <c r="A9" s="136" t="s">
        <v>94</v>
      </c>
      <c r="B9" s="137" t="s">
        <v>1800</v>
      </c>
      <c r="C9" s="131" t="s">
        <v>720</v>
      </c>
      <c r="D9" s="131" t="s">
        <v>721</v>
      </c>
    </row>
    <row r="10" spans="1:4" x14ac:dyDescent="0.2">
      <c r="A10">
        <v>1100</v>
      </c>
      <c r="B10" t="s">
        <v>702</v>
      </c>
      <c r="C10" s="129">
        <f>ROUND('DOE25'!L198+'DOE25'!L216+'DOE25'!L234+'DOE25'!L277+'DOE25'!L296+'DOE25'!L315,0)</f>
        <v>1673948</v>
      </c>
      <c r="D10" s="132">
        <f>ROUND((C10/$C$28)*100,1)</f>
        <v>43.8</v>
      </c>
    </row>
    <row r="11" spans="1:4" x14ac:dyDescent="0.2">
      <c r="A11">
        <v>1200</v>
      </c>
      <c r="B11" t="s">
        <v>703</v>
      </c>
      <c r="C11" s="129">
        <f>ROUND('DOE25'!L199+'DOE25'!L217+'DOE25'!L235+'DOE25'!L278+'DOE25'!L297+'DOE25'!L316,0)</f>
        <v>654098</v>
      </c>
      <c r="D11" s="132">
        <f>ROUND((C11/$C$28)*100,1)</f>
        <v>17.100000000000001</v>
      </c>
    </row>
    <row r="12" spans="1:4" x14ac:dyDescent="0.2">
      <c r="A12">
        <v>1300</v>
      </c>
      <c r="B12" t="s">
        <v>704</v>
      </c>
      <c r="C12" s="129">
        <f>ROUND('DOE25'!L200+'DOE25'!L218+'DOE25'!L236+'DOE25'!L279+'DOE25'!L298+'DOE25'!L317,0)</f>
        <v>0</v>
      </c>
      <c r="D12" s="132">
        <f>ROUND((C12/$C$28)*100,1)</f>
        <v>0</v>
      </c>
    </row>
    <row r="13" spans="1:4" x14ac:dyDescent="0.2">
      <c r="A13">
        <v>1400</v>
      </c>
      <c r="B13" t="s">
        <v>705</v>
      </c>
      <c r="C13" s="129">
        <f>ROUND('DOE25'!L201+'DOE25'!L219+'DOE25'!L237+'DOE25'!L280+'DOE25'!L299+'DOE25'!L318,0)</f>
        <v>8583</v>
      </c>
      <c r="D13" s="132">
        <f>ROUND((C13/$C$28)*100,1)</f>
        <v>0.2</v>
      </c>
    </row>
    <row r="14" spans="1:4" x14ac:dyDescent="0.2">
      <c r="D14" s="132"/>
    </row>
    <row r="15" spans="1:4" x14ac:dyDescent="0.2">
      <c r="A15">
        <v>2100</v>
      </c>
      <c r="B15" t="s">
        <v>706</v>
      </c>
      <c r="C15" s="129">
        <f>ROUND('DOE25'!L203+'DOE25'!L221+'DOE25'!L239+'DOE25'!L282+'DOE25'!L301+'DOE25'!L320,0)</f>
        <v>400314</v>
      </c>
      <c r="D15" s="132">
        <f t="shared" ref="D15:D27" si="0">ROUND((C15/$C$28)*100,1)</f>
        <v>10.5</v>
      </c>
    </row>
    <row r="16" spans="1:4" x14ac:dyDescent="0.2">
      <c r="A16">
        <v>2200</v>
      </c>
      <c r="B16" t="s">
        <v>707</v>
      </c>
      <c r="C16" s="129">
        <f>ROUND('DOE25'!L204+'DOE25'!L222+'DOE25'!L240+'DOE25'!L283+'DOE25'!L302+'DOE25'!L321,0)</f>
        <v>192154</v>
      </c>
      <c r="D16" s="132">
        <f t="shared" si="0"/>
        <v>5</v>
      </c>
    </row>
    <row r="17" spans="1:4" x14ac:dyDescent="0.2">
      <c r="A17" s="133" t="s">
        <v>723</v>
      </c>
      <c r="B17" t="s">
        <v>738</v>
      </c>
      <c r="C17" s="129">
        <f>ROUND('DOE25'!L205+'DOE25'!L210+'DOE25'!L223+'DOE25'!L228+'DOE25'!L241+'DOE25'!L246+'DOE25'!L284+'DOE25'!L289+'DOE25'!L303+'DOE25'!L308+'DOE25'!L322+'DOE25'!L327,0)</f>
        <v>92086</v>
      </c>
      <c r="D17" s="132">
        <f t="shared" si="0"/>
        <v>2.4</v>
      </c>
    </row>
    <row r="18" spans="1:4" x14ac:dyDescent="0.2">
      <c r="A18">
        <v>2400</v>
      </c>
      <c r="B18" t="s">
        <v>711</v>
      </c>
      <c r="C18" s="129">
        <f>ROUND('DOE25'!L206+'DOE25'!L224+'DOE25'!L242+'DOE25'!L285+'DOE25'!L304+'DOE25'!L323,0)</f>
        <v>292798</v>
      </c>
      <c r="D18" s="132">
        <f t="shared" si="0"/>
        <v>7.7</v>
      </c>
    </row>
    <row r="19" spans="1:4" x14ac:dyDescent="0.2">
      <c r="A19">
        <v>2500</v>
      </c>
      <c r="B19" t="s">
        <v>708</v>
      </c>
      <c r="C19" s="129">
        <f>ROUND('DOE25'!L207+'DOE25'!L225+'DOE25'!L243+'DOE25'!L286+'DOE25'!L305+'DOE25'!L324,0)</f>
        <v>0</v>
      </c>
      <c r="D19" s="132">
        <f t="shared" si="0"/>
        <v>0</v>
      </c>
    </row>
    <row r="20" spans="1:4" x14ac:dyDescent="0.2">
      <c r="A20">
        <v>2600</v>
      </c>
      <c r="B20" t="s">
        <v>709</v>
      </c>
      <c r="C20" s="129">
        <f>ROUND('DOE25'!L208+'DOE25'!L226+'DOE25'!L244+'DOE25'!L287+'DOE25'!L306+'DOE25'!L325,0)</f>
        <v>339917</v>
      </c>
      <c r="D20" s="132">
        <f t="shared" si="0"/>
        <v>8.9</v>
      </c>
    </row>
    <row r="21" spans="1:4" x14ac:dyDescent="0.2">
      <c r="A21">
        <v>2700</v>
      </c>
      <c r="B21" t="s">
        <v>710</v>
      </c>
      <c r="C21" s="129">
        <f>ROUND('DOE25'!L209+'DOE25'!L227+'DOE25'!L245+'DOE25'!L288+'DOE25'!L307+'DOE25'!L326,0)</f>
        <v>141300</v>
      </c>
      <c r="D21" s="132">
        <f t="shared" si="0"/>
        <v>3.7</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0</v>
      </c>
      <c r="D25" s="132">
        <f t="shared" si="0"/>
        <v>0</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22477.619999999995</v>
      </c>
      <c r="D27" s="132">
        <f t="shared" si="0"/>
        <v>0.6</v>
      </c>
    </row>
    <row r="28" spans="1:4" x14ac:dyDescent="0.2">
      <c r="B28" s="136" t="s">
        <v>719</v>
      </c>
      <c r="C28" s="130">
        <f>SUM(C10:C27)</f>
        <v>3817675.62</v>
      </c>
      <c r="D28" s="134">
        <f>ROUND(SUM(D10:D27),0)</f>
        <v>100</v>
      </c>
    </row>
    <row r="29" spans="1:4" x14ac:dyDescent="0.2">
      <c r="A29">
        <v>4000</v>
      </c>
      <c r="B29" t="s">
        <v>724</v>
      </c>
      <c r="C29" s="129">
        <f>ROUND('DOE25'!L256+'DOE25'!L337+'DOE25'!L375+'DOE25'!L376+'DOE25'!L377+'DOE25'!L378+'DOE25'!L379+'DOE25'!L380+'DOE25'!L381,0)</f>
        <v>0</v>
      </c>
    </row>
    <row r="30" spans="1:4" x14ac:dyDescent="0.2">
      <c r="B30" s="136" t="s">
        <v>725</v>
      </c>
      <c r="C30" s="130">
        <f>SUM(C28:C29)</f>
        <v>3817675.62</v>
      </c>
    </row>
    <row r="31" spans="1:4" x14ac:dyDescent="0.2">
      <c r="B31" s="32"/>
      <c r="C31" s="130"/>
    </row>
    <row r="32" spans="1:4" x14ac:dyDescent="0.2">
      <c r="A32">
        <v>5100</v>
      </c>
      <c r="B32" s="32" t="s">
        <v>726</v>
      </c>
      <c r="C32" s="130">
        <f>ROUND('DOE25'!L261+'DOE25'!L342,0)</f>
        <v>0</v>
      </c>
    </row>
    <row r="34" spans="1:4" x14ac:dyDescent="0.2">
      <c r="A34" s="136" t="s">
        <v>94</v>
      </c>
      <c r="B34" s="137" t="s">
        <v>1801</v>
      </c>
      <c r="C34" s="131" t="s">
        <v>720</v>
      </c>
      <c r="D34" s="131" t="s">
        <v>721</v>
      </c>
    </row>
    <row r="35" spans="1:4" x14ac:dyDescent="0.2">
      <c r="A35">
        <v>1100</v>
      </c>
      <c r="B35" s="71" t="s">
        <v>727</v>
      </c>
      <c r="C35" s="129">
        <f>ROUND('DOE25'!F60+'DOE25'!G60+'DOE25'!H60+'DOE25'!I60+'DOE25'!J60,0)</f>
        <v>2870828</v>
      </c>
      <c r="D35" s="132">
        <f t="shared" ref="D35:D40" si="1">ROUND((C35/$C$41)*100,1)</f>
        <v>76.099999999999994</v>
      </c>
    </row>
    <row r="36" spans="1:4" x14ac:dyDescent="0.2">
      <c r="B36" s="71" t="s">
        <v>739</v>
      </c>
      <c r="C36" s="129">
        <f>SUM('DOE25'!F112:J112)-SUM('DOE25'!G97:G110)+('DOE25'!F175+'DOE25'!F176+'DOE25'!I175+'DOE25'!I176)-C35</f>
        <v>26057.289999999572</v>
      </c>
      <c r="D36" s="132">
        <f t="shared" si="1"/>
        <v>0.7</v>
      </c>
    </row>
    <row r="37" spans="1:4" x14ac:dyDescent="0.2">
      <c r="A37" s="133" t="s">
        <v>834</v>
      </c>
      <c r="B37" s="71" t="s">
        <v>728</v>
      </c>
      <c r="C37" s="129">
        <f>ROUND('DOE25'!F117+'DOE25'!F118,0)</f>
        <v>552572</v>
      </c>
      <c r="D37" s="132">
        <f t="shared" si="1"/>
        <v>14.7</v>
      </c>
    </row>
    <row r="38" spans="1:4" x14ac:dyDescent="0.2">
      <c r="A38" s="133" t="s">
        <v>734</v>
      </c>
      <c r="B38" s="71" t="s">
        <v>729</v>
      </c>
      <c r="C38" s="129">
        <f>ROUND(SUM('DOE25'!F140:J140)-SUM('DOE25'!F117:F119),0)</f>
        <v>77486</v>
      </c>
      <c r="D38" s="132">
        <f t="shared" si="1"/>
        <v>2.1</v>
      </c>
    </row>
    <row r="39" spans="1:4" x14ac:dyDescent="0.2">
      <c r="A39">
        <v>4000</v>
      </c>
      <c r="B39" s="71" t="s">
        <v>730</v>
      </c>
      <c r="C39" s="129">
        <f>ROUND('DOE25'!F170+'DOE25'!G170+'DOE25'!H170+'DOE25'!I170,0)</f>
        <v>243868</v>
      </c>
      <c r="D39" s="132">
        <f t="shared" si="1"/>
        <v>6.5</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3770811.2899999996</v>
      </c>
      <c r="D41" s="134">
        <f>SUM(D35:D40)</f>
        <v>100.1</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8" sqref="C8:M8"/>
    </sheetView>
  </sheetViews>
  <sheetFormatPr defaultRowHeight="11.25" x14ac:dyDescent="0.2"/>
  <cols>
    <col min="1" max="1" width="10.33203125" customWidth="1"/>
    <col min="14" max="14" width="6.1640625" customWidth="1"/>
  </cols>
  <sheetData>
    <row r="1" spans="1:13" ht="16.5" thickTop="1" x14ac:dyDescent="0.25">
      <c r="A1" s="330" t="s">
        <v>766</v>
      </c>
      <c r="B1" s="331"/>
      <c r="C1" s="331"/>
      <c r="D1" s="331"/>
      <c r="E1" s="331"/>
      <c r="F1" s="331"/>
      <c r="G1" s="331"/>
      <c r="H1" s="331"/>
      <c r="I1" s="331"/>
      <c r="J1" s="155"/>
      <c r="K1" s="155"/>
      <c r="L1" s="155"/>
      <c r="M1" s="156"/>
    </row>
    <row r="2" spans="1:13" ht="12.75" x14ac:dyDescent="0.2">
      <c r="A2" s="335" t="s">
        <v>763</v>
      </c>
      <c r="B2" s="336"/>
      <c r="C2" s="336"/>
      <c r="D2" s="336"/>
      <c r="E2" s="336"/>
      <c r="F2" s="333" t="str">
        <f>'DOE25'!A2</f>
        <v>Kensington</v>
      </c>
      <c r="G2" s="334"/>
      <c r="H2" s="334"/>
      <c r="I2" s="334"/>
      <c r="M2" s="157"/>
    </row>
    <row r="3" spans="1:13" x14ac:dyDescent="0.2">
      <c r="A3" s="158" t="s">
        <v>764</v>
      </c>
      <c r="B3" s="131" t="s">
        <v>765</v>
      </c>
      <c r="C3" s="320" t="s">
        <v>767</v>
      </c>
      <c r="D3" s="320"/>
      <c r="E3" s="320"/>
      <c r="F3" s="320"/>
      <c r="G3" s="320"/>
      <c r="H3" s="320"/>
      <c r="I3" s="320"/>
      <c r="J3" s="320"/>
      <c r="K3" s="320"/>
      <c r="L3" s="320"/>
      <c r="M3" s="332"/>
    </row>
    <row r="4" spans="1:13" x14ac:dyDescent="0.2">
      <c r="A4" s="159"/>
      <c r="B4" s="150"/>
      <c r="C4" s="327"/>
      <c r="D4" s="327"/>
      <c r="E4" s="327"/>
      <c r="F4" s="327"/>
      <c r="G4" s="327"/>
      <c r="H4" s="327"/>
      <c r="I4" s="327"/>
      <c r="J4" s="327"/>
      <c r="K4" s="327"/>
      <c r="L4" s="327"/>
      <c r="M4" s="329"/>
    </row>
    <row r="5" spans="1:13" x14ac:dyDescent="0.2">
      <c r="A5" s="159"/>
      <c r="B5" s="150"/>
      <c r="C5" s="327"/>
      <c r="D5" s="327"/>
      <c r="E5" s="327"/>
      <c r="F5" s="327"/>
      <c r="G5" s="327"/>
      <c r="H5" s="327"/>
      <c r="I5" s="327"/>
      <c r="J5" s="327"/>
      <c r="K5" s="327"/>
      <c r="L5" s="327"/>
      <c r="M5" s="329"/>
    </row>
    <row r="6" spans="1:13" x14ac:dyDescent="0.2">
      <c r="A6" s="159"/>
      <c r="B6" s="150"/>
      <c r="C6" s="327"/>
      <c r="D6" s="327"/>
      <c r="E6" s="327"/>
      <c r="F6" s="327"/>
      <c r="G6" s="327"/>
      <c r="H6" s="327"/>
      <c r="I6" s="327"/>
      <c r="J6" s="327"/>
      <c r="K6" s="327"/>
      <c r="L6" s="327"/>
      <c r="M6" s="329"/>
    </row>
    <row r="7" spans="1:13" x14ac:dyDescent="0.2">
      <c r="A7" s="159"/>
      <c r="B7" s="150"/>
      <c r="C7" s="327"/>
      <c r="D7" s="327"/>
      <c r="E7" s="327"/>
      <c r="F7" s="327"/>
      <c r="G7" s="327"/>
      <c r="H7" s="327"/>
      <c r="I7" s="327"/>
      <c r="J7" s="327"/>
      <c r="K7" s="327"/>
      <c r="L7" s="327"/>
      <c r="M7" s="329"/>
    </row>
    <row r="8" spans="1:13" x14ac:dyDescent="0.2">
      <c r="A8" s="159"/>
      <c r="B8" s="150"/>
      <c r="C8" s="327"/>
      <c r="D8" s="327"/>
      <c r="E8" s="327"/>
      <c r="F8" s="327"/>
      <c r="G8" s="327"/>
      <c r="H8" s="327"/>
      <c r="I8" s="327"/>
      <c r="J8" s="327"/>
      <c r="K8" s="327"/>
      <c r="L8" s="327"/>
      <c r="M8" s="329"/>
    </row>
    <row r="9" spans="1:13" x14ac:dyDescent="0.2">
      <c r="A9" s="159"/>
      <c r="B9" s="150"/>
      <c r="C9" s="327"/>
      <c r="D9" s="327"/>
      <c r="E9" s="327"/>
      <c r="F9" s="327"/>
      <c r="G9" s="327"/>
      <c r="H9" s="327"/>
      <c r="I9" s="327"/>
      <c r="J9" s="327"/>
      <c r="K9" s="327"/>
      <c r="L9" s="327"/>
      <c r="M9" s="329"/>
    </row>
    <row r="10" spans="1:13" x14ac:dyDescent="0.2">
      <c r="A10" s="159"/>
      <c r="B10" s="150"/>
      <c r="C10" s="327"/>
      <c r="D10" s="327"/>
      <c r="E10" s="327"/>
      <c r="F10" s="327"/>
      <c r="G10" s="327"/>
      <c r="H10" s="327"/>
      <c r="I10" s="327"/>
      <c r="J10" s="327"/>
      <c r="K10" s="327"/>
      <c r="L10" s="327"/>
      <c r="M10" s="329"/>
    </row>
    <row r="11" spans="1:13" x14ac:dyDescent="0.2">
      <c r="A11" s="159"/>
      <c r="B11" s="150"/>
      <c r="C11" s="327"/>
      <c r="D11" s="327"/>
      <c r="E11" s="327"/>
      <c r="F11" s="327"/>
      <c r="G11" s="327"/>
      <c r="H11" s="327"/>
      <c r="I11" s="327"/>
      <c r="J11" s="327"/>
      <c r="K11" s="327"/>
      <c r="L11" s="327"/>
      <c r="M11" s="329"/>
    </row>
    <row r="12" spans="1:13" x14ac:dyDescent="0.2">
      <c r="A12" s="159"/>
      <c r="B12" s="150"/>
      <c r="C12" s="327"/>
      <c r="D12" s="327"/>
      <c r="E12" s="327"/>
      <c r="F12" s="327"/>
      <c r="G12" s="327"/>
      <c r="H12" s="327"/>
      <c r="I12" s="327"/>
      <c r="J12" s="327"/>
      <c r="K12" s="327"/>
      <c r="L12" s="327"/>
      <c r="M12" s="329"/>
    </row>
    <row r="13" spans="1:13" x14ac:dyDescent="0.2">
      <c r="A13" s="159"/>
      <c r="B13" s="150"/>
      <c r="C13" s="327"/>
      <c r="D13" s="327"/>
      <c r="E13" s="327"/>
      <c r="F13" s="327"/>
      <c r="G13" s="327"/>
      <c r="H13" s="327"/>
      <c r="I13" s="327"/>
      <c r="J13" s="327"/>
      <c r="K13" s="327"/>
      <c r="L13" s="327"/>
      <c r="M13" s="329"/>
    </row>
    <row r="14" spans="1:13" x14ac:dyDescent="0.2">
      <c r="A14" s="159"/>
      <c r="B14" s="150"/>
      <c r="C14" s="327"/>
      <c r="D14" s="327"/>
      <c r="E14" s="327"/>
      <c r="F14" s="327"/>
      <c r="G14" s="327"/>
      <c r="H14" s="327"/>
      <c r="I14" s="327"/>
      <c r="J14" s="327"/>
      <c r="K14" s="327"/>
      <c r="L14" s="327"/>
      <c r="M14" s="329"/>
    </row>
    <row r="15" spans="1:13" x14ac:dyDescent="0.2">
      <c r="A15" s="159"/>
      <c r="B15" s="150"/>
      <c r="C15" s="327"/>
      <c r="D15" s="327"/>
      <c r="E15" s="327"/>
      <c r="F15" s="327"/>
      <c r="G15" s="327"/>
      <c r="H15" s="327"/>
      <c r="I15" s="327"/>
      <c r="J15" s="327"/>
      <c r="K15" s="327"/>
      <c r="L15" s="327"/>
      <c r="M15" s="329"/>
    </row>
    <row r="16" spans="1:13" x14ac:dyDescent="0.2">
      <c r="A16" s="159"/>
      <c r="B16" s="150"/>
      <c r="C16" s="327"/>
      <c r="D16" s="327"/>
      <c r="E16" s="327"/>
      <c r="F16" s="327"/>
      <c r="G16" s="327"/>
      <c r="H16" s="327"/>
      <c r="I16" s="327"/>
      <c r="J16" s="327"/>
      <c r="K16" s="327"/>
      <c r="L16" s="327"/>
      <c r="M16" s="329"/>
    </row>
    <row r="17" spans="1:256" x14ac:dyDescent="0.2">
      <c r="A17" s="159"/>
      <c r="B17" s="150"/>
      <c r="C17" s="327"/>
      <c r="D17" s="327"/>
      <c r="E17" s="327"/>
      <c r="F17" s="327"/>
      <c r="G17" s="327"/>
      <c r="H17" s="327"/>
      <c r="I17" s="327"/>
      <c r="J17" s="327"/>
      <c r="K17" s="327"/>
      <c r="L17" s="327"/>
      <c r="M17" s="329"/>
    </row>
    <row r="18" spans="1:256" x14ac:dyDescent="0.2">
      <c r="A18" s="159"/>
      <c r="B18" s="150"/>
      <c r="C18" s="327"/>
      <c r="D18" s="327"/>
      <c r="E18" s="327"/>
      <c r="F18" s="327"/>
      <c r="G18" s="327"/>
      <c r="H18" s="327"/>
      <c r="I18" s="327"/>
      <c r="J18" s="327"/>
      <c r="K18" s="327"/>
      <c r="L18" s="327"/>
      <c r="M18" s="329"/>
    </row>
    <row r="19" spans="1:256" x14ac:dyDescent="0.2">
      <c r="A19" s="159"/>
      <c r="B19" s="150"/>
      <c r="C19" s="327"/>
      <c r="D19" s="327"/>
      <c r="E19" s="327"/>
      <c r="F19" s="327"/>
      <c r="G19" s="327"/>
      <c r="H19" s="327"/>
      <c r="I19" s="327"/>
      <c r="J19" s="327"/>
      <c r="K19" s="327"/>
      <c r="L19" s="327"/>
      <c r="M19" s="329"/>
    </row>
    <row r="20" spans="1:256" x14ac:dyDescent="0.2">
      <c r="A20" s="159"/>
      <c r="B20" s="150"/>
      <c r="C20" s="327"/>
      <c r="D20" s="327"/>
      <c r="E20" s="327"/>
      <c r="F20" s="327"/>
      <c r="G20" s="327"/>
      <c r="H20" s="327"/>
      <c r="I20" s="327"/>
      <c r="J20" s="327"/>
      <c r="K20" s="327"/>
      <c r="L20" s="327"/>
      <c r="M20" s="329"/>
    </row>
    <row r="21" spans="1:256" x14ac:dyDescent="0.2">
      <c r="A21" s="159"/>
      <c r="B21" s="150"/>
      <c r="C21" s="327"/>
      <c r="D21" s="327"/>
      <c r="E21" s="327"/>
      <c r="F21" s="327"/>
      <c r="G21" s="327"/>
      <c r="H21" s="327"/>
      <c r="I21" s="327"/>
      <c r="J21" s="327"/>
      <c r="K21" s="327"/>
      <c r="L21" s="327"/>
      <c r="M21" s="329"/>
    </row>
    <row r="22" spans="1:256" x14ac:dyDescent="0.2">
      <c r="A22" s="159"/>
      <c r="B22" s="150"/>
      <c r="C22" s="327"/>
      <c r="D22" s="327"/>
      <c r="E22" s="327"/>
      <c r="F22" s="327"/>
      <c r="G22" s="327"/>
      <c r="H22" s="327"/>
      <c r="I22" s="327"/>
      <c r="J22" s="327"/>
      <c r="K22" s="327"/>
      <c r="L22" s="327"/>
      <c r="M22" s="329"/>
    </row>
    <row r="23" spans="1:256" x14ac:dyDescent="0.2">
      <c r="A23" s="159"/>
      <c r="B23" s="150"/>
      <c r="C23" s="327"/>
      <c r="D23" s="327"/>
      <c r="E23" s="327"/>
      <c r="F23" s="327"/>
      <c r="G23" s="327"/>
      <c r="H23" s="327"/>
      <c r="I23" s="327"/>
      <c r="J23" s="327"/>
      <c r="K23" s="327"/>
      <c r="L23" s="327"/>
      <c r="M23" s="329"/>
    </row>
    <row r="24" spans="1:256" x14ac:dyDescent="0.2">
      <c r="A24" s="159"/>
      <c r="B24" s="150"/>
      <c r="C24" s="327"/>
      <c r="D24" s="327"/>
      <c r="E24" s="327"/>
      <c r="F24" s="327"/>
      <c r="G24" s="327"/>
      <c r="H24" s="327"/>
      <c r="I24" s="327"/>
      <c r="J24" s="327"/>
      <c r="K24" s="327"/>
      <c r="L24" s="327"/>
      <c r="M24" s="329"/>
    </row>
    <row r="25" spans="1:256" x14ac:dyDescent="0.2">
      <c r="A25" s="159"/>
      <c r="B25" s="150"/>
      <c r="C25" s="327"/>
      <c r="D25" s="327"/>
      <c r="E25" s="327"/>
      <c r="F25" s="327"/>
      <c r="G25" s="327"/>
      <c r="H25" s="327"/>
      <c r="I25" s="327"/>
      <c r="J25" s="327"/>
      <c r="K25" s="327"/>
      <c r="L25" s="327"/>
      <c r="M25" s="329"/>
    </row>
    <row r="26" spans="1:256" x14ac:dyDescent="0.2">
      <c r="A26" s="159"/>
      <c r="B26" s="150"/>
      <c r="C26" s="327"/>
      <c r="D26" s="327"/>
      <c r="E26" s="327"/>
      <c r="F26" s="327"/>
      <c r="G26" s="327"/>
      <c r="H26" s="327"/>
      <c r="I26" s="327"/>
      <c r="J26" s="327"/>
      <c r="K26" s="327"/>
      <c r="L26" s="327"/>
      <c r="M26" s="329"/>
    </row>
    <row r="27" spans="1:256" x14ac:dyDescent="0.2">
      <c r="A27" s="159"/>
      <c r="B27" s="150"/>
      <c r="C27" s="327"/>
      <c r="D27" s="327"/>
      <c r="E27" s="327"/>
      <c r="F27" s="327"/>
      <c r="G27" s="327"/>
      <c r="H27" s="327"/>
      <c r="I27" s="327"/>
      <c r="J27" s="327"/>
      <c r="K27" s="327"/>
      <c r="L27" s="327"/>
      <c r="M27" s="329"/>
    </row>
    <row r="28" spans="1:256" x14ac:dyDescent="0.2">
      <c r="A28" s="159"/>
      <c r="B28" s="150"/>
      <c r="C28" s="327"/>
      <c r="D28" s="327"/>
      <c r="E28" s="327"/>
      <c r="F28" s="327"/>
      <c r="G28" s="327"/>
      <c r="H28" s="327"/>
      <c r="I28" s="327"/>
      <c r="J28" s="327"/>
      <c r="K28" s="327"/>
      <c r="L28" s="327"/>
      <c r="M28" s="329"/>
    </row>
    <row r="29" spans="1:256" x14ac:dyDescent="0.2">
      <c r="A29" s="159"/>
      <c r="B29" s="150"/>
      <c r="C29" s="327"/>
      <c r="D29" s="327"/>
      <c r="E29" s="327"/>
      <c r="F29" s="327"/>
      <c r="G29" s="327"/>
      <c r="H29" s="327"/>
      <c r="I29" s="327"/>
      <c r="J29" s="327"/>
      <c r="K29" s="327"/>
      <c r="L29" s="327"/>
      <c r="M29" s="329"/>
      <c r="N29" s="153"/>
      <c r="O29" s="153"/>
      <c r="P29" s="328"/>
      <c r="Q29" s="328"/>
      <c r="R29" s="328"/>
      <c r="S29" s="328"/>
      <c r="T29" s="328"/>
      <c r="U29" s="328"/>
      <c r="V29" s="328"/>
      <c r="W29" s="328"/>
      <c r="X29" s="328"/>
      <c r="Y29" s="328"/>
      <c r="Z29" s="328"/>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9"/>
      <c r="N30" s="153"/>
      <c r="O30" s="153"/>
      <c r="P30" s="328"/>
      <c r="Q30" s="328"/>
      <c r="R30" s="328"/>
      <c r="S30" s="328"/>
      <c r="T30" s="328"/>
      <c r="U30" s="328"/>
      <c r="V30" s="328"/>
      <c r="W30" s="328"/>
      <c r="X30" s="328"/>
      <c r="Y30" s="328"/>
      <c r="Z30" s="328"/>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9"/>
      <c r="N31" s="153"/>
      <c r="O31" s="153"/>
      <c r="P31" s="328"/>
      <c r="Q31" s="328"/>
      <c r="R31" s="328"/>
      <c r="S31" s="328"/>
      <c r="T31" s="328"/>
      <c r="U31" s="328"/>
      <c r="V31" s="328"/>
      <c r="W31" s="328"/>
      <c r="X31" s="328"/>
      <c r="Y31" s="328"/>
      <c r="Z31" s="328"/>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9"/>
      <c r="N32" s="153"/>
      <c r="O32" s="153"/>
      <c r="P32" s="328"/>
      <c r="Q32" s="328"/>
      <c r="R32" s="328"/>
      <c r="S32" s="328"/>
      <c r="T32" s="328"/>
      <c r="U32" s="328"/>
      <c r="V32" s="328"/>
      <c r="W32" s="328"/>
      <c r="X32" s="328"/>
      <c r="Y32" s="328"/>
      <c r="Z32" s="337"/>
      <c r="AA32" s="159"/>
      <c r="AB32" s="150"/>
      <c r="AC32" s="327"/>
      <c r="AD32" s="327"/>
      <c r="AE32" s="327"/>
      <c r="AF32" s="327"/>
      <c r="AG32" s="327"/>
      <c r="AH32" s="327"/>
      <c r="AI32" s="327"/>
      <c r="AJ32" s="327"/>
      <c r="AK32" s="327"/>
      <c r="AL32" s="327"/>
      <c r="AM32" s="329"/>
      <c r="AN32" s="159"/>
      <c r="AO32" s="150"/>
      <c r="AP32" s="327"/>
      <c r="AQ32" s="327"/>
      <c r="AR32" s="327"/>
      <c r="AS32" s="327"/>
      <c r="AT32" s="327"/>
      <c r="AU32" s="327"/>
      <c r="AV32" s="327"/>
      <c r="AW32" s="327"/>
      <c r="AX32" s="327"/>
      <c r="AY32" s="327"/>
      <c r="AZ32" s="329"/>
      <c r="BA32" s="159"/>
      <c r="BB32" s="150"/>
      <c r="BC32" s="327"/>
      <c r="BD32" s="327"/>
      <c r="BE32" s="327"/>
      <c r="BF32" s="327"/>
      <c r="BG32" s="327"/>
      <c r="BH32" s="327"/>
      <c r="BI32" s="327"/>
      <c r="BJ32" s="327"/>
      <c r="BK32" s="327"/>
      <c r="BL32" s="327"/>
      <c r="BM32" s="329"/>
      <c r="BN32" s="159"/>
      <c r="BO32" s="150"/>
      <c r="BP32" s="327"/>
      <c r="BQ32" s="327"/>
      <c r="BR32" s="327"/>
      <c r="BS32" s="327"/>
      <c r="BT32" s="327"/>
      <c r="BU32" s="327"/>
      <c r="BV32" s="327"/>
      <c r="BW32" s="327"/>
      <c r="BX32" s="327"/>
      <c r="BY32" s="327"/>
      <c r="BZ32" s="329"/>
      <c r="CA32" s="159"/>
      <c r="CB32" s="150"/>
      <c r="CC32" s="327"/>
      <c r="CD32" s="327"/>
      <c r="CE32" s="327"/>
      <c r="CF32" s="327"/>
      <c r="CG32" s="327"/>
      <c r="CH32" s="327"/>
      <c r="CI32" s="327"/>
      <c r="CJ32" s="327"/>
      <c r="CK32" s="327"/>
      <c r="CL32" s="327"/>
      <c r="CM32" s="329"/>
      <c r="CN32" s="159"/>
      <c r="CO32" s="150"/>
      <c r="CP32" s="327"/>
      <c r="CQ32" s="327"/>
      <c r="CR32" s="327"/>
      <c r="CS32" s="327"/>
      <c r="CT32" s="327"/>
      <c r="CU32" s="327"/>
      <c r="CV32" s="327"/>
      <c r="CW32" s="327"/>
      <c r="CX32" s="327"/>
      <c r="CY32" s="327"/>
      <c r="CZ32" s="329"/>
      <c r="DA32" s="159"/>
      <c r="DB32" s="150"/>
      <c r="DC32" s="327"/>
      <c r="DD32" s="327"/>
      <c r="DE32" s="327"/>
      <c r="DF32" s="327"/>
      <c r="DG32" s="327"/>
      <c r="DH32" s="327"/>
      <c r="DI32" s="327"/>
      <c r="DJ32" s="327"/>
      <c r="DK32" s="327"/>
      <c r="DL32" s="327"/>
      <c r="DM32" s="329"/>
      <c r="DN32" s="159"/>
      <c r="DO32" s="150"/>
      <c r="DP32" s="327"/>
      <c r="DQ32" s="327"/>
      <c r="DR32" s="327"/>
      <c r="DS32" s="327"/>
      <c r="DT32" s="327"/>
      <c r="DU32" s="327"/>
      <c r="DV32" s="327"/>
      <c r="DW32" s="327"/>
      <c r="DX32" s="327"/>
      <c r="DY32" s="327"/>
      <c r="DZ32" s="329"/>
      <c r="EA32" s="159"/>
      <c r="EB32" s="150"/>
      <c r="EC32" s="327"/>
      <c r="ED32" s="327"/>
      <c r="EE32" s="327"/>
      <c r="EF32" s="327"/>
      <c r="EG32" s="327"/>
      <c r="EH32" s="327"/>
      <c r="EI32" s="327"/>
      <c r="EJ32" s="327"/>
      <c r="EK32" s="327"/>
      <c r="EL32" s="327"/>
      <c r="EM32" s="329"/>
      <c r="EN32" s="159"/>
      <c r="EO32" s="150"/>
      <c r="EP32" s="327"/>
      <c r="EQ32" s="327"/>
      <c r="ER32" s="327"/>
      <c r="ES32" s="327"/>
      <c r="ET32" s="327"/>
      <c r="EU32" s="327"/>
      <c r="EV32" s="327"/>
      <c r="EW32" s="327"/>
      <c r="EX32" s="327"/>
      <c r="EY32" s="327"/>
      <c r="EZ32" s="329"/>
      <c r="FA32" s="159"/>
      <c r="FB32" s="150"/>
      <c r="FC32" s="327"/>
      <c r="FD32" s="327"/>
      <c r="FE32" s="327"/>
      <c r="FF32" s="327"/>
      <c r="FG32" s="327"/>
      <c r="FH32" s="327"/>
      <c r="FI32" s="327"/>
      <c r="FJ32" s="327"/>
      <c r="FK32" s="327"/>
      <c r="FL32" s="327"/>
      <c r="FM32" s="329"/>
      <c r="FN32" s="159"/>
      <c r="FO32" s="150"/>
      <c r="FP32" s="327"/>
      <c r="FQ32" s="327"/>
      <c r="FR32" s="327"/>
      <c r="FS32" s="327"/>
      <c r="FT32" s="327"/>
      <c r="FU32" s="327"/>
      <c r="FV32" s="327"/>
      <c r="FW32" s="327"/>
      <c r="FX32" s="327"/>
      <c r="FY32" s="327"/>
      <c r="FZ32" s="329"/>
      <c r="GA32" s="159"/>
      <c r="GB32" s="150"/>
      <c r="GC32" s="327"/>
      <c r="GD32" s="327"/>
      <c r="GE32" s="327"/>
      <c r="GF32" s="327"/>
      <c r="GG32" s="327"/>
      <c r="GH32" s="327"/>
      <c r="GI32" s="327"/>
      <c r="GJ32" s="327"/>
      <c r="GK32" s="327"/>
      <c r="GL32" s="327"/>
      <c r="GM32" s="329"/>
      <c r="GN32" s="159"/>
      <c r="GO32" s="150"/>
      <c r="GP32" s="327"/>
      <c r="GQ32" s="327"/>
      <c r="GR32" s="327"/>
      <c r="GS32" s="327"/>
      <c r="GT32" s="327"/>
      <c r="GU32" s="327"/>
      <c r="GV32" s="327"/>
      <c r="GW32" s="327"/>
      <c r="GX32" s="327"/>
      <c r="GY32" s="327"/>
      <c r="GZ32" s="329"/>
      <c r="HA32" s="159"/>
      <c r="HB32" s="150"/>
      <c r="HC32" s="327"/>
      <c r="HD32" s="327"/>
      <c r="HE32" s="327"/>
      <c r="HF32" s="327"/>
      <c r="HG32" s="327"/>
      <c r="HH32" s="327"/>
      <c r="HI32" s="327"/>
      <c r="HJ32" s="327"/>
      <c r="HK32" s="327"/>
      <c r="HL32" s="327"/>
      <c r="HM32" s="329"/>
      <c r="HN32" s="159"/>
      <c r="HO32" s="150"/>
      <c r="HP32" s="327"/>
      <c r="HQ32" s="327"/>
      <c r="HR32" s="327"/>
      <c r="HS32" s="327"/>
      <c r="HT32" s="327"/>
      <c r="HU32" s="327"/>
      <c r="HV32" s="327"/>
      <c r="HW32" s="327"/>
      <c r="HX32" s="327"/>
      <c r="HY32" s="327"/>
      <c r="HZ32" s="329"/>
      <c r="IA32" s="159"/>
      <c r="IB32" s="150"/>
      <c r="IC32" s="327"/>
      <c r="ID32" s="327"/>
      <c r="IE32" s="327"/>
      <c r="IF32" s="327"/>
      <c r="IG32" s="327"/>
      <c r="IH32" s="327"/>
      <c r="II32" s="327"/>
      <c r="IJ32" s="327"/>
      <c r="IK32" s="327"/>
      <c r="IL32" s="327"/>
      <c r="IM32" s="329"/>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9"/>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9"/>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9"/>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9"/>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9"/>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9"/>
      <c r="N38" s="153"/>
      <c r="O38" s="153"/>
      <c r="P38" s="328"/>
      <c r="Q38" s="328"/>
      <c r="R38" s="328"/>
      <c r="S38" s="328"/>
      <c r="T38" s="328"/>
      <c r="U38" s="328"/>
      <c r="V38" s="328"/>
      <c r="W38" s="328"/>
      <c r="X38" s="328"/>
      <c r="Y38" s="328"/>
      <c r="Z38" s="328"/>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9"/>
      <c r="N39" s="153"/>
      <c r="O39" s="153"/>
      <c r="P39" s="328"/>
      <c r="Q39" s="328"/>
      <c r="R39" s="328"/>
      <c r="S39" s="328"/>
      <c r="T39" s="328"/>
      <c r="U39" s="328"/>
      <c r="V39" s="328"/>
      <c r="W39" s="328"/>
      <c r="X39" s="328"/>
      <c r="Y39" s="328"/>
      <c r="Z39" s="328"/>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9"/>
      <c r="N40" s="153"/>
      <c r="O40" s="153"/>
      <c r="P40" s="328"/>
      <c r="Q40" s="328"/>
      <c r="R40" s="328"/>
      <c r="S40" s="328"/>
      <c r="T40" s="328"/>
      <c r="U40" s="328"/>
      <c r="V40" s="328"/>
      <c r="W40" s="328"/>
      <c r="X40" s="328"/>
      <c r="Y40" s="328"/>
      <c r="Z40" s="328"/>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9"/>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9"/>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9"/>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9"/>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9"/>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9"/>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9"/>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9"/>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9"/>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9"/>
    </row>
    <row r="51" spans="1:256" x14ac:dyDescent="0.2">
      <c r="A51" s="159"/>
      <c r="B51" s="150"/>
      <c r="C51" s="327"/>
      <c r="D51" s="327"/>
      <c r="E51" s="327"/>
      <c r="F51" s="327"/>
      <c r="G51" s="327"/>
      <c r="H51" s="327"/>
      <c r="I51" s="327"/>
      <c r="J51" s="327"/>
      <c r="K51" s="327"/>
      <c r="L51" s="327"/>
      <c r="M51" s="329"/>
    </row>
    <row r="52" spans="1:256" x14ac:dyDescent="0.2">
      <c r="A52" s="159"/>
      <c r="B52" s="150"/>
      <c r="C52" s="327"/>
      <c r="D52" s="327"/>
      <c r="E52" s="327"/>
      <c r="F52" s="327"/>
      <c r="G52" s="327"/>
      <c r="H52" s="327"/>
      <c r="I52" s="327"/>
      <c r="J52" s="327"/>
      <c r="K52" s="327"/>
      <c r="L52" s="327"/>
      <c r="M52" s="329"/>
    </row>
    <row r="53" spans="1:256" x14ac:dyDescent="0.2">
      <c r="A53" s="159"/>
      <c r="B53" s="150"/>
      <c r="C53" s="327"/>
      <c r="D53" s="327"/>
      <c r="E53" s="327"/>
      <c r="F53" s="327"/>
      <c r="G53" s="327"/>
      <c r="H53" s="327"/>
      <c r="I53" s="327"/>
      <c r="J53" s="327"/>
      <c r="K53" s="327"/>
      <c r="L53" s="327"/>
      <c r="M53" s="329"/>
    </row>
    <row r="54" spans="1:256" x14ac:dyDescent="0.2">
      <c r="A54" s="159"/>
      <c r="B54" s="150"/>
      <c r="C54" s="327"/>
      <c r="D54" s="327"/>
      <c r="E54" s="327"/>
      <c r="F54" s="327"/>
      <c r="G54" s="327"/>
      <c r="H54" s="327"/>
      <c r="I54" s="327"/>
      <c r="J54" s="327"/>
      <c r="K54" s="327"/>
      <c r="L54" s="327"/>
      <c r="M54" s="329"/>
    </row>
    <row r="55" spans="1:256" x14ac:dyDescent="0.2">
      <c r="A55" s="159"/>
      <c r="B55" s="150"/>
      <c r="C55" s="327"/>
      <c r="D55" s="327"/>
      <c r="E55" s="327"/>
      <c r="F55" s="327"/>
      <c r="G55" s="327"/>
      <c r="H55" s="327"/>
      <c r="I55" s="327"/>
      <c r="J55" s="327"/>
      <c r="K55" s="327"/>
      <c r="L55" s="327"/>
      <c r="M55" s="329"/>
    </row>
    <row r="56" spans="1:256" x14ac:dyDescent="0.2">
      <c r="A56" s="159"/>
      <c r="B56" s="150"/>
      <c r="C56" s="327"/>
      <c r="D56" s="327"/>
      <c r="E56" s="327"/>
      <c r="F56" s="327"/>
      <c r="G56" s="327"/>
      <c r="H56" s="327"/>
      <c r="I56" s="327"/>
      <c r="J56" s="327"/>
      <c r="K56" s="327"/>
      <c r="L56" s="327"/>
      <c r="M56" s="329"/>
    </row>
    <row r="57" spans="1:256" x14ac:dyDescent="0.2">
      <c r="A57" s="159"/>
      <c r="B57" s="150"/>
      <c r="C57" s="327"/>
      <c r="D57" s="327"/>
      <c r="E57" s="327"/>
      <c r="F57" s="327"/>
      <c r="G57" s="327"/>
      <c r="H57" s="327"/>
      <c r="I57" s="327"/>
      <c r="J57" s="327"/>
      <c r="K57" s="327"/>
      <c r="L57" s="327"/>
      <c r="M57" s="329"/>
    </row>
    <row r="58" spans="1:256" x14ac:dyDescent="0.2">
      <c r="A58" s="159"/>
      <c r="B58" s="150"/>
      <c r="C58" s="327"/>
      <c r="D58" s="327"/>
      <c r="E58" s="327"/>
      <c r="F58" s="327"/>
      <c r="G58" s="327"/>
      <c r="H58" s="327"/>
      <c r="I58" s="327"/>
      <c r="J58" s="327"/>
      <c r="K58" s="327"/>
      <c r="L58" s="327"/>
      <c r="M58" s="329"/>
    </row>
    <row r="59" spans="1:256" x14ac:dyDescent="0.2">
      <c r="A59" s="159"/>
      <c r="B59" s="150"/>
      <c r="C59" s="327"/>
      <c r="D59" s="327"/>
      <c r="E59" s="327"/>
      <c r="F59" s="327"/>
      <c r="G59" s="327"/>
      <c r="H59" s="327"/>
      <c r="I59" s="327"/>
      <c r="J59" s="327"/>
      <c r="K59" s="327"/>
      <c r="L59" s="327"/>
      <c r="M59" s="329"/>
    </row>
    <row r="60" spans="1:256" x14ac:dyDescent="0.2">
      <c r="A60" s="159"/>
      <c r="B60" s="150"/>
      <c r="C60" s="327"/>
      <c r="D60" s="327"/>
      <c r="E60" s="327"/>
      <c r="F60" s="327"/>
      <c r="G60" s="327"/>
      <c r="H60" s="327"/>
      <c r="I60" s="327"/>
      <c r="J60" s="327"/>
      <c r="K60" s="327"/>
      <c r="L60" s="327"/>
      <c r="M60" s="329"/>
    </row>
    <row r="61" spans="1:256" x14ac:dyDescent="0.2">
      <c r="A61" s="159"/>
      <c r="B61" s="150"/>
      <c r="C61" s="327"/>
      <c r="D61" s="327"/>
      <c r="E61" s="327"/>
      <c r="F61" s="327"/>
      <c r="G61" s="327"/>
      <c r="H61" s="327"/>
      <c r="I61" s="327"/>
      <c r="J61" s="327"/>
      <c r="K61" s="327"/>
      <c r="L61" s="327"/>
      <c r="M61" s="329"/>
    </row>
    <row r="62" spans="1:256" x14ac:dyDescent="0.2">
      <c r="A62" s="159"/>
      <c r="B62" s="150"/>
      <c r="C62" s="327"/>
      <c r="D62" s="327"/>
      <c r="E62" s="327"/>
      <c r="F62" s="327"/>
      <c r="G62" s="327"/>
      <c r="H62" s="327"/>
      <c r="I62" s="327"/>
      <c r="J62" s="327"/>
      <c r="K62" s="327"/>
      <c r="L62" s="327"/>
      <c r="M62" s="329"/>
    </row>
    <row r="63" spans="1:256" x14ac:dyDescent="0.2">
      <c r="A63" s="159"/>
      <c r="B63" s="150"/>
      <c r="C63" s="327"/>
      <c r="D63" s="327"/>
      <c r="E63" s="327"/>
      <c r="F63" s="327"/>
      <c r="G63" s="327"/>
      <c r="H63" s="327"/>
      <c r="I63" s="327"/>
      <c r="J63" s="327"/>
      <c r="K63" s="327"/>
      <c r="L63" s="327"/>
      <c r="M63" s="329"/>
    </row>
    <row r="64" spans="1:256" x14ac:dyDescent="0.2">
      <c r="A64" s="159"/>
      <c r="B64" s="150"/>
      <c r="C64" s="327"/>
      <c r="D64" s="327"/>
      <c r="E64" s="327"/>
      <c r="F64" s="327"/>
      <c r="G64" s="327"/>
      <c r="H64" s="327"/>
      <c r="I64" s="327"/>
      <c r="J64" s="327"/>
      <c r="K64" s="327"/>
      <c r="L64" s="327"/>
      <c r="M64" s="329"/>
    </row>
    <row r="65" spans="1:13" x14ac:dyDescent="0.2">
      <c r="A65" s="159"/>
      <c r="B65" s="150"/>
      <c r="C65" s="327"/>
      <c r="D65" s="327"/>
      <c r="E65" s="327"/>
      <c r="F65" s="327"/>
      <c r="G65" s="327"/>
      <c r="H65" s="327"/>
      <c r="I65" s="327"/>
      <c r="J65" s="327"/>
      <c r="K65" s="327"/>
      <c r="L65" s="327"/>
      <c r="M65" s="329"/>
    </row>
    <row r="66" spans="1:13" x14ac:dyDescent="0.2">
      <c r="A66" s="159"/>
      <c r="B66" s="150"/>
      <c r="C66" s="327"/>
      <c r="D66" s="327"/>
      <c r="E66" s="327"/>
      <c r="F66" s="327"/>
      <c r="G66" s="327"/>
      <c r="H66" s="327"/>
      <c r="I66" s="327"/>
      <c r="J66" s="327"/>
      <c r="K66" s="327"/>
      <c r="L66" s="327"/>
      <c r="M66" s="329"/>
    </row>
    <row r="67" spans="1:13" x14ac:dyDescent="0.2">
      <c r="A67" s="159"/>
      <c r="B67" s="150"/>
      <c r="C67" s="327"/>
      <c r="D67" s="327"/>
      <c r="E67" s="327"/>
      <c r="F67" s="327"/>
      <c r="G67" s="327"/>
      <c r="H67" s="327"/>
      <c r="I67" s="327"/>
      <c r="J67" s="327"/>
      <c r="K67" s="327"/>
      <c r="L67" s="327"/>
      <c r="M67" s="329"/>
    </row>
    <row r="68" spans="1:13" x14ac:dyDescent="0.2">
      <c r="A68" s="159"/>
      <c r="B68" s="150"/>
      <c r="C68" s="327"/>
      <c r="D68" s="327"/>
      <c r="E68" s="327"/>
      <c r="F68" s="327"/>
      <c r="G68" s="327"/>
      <c r="H68" s="327"/>
      <c r="I68" s="327"/>
      <c r="J68" s="327"/>
      <c r="K68" s="327"/>
      <c r="L68" s="327"/>
      <c r="M68" s="329"/>
    </row>
    <row r="69" spans="1:13" x14ac:dyDescent="0.2">
      <c r="A69" s="159"/>
      <c r="B69" s="150"/>
      <c r="C69" s="327"/>
      <c r="D69" s="327"/>
      <c r="E69" s="327"/>
      <c r="F69" s="327"/>
      <c r="G69" s="327"/>
      <c r="H69" s="327"/>
      <c r="I69" s="327"/>
      <c r="J69" s="327"/>
      <c r="K69" s="327"/>
      <c r="L69" s="327"/>
      <c r="M69" s="329"/>
    </row>
    <row r="70" spans="1:13" ht="12" thickBot="1" x14ac:dyDescent="0.25">
      <c r="A70" s="160"/>
      <c r="B70" s="161"/>
      <c r="C70" s="338"/>
      <c r="D70" s="338"/>
      <c r="E70" s="338"/>
      <c r="F70" s="338"/>
      <c r="G70" s="338"/>
      <c r="H70" s="338"/>
      <c r="I70" s="338"/>
      <c r="J70" s="338"/>
      <c r="K70" s="338"/>
      <c r="L70" s="338"/>
      <c r="M70" s="339"/>
    </row>
    <row r="71" spans="1:13" ht="12" thickTop="1" x14ac:dyDescent="0.2">
      <c r="A71" s="151"/>
      <c r="B71" s="151"/>
      <c r="C71" s="152"/>
      <c r="D71" s="152"/>
      <c r="E71" s="152"/>
      <c r="F71" s="152"/>
      <c r="G71" s="152"/>
      <c r="H71" s="152"/>
      <c r="I71" s="152"/>
      <c r="J71" s="152"/>
      <c r="K71" s="152"/>
      <c r="L71" s="152"/>
    </row>
    <row r="72" spans="1:13" ht="12.75" x14ac:dyDescent="0.2">
      <c r="A72" s="340" t="s">
        <v>831</v>
      </c>
      <c r="B72" s="340"/>
      <c r="C72" s="340"/>
      <c r="D72" s="340"/>
      <c r="E72" s="340"/>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152</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t="str">
        <f>IFERROR(SMALL($T$4:$T$75,ROWS($T$4:T4)),"")</f>
        <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t="str">
        <f>IFERROR(SMALL(AE4:$AE$100,ROWS($AE$4:AE4)),"")</f>
        <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25.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38.25"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f>IF('School Level Expenditures'!$B$2=A155,'School Tables'!H155,"")</f>
        <v>152</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2023-06-27T18:17:42Z</cp:lastPrinted>
  <dcterms:created xsi:type="dcterms:W3CDTF">1997-12-04T19:04:30Z</dcterms:created>
  <dcterms:modified xsi:type="dcterms:W3CDTF">2023-12-28T18:50:45Z</dcterms:modified>
</cp:coreProperties>
</file>