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005F8389-3519-4E22-9EC7-EB5B4417546B}" xr6:coauthVersionLast="47" xr6:coauthVersionMax="47" xr10:uidLastSave="{00000000-0000-0000-0000-000000000000}"/>
  <workbookProtection workbookAlgorithmName="SHA-512" workbookHashValue="HlZTRcTXPNprKB/T1vqyGrGSyEs0rhYB7lIUj1lvo/vWyw6PKYbs+7Si8ptXuRIiwmCklztYnTc8wPere3jQEw==" workbookSaltValue="vM68T1hHFy+SxSmqAzv0qw=="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32" i="1" l="1"/>
  <c r="J527" i="1"/>
  <c r="I528" i="1"/>
  <c r="J524" i="1"/>
  <c r="J523" i="1"/>
  <c r="I523" i="1"/>
  <c r="H524" i="1"/>
  <c r="H523" i="1"/>
  <c r="G522" i="1"/>
  <c r="K8" i="14" l="1"/>
  <c r="B28" i="12" l="1"/>
  <c r="B20" i="12" l="1"/>
  <c r="H157" i="1" l="1"/>
  <c r="H156" i="1"/>
  <c r="F66" i="1" l="1"/>
  <c r="H204" i="1" l="1"/>
  <c r="H222" i="1"/>
  <c r="I234" i="1"/>
  <c r="I216" i="1"/>
  <c r="I198" i="1"/>
  <c r="H240" i="1"/>
  <c r="I244" i="1"/>
  <c r="J240" i="1"/>
  <c r="J222" i="1"/>
  <c r="J204" i="1"/>
  <c r="G240" i="1"/>
  <c r="G222" i="1" l="1"/>
  <c r="G204" i="1"/>
  <c r="F315" i="1" l="1"/>
  <c r="F296" i="1"/>
  <c r="F277" i="1"/>
  <c r="H320" i="1"/>
  <c r="H296" i="1"/>
  <c r="H282" i="1"/>
  <c r="F320" i="1"/>
  <c r="I318" i="1"/>
  <c r="I296" i="1"/>
  <c r="J325" i="1" l="1"/>
  <c r="I316" i="1" l="1"/>
  <c r="I524" i="1" s="1"/>
  <c r="G316" i="1"/>
  <c r="G524" i="1" s="1"/>
  <c r="F316" i="1"/>
  <c r="F524" i="1" s="1"/>
  <c r="G297" i="1"/>
  <c r="G523" i="1" s="1"/>
  <c r="F297" i="1"/>
  <c r="F523" i="1" s="1"/>
  <c r="J278" i="1"/>
  <c r="J522" i="1" s="1"/>
  <c r="I278" i="1"/>
  <c r="I522" i="1" s="1"/>
  <c r="H278" i="1"/>
  <c r="H522" i="1" s="1"/>
  <c r="F278" i="1"/>
  <c r="F522" i="1" s="1"/>
  <c r="I315" i="1"/>
  <c r="G315" i="1"/>
  <c r="G296" i="1"/>
  <c r="J244" i="1" l="1"/>
  <c r="H244" i="1"/>
  <c r="J226" i="1"/>
  <c r="I226" i="1"/>
  <c r="H226" i="1"/>
  <c r="I208" i="1"/>
  <c r="H208" i="1"/>
  <c r="F226" i="1"/>
  <c r="F244" i="1"/>
  <c r="F208" i="1"/>
  <c r="H252" i="1" l="1"/>
  <c r="F252" i="1"/>
  <c r="H205" i="1"/>
  <c r="F241" i="1"/>
  <c r="F223" i="1"/>
  <c r="F205" i="1"/>
  <c r="I240" i="1" l="1"/>
  <c r="F240" i="1"/>
  <c r="I222" i="1"/>
  <c r="F222" i="1"/>
  <c r="I204" i="1"/>
  <c r="F204"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H47" i="2" s="1"/>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C125" i="2" s="1"/>
  <c r="H125" i="2" s="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L251" i="1"/>
  <c r="C113" i="2" s="1"/>
  <c r="L333" i="1"/>
  <c r="E113" i="2" s="1"/>
  <c r="H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H76" i="2" s="1"/>
  <c r="E76" i="2"/>
  <c r="F76" i="2"/>
  <c r="C77" i="2"/>
  <c r="D77" i="2"/>
  <c r="D78" i="2" s="1"/>
  <c r="E77" i="2"/>
  <c r="F77" i="2"/>
  <c r="G77" i="2"/>
  <c r="G78" i="2" s="1"/>
  <c r="C79" i="2"/>
  <c r="H79" i="2" s="1"/>
  <c r="D79" i="2"/>
  <c r="E79" i="2"/>
  <c r="C80" i="2"/>
  <c r="E80" i="2"/>
  <c r="C85" i="2"/>
  <c r="F85" i="2"/>
  <c r="C87" i="2"/>
  <c r="E87" i="2"/>
  <c r="F87" i="2"/>
  <c r="C89" i="2"/>
  <c r="D89" i="2"/>
  <c r="E89" i="2"/>
  <c r="F89" i="2"/>
  <c r="C90" i="2"/>
  <c r="H90" i="2" s="1"/>
  <c r="C93" i="2"/>
  <c r="F93" i="2"/>
  <c r="C94" i="2"/>
  <c r="H94" i="2" s="1"/>
  <c r="F94" i="2"/>
  <c r="D96" i="2"/>
  <c r="E96" i="2"/>
  <c r="F96" i="2"/>
  <c r="G96" i="2"/>
  <c r="C97" i="2"/>
  <c r="D97" i="2"/>
  <c r="E97" i="2"/>
  <c r="F97" i="2"/>
  <c r="G97" i="2"/>
  <c r="C98" i="2"/>
  <c r="D98" i="2"/>
  <c r="E98" i="2"/>
  <c r="G98" i="2"/>
  <c r="C99" i="2"/>
  <c r="H99" i="2" s="1"/>
  <c r="D99" i="2"/>
  <c r="E99" i="2"/>
  <c r="F99" i="2"/>
  <c r="C100" i="2"/>
  <c r="D100" i="2"/>
  <c r="E100" i="2"/>
  <c r="F100" i="2"/>
  <c r="C101" i="2"/>
  <c r="H101" i="2" s="1"/>
  <c r="D101" i="2"/>
  <c r="E101" i="2"/>
  <c r="F101" i="2"/>
  <c r="C102" i="2"/>
  <c r="D102" i="2"/>
  <c r="E102" i="2"/>
  <c r="F102" i="2"/>
  <c r="D115" i="2"/>
  <c r="F115" i="2"/>
  <c r="G115"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H653" i="1"/>
  <c r="G654" i="1"/>
  <c r="H654" i="1"/>
  <c r="H655" i="1"/>
  <c r="H656" i="1"/>
  <c r="I170" i="1"/>
  <c r="H97" i="2" l="1"/>
  <c r="H61" i="2"/>
  <c r="H26" i="2"/>
  <c r="H22" i="2"/>
  <c r="H96" i="2"/>
  <c r="H35" i="2"/>
  <c r="H23" i="2"/>
  <c r="H13" i="2"/>
  <c r="H11" i="2"/>
  <c r="H9" i="2"/>
  <c r="H143" i="2"/>
  <c r="H87" i="2"/>
  <c r="H69" i="2"/>
  <c r="H28" i="2"/>
  <c r="H15" i="2"/>
  <c r="G663" i="1"/>
  <c r="H93" i="2"/>
  <c r="H100" i="2"/>
  <c r="H80" i="2"/>
  <c r="H29" i="2"/>
  <c r="H132" i="2"/>
  <c r="C110" i="2"/>
  <c r="H36" i="2"/>
  <c r="H44" i="2"/>
  <c r="H48" i="2"/>
  <c r="H98" i="2"/>
  <c r="H477" i="1"/>
  <c r="H625" i="1" s="1"/>
  <c r="H89" i="2"/>
  <c r="H59" i="2"/>
  <c r="H34" i="2"/>
  <c r="E121" i="2"/>
  <c r="H58" i="2"/>
  <c r="H102" i="2"/>
  <c r="I409" i="1"/>
  <c r="H27" i="2"/>
  <c r="H24" i="2"/>
  <c r="J652" i="1"/>
  <c r="H77" i="2"/>
  <c r="G477" i="1"/>
  <c r="G646" i="1"/>
  <c r="H17" i="2"/>
  <c r="H21" i="2"/>
  <c r="G409" i="1"/>
  <c r="H646" i="1" s="1"/>
  <c r="H30" i="2"/>
  <c r="H8" i="2"/>
  <c r="H12" i="2"/>
  <c r="G662" i="1"/>
  <c r="D29" i="13"/>
  <c r="C29" i="13" s="1"/>
  <c r="D144" i="2"/>
  <c r="H134" i="2"/>
  <c r="G651" i="1"/>
  <c r="J651" i="1" s="1"/>
  <c r="C32" i="10"/>
  <c r="E112" i="2"/>
  <c r="E124" i="2"/>
  <c r="E120" i="2"/>
  <c r="E111" i="2"/>
  <c r="D15" i="13"/>
  <c r="C15" i="13" s="1"/>
  <c r="E13" i="13"/>
  <c r="C13" i="13" s="1"/>
  <c r="N2" i="14"/>
  <c r="N3" i="14" s="1"/>
  <c r="C121" i="2"/>
  <c r="H121" i="2" s="1"/>
  <c r="C120" i="2"/>
  <c r="M2" i="14"/>
  <c r="M3" i="14" s="1"/>
  <c r="C119" i="2"/>
  <c r="D6" i="13"/>
  <c r="C6" i="13" s="1"/>
  <c r="L2" i="14"/>
  <c r="L3" i="14" s="1"/>
  <c r="A40" i="12"/>
  <c r="C112" i="2"/>
  <c r="C13" i="10"/>
  <c r="C12" i="10"/>
  <c r="K2" i="14"/>
  <c r="K3" i="14" s="1"/>
  <c r="E119" i="2"/>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62" i="2" l="1"/>
  <c r="H85" i="2"/>
  <c r="H122" i="2"/>
  <c r="H119" i="2"/>
  <c r="H50" i="2"/>
  <c r="D51" i="2"/>
  <c r="H78" i="2"/>
  <c r="H57" i="2"/>
  <c r="H110" i="2"/>
  <c r="H16" i="2"/>
  <c r="H42" i="2"/>
  <c r="H91" i="2"/>
  <c r="H103" i="2"/>
  <c r="E51" i="2"/>
  <c r="H31" i="2"/>
  <c r="H18" i="2"/>
  <c r="C81" i="2"/>
  <c r="H81" i="2" s="1"/>
  <c r="F194" i="1"/>
  <c r="G628" i="1" s="1"/>
  <c r="J628" i="1" s="1"/>
  <c r="I662" i="1"/>
  <c r="D128" i="2"/>
  <c r="D145" i="2" s="1"/>
  <c r="H127" i="2"/>
  <c r="I663" i="1"/>
  <c r="H112" i="2"/>
  <c r="H123" i="2"/>
  <c r="H120" i="2"/>
  <c r="E128" i="2"/>
  <c r="H118" i="2"/>
  <c r="H114" i="2"/>
  <c r="G24" i="14"/>
  <c r="H24" i="14" s="1"/>
  <c r="I24" i="14" s="1"/>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04" i="2"/>
  <c r="H104" i="2" s="1"/>
  <c r="H63" i="2"/>
  <c r="C144" i="2"/>
  <c r="H141" i="2"/>
  <c r="H128" i="2"/>
  <c r="M24" i="14"/>
  <c r="M36" i="14"/>
  <c r="I36" i="14"/>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<sst xmlns="http://schemas.openxmlformats.org/spreadsheetml/2006/main" count="6557" uniqueCount="1812">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</sst>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1"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1158</v>
      </c>
      <c r="B2">
        <f>INDEX('School Tables'!$AH$3:$AH$209,MATCH('DOE25'!A2,'School Tables'!$AJ$3:$AJ$209,0))</f>
        <v>285</v>
      </c>
      <c r="C2">
        <f>INDEX('School Tables'!$AI$3:$AI$209,MATCH('DOE25'!A2,'School Tables'!$AJ$3:$AJ$209,0))</f>
        <v>285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600</v>
      </c>
      <c r="G9" s="18">
        <v>1280</v>
      </c>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v>249722.15</v>
      </c>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c r="H12" s="18">
        <v>4557310.16</v>
      </c>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191991.37</v>
      </c>
      <c r="G13" s="18">
        <v>155877.18</v>
      </c>
      <c r="H13" s="18"/>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22998</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v>10407.9</v>
      </c>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v>10000</v>
      </c>
      <c r="G18" s="18"/>
      <c r="H18" s="102">
        <v>0</v>
      </c>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452313.52</v>
      </c>
      <c r="G19" s="38">
        <f>SUM(G9:G18)</f>
        <v>180155.18</v>
      </c>
      <c r="H19" s="38">
        <f>SUM(H9:H18)</f>
        <v>4567718.0600000005</v>
      </c>
      <c r="I19" s="38">
        <f>SUM(I9:I18)</f>
        <v>0</v>
      </c>
      <c r="J19" s="38">
        <f>SUM(J9:J18)</f>
        <v>0</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v>179800.68</v>
      </c>
      <c r="H22" s="18">
        <v>4395053.59</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c r="G24" s="18"/>
      <c r="H24" s="18">
        <v>172664.47</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v>17272.54</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v>0</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v>435040.98</v>
      </c>
      <c r="G31" s="18">
        <v>354.5</v>
      </c>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452313.51999999996</v>
      </c>
      <c r="G32" s="38">
        <f>SUM(G22:G31)</f>
        <v>180155.18</v>
      </c>
      <c r="H32" s="38">
        <f>SUM(H22:H31)</f>
        <v>4567718.0599999996</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0</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0</v>
      </c>
      <c r="G51" s="38">
        <f>SUM(G35:G50)</f>
        <v>0</v>
      </c>
      <c r="H51" s="38">
        <f>SUM(H35:H50)</f>
        <v>0</v>
      </c>
      <c r="I51" s="38">
        <f>SUM(I35:I50)</f>
        <v>0</v>
      </c>
      <c r="J51" s="38">
        <f>SUM(J35:J50)</f>
        <v>0</v>
      </c>
      <c r="K51" s="42" t="s">
        <v>288</v>
      </c>
      <c r="L51" s="42" t="s">
        <v>288</v>
      </c>
      <c r="N51" s="131"/>
    </row>
    <row r="52" spans="1:14" s="3" customFormat="1" ht="12.2" customHeight="1" thickTop="1" x14ac:dyDescent="0.15">
      <c r="A52" s="35" t="s">
        <v>455</v>
      </c>
      <c r="B52" s="36" t="s">
        <v>289</v>
      </c>
      <c r="C52" s="6">
        <v>37</v>
      </c>
      <c r="D52" s="36" t="s">
        <v>653</v>
      </c>
      <c r="E52" s="36"/>
      <c r="F52" s="38">
        <f>F51+F32</f>
        <v>452313.51999999996</v>
      </c>
      <c r="G52" s="38">
        <f>G51+G32</f>
        <v>180155.18</v>
      </c>
      <c r="H52" s="38">
        <f>H51+H32</f>
        <v>4567718.0599999996</v>
      </c>
      <c r="I52" s="38">
        <f>I51+I32</f>
        <v>0</v>
      </c>
      <c r="J52" s="38">
        <f>J51+J32</f>
        <v>0</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23648059.199999999</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23648059.199999999</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f>262443.95+1861</f>
        <v>264304.95</v>
      </c>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v>736147.81</v>
      </c>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1000452.76</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c r="G96" s="18"/>
      <c r="H96" s="18"/>
      <c r="I96" s="18"/>
      <c r="J96" s="18"/>
      <c r="K96" s="23" t="s">
        <v>288</v>
      </c>
      <c r="L96" s="23" t="s">
        <v>288</v>
      </c>
      <c r="M96" s="8"/>
      <c r="N96" s="165"/>
    </row>
    <row r="97" spans="1:14" s="3" customFormat="1" ht="12.2" customHeight="1" x14ac:dyDescent="0.15">
      <c r="A97" s="1" t="s">
        <v>503</v>
      </c>
      <c r="B97" s="2" t="s">
        <v>315</v>
      </c>
      <c r="C97" s="6">
        <v>12</v>
      </c>
      <c r="D97" s="2" t="s">
        <v>430</v>
      </c>
      <c r="E97" s="6">
        <v>1600</v>
      </c>
      <c r="F97" s="23" t="s">
        <v>288</v>
      </c>
      <c r="G97" s="18">
        <v>303732.28999999998</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v>3900</v>
      </c>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v>12000</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c r="G110" s="18"/>
      <c r="H110" s="18">
        <v>2606.91</v>
      </c>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3900</v>
      </c>
      <c r="G111" s="38">
        <f>SUM(G96:G110)</f>
        <v>303732.28999999998</v>
      </c>
      <c r="H111" s="38">
        <f>SUM(H96:H110)</f>
        <v>14606.91</v>
      </c>
      <c r="I111" s="38">
        <f>SUM(I96:I110)</f>
        <v>0</v>
      </c>
      <c r="J111" s="38">
        <f>SUM(J96:J110)</f>
        <v>0</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24652411.960000001</v>
      </c>
      <c r="G112" s="38">
        <f>G60+G111</f>
        <v>303732.28999999998</v>
      </c>
      <c r="H112" s="38">
        <f>H60+H79+H94+H111</f>
        <v>14606.91</v>
      </c>
      <c r="I112" s="38">
        <f>I60+I111</f>
        <v>0</v>
      </c>
      <c r="J112" s="38">
        <f>J60+J111</f>
        <v>0</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8366833.8300000001</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3288812</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227802.37</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11883448.199999999</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563629.03</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215840.66</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943529.12</v>
      </c>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0</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v>0</v>
      </c>
      <c r="G135" s="18">
        <v>137998.79</v>
      </c>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1722998.81</v>
      </c>
      <c r="G136" s="38">
        <f>SUM(G123:G135)</f>
        <v>137998.79</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13606447.01</v>
      </c>
      <c r="G140" s="38">
        <f>G121+SUM(G136:G137)</f>
        <v>137998.79</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1180545.02</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947887.27</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f>7360.11+168152.25+4760+57553.46</f>
        <v>237825.81999999998</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f>68331.49+53754.26</f>
        <v>122085.75</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888368.69</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579065.43999999994</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246483.44</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v>845085.65</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2816639.4</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246483.44</v>
      </c>
      <c r="G163" s="38">
        <f>SUM(G150:G162)</f>
        <v>888368.69</v>
      </c>
      <c r="H163" s="38">
        <f>SUM(H150:H162)</f>
        <v>6729134.3499999996</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246483.44</v>
      </c>
      <c r="G170" s="38">
        <f>G147+G163+SUM(G164:G169)</f>
        <v>888368.69</v>
      </c>
      <c r="H170" s="38">
        <f>H147+H163+SUM(H164:H169)</f>
        <v>6729134.3499999996</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50267.88</v>
      </c>
      <c r="H180" s="18"/>
      <c r="I180" s="18"/>
      <c r="J180" s="18">
        <v>1000000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50267.88</v>
      </c>
      <c r="H184" s="38">
        <f>SUM(H180:H183)</f>
        <v>0</v>
      </c>
      <c r="I184" s="38">
        <f>SUM(I180:I183)</f>
        <v>0</v>
      </c>
      <c r="J184" s="38">
        <f>SUM(J180:J183)</f>
        <v>1000000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50267.88</v>
      </c>
      <c r="H193" s="38">
        <f>+H184+SUM(H189:H192)</f>
        <v>0</v>
      </c>
      <c r="I193" s="38">
        <f>I178+I184+SUM(I189:I192)</f>
        <v>0</v>
      </c>
      <c r="J193" s="38">
        <f>J184</f>
        <v>1000000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38505342.409999996</v>
      </c>
      <c r="G194" s="38">
        <f>G112+G140+G170+G193</f>
        <v>1380367.65</v>
      </c>
      <c r="H194" s="38">
        <f>H112+H140+H170+H193</f>
        <v>6743741.2599999998</v>
      </c>
      <c r="I194" s="38">
        <f>I112+I140+I170+I193</f>
        <v>0</v>
      </c>
      <c r="J194" s="38">
        <f>J112+J140+J193</f>
        <v>1000000</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3711278.38</v>
      </c>
      <c r="G198" s="18">
        <v>2238595.7000000002</v>
      </c>
      <c r="H198" s="18">
        <v>50764.29</v>
      </c>
      <c r="I198" s="18">
        <f>111656.49+4636.4</f>
        <v>116292.89</v>
      </c>
      <c r="J198" s="18">
        <v>32082.560000000001</v>
      </c>
      <c r="K198" s="18"/>
      <c r="L198" s="13">
        <f>SUM(F198:K198)</f>
        <v>6149013.8199999994</v>
      </c>
      <c r="M198" s="8"/>
      <c r="N198" s="165"/>
    </row>
    <row r="199" spans="1:14" s="3" customFormat="1" ht="12.2" customHeight="1" x14ac:dyDescent="0.15">
      <c r="A199" s="1" t="s">
        <v>439</v>
      </c>
      <c r="B199" s="2" t="s">
        <v>341</v>
      </c>
      <c r="C199" s="2" t="s">
        <v>291</v>
      </c>
      <c r="D199" s="2" t="s">
        <v>431</v>
      </c>
      <c r="E199" s="6">
        <v>1200</v>
      </c>
      <c r="F199" s="18">
        <v>1617239.72</v>
      </c>
      <c r="G199" s="18">
        <v>975498.34</v>
      </c>
      <c r="H199" s="18">
        <v>1110621.6299999999</v>
      </c>
      <c r="I199" s="18">
        <v>26060.13</v>
      </c>
      <c r="J199" s="18">
        <v>4884.76</v>
      </c>
      <c r="K199" s="18"/>
      <c r="L199" s="13">
        <f>SUM(F199:K199)</f>
        <v>3734304.5799999996</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706565.83</v>
      </c>
      <c r="G203" s="18">
        <v>426191.48</v>
      </c>
      <c r="H203" s="18">
        <v>70465</v>
      </c>
      <c r="I203" s="18">
        <v>16520.95</v>
      </c>
      <c r="J203" s="18">
        <v>5378</v>
      </c>
      <c r="K203" s="18"/>
      <c r="L203" s="13">
        <f t="shared" ref="L203:L209" si="0">SUM(F203:K203)</f>
        <v>1225121.26</v>
      </c>
      <c r="M203" s="8"/>
      <c r="N203" s="165"/>
    </row>
    <row r="204" spans="1:14" s="3" customFormat="1" ht="12.2" customHeight="1" x14ac:dyDescent="0.15">
      <c r="A204" s="1" t="s">
        <v>443</v>
      </c>
      <c r="B204" s="2" t="s">
        <v>341</v>
      </c>
      <c r="C204" s="2" t="s">
        <v>295</v>
      </c>
      <c r="D204" s="2" t="s">
        <v>431</v>
      </c>
      <c r="E204" s="6">
        <v>2200</v>
      </c>
      <c r="F204" s="18">
        <f>123815.19+122737.58</f>
        <v>246552.77000000002</v>
      </c>
      <c r="G204" s="18">
        <f>36129.59+148717.48</f>
        <v>184847.07</v>
      </c>
      <c r="H204" s="18">
        <f>54847.87+2399.61+1700+2419.55+133439.74</f>
        <v>194806.77</v>
      </c>
      <c r="I204" s="18">
        <f>56023.61+33282.02</f>
        <v>89305.63</v>
      </c>
      <c r="J204" s="18">
        <f>89792.73+35454.36</f>
        <v>125247.09</v>
      </c>
      <c r="K204" s="18"/>
      <c r="L204" s="13">
        <f t="shared" si="0"/>
        <v>840759.33</v>
      </c>
      <c r="M204" s="8"/>
      <c r="N204" s="165"/>
    </row>
    <row r="205" spans="1:14" s="3" customFormat="1" ht="12.2" customHeight="1" x14ac:dyDescent="0.15">
      <c r="A205" s="1" t="s">
        <v>444</v>
      </c>
      <c r="B205" s="2" t="s">
        <v>341</v>
      </c>
      <c r="C205" s="2" t="s">
        <v>296</v>
      </c>
      <c r="D205" s="2" t="s">
        <v>431</v>
      </c>
      <c r="E205" s="6">
        <v>2300</v>
      </c>
      <c r="F205" s="18">
        <f>176798.9+50178</f>
        <v>226976.9</v>
      </c>
      <c r="G205" s="18">
        <v>136909.57</v>
      </c>
      <c r="H205" s="18">
        <f>74072.44+1229.89</f>
        <v>75302.33</v>
      </c>
      <c r="I205" s="18">
        <v>4612</v>
      </c>
      <c r="J205" s="18"/>
      <c r="K205" s="18">
        <v>15432.34</v>
      </c>
      <c r="L205" s="13">
        <f t="shared" si="0"/>
        <v>459233.14</v>
      </c>
      <c r="M205" s="8"/>
      <c r="N205" s="165"/>
    </row>
    <row r="206" spans="1:14" s="3" customFormat="1" ht="12.2" customHeight="1" x14ac:dyDescent="0.15">
      <c r="A206" s="1" t="s">
        <v>445</v>
      </c>
      <c r="B206" s="2" t="s">
        <v>341</v>
      </c>
      <c r="C206" s="2" t="s">
        <v>297</v>
      </c>
      <c r="D206" s="2" t="s">
        <v>431</v>
      </c>
      <c r="E206" s="6">
        <v>2400</v>
      </c>
      <c r="F206" s="18">
        <v>545663.71</v>
      </c>
      <c r="G206" s="18">
        <v>329137.38</v>
      </c>
      <c r="H206" s="18">
        <v>8877.42</v>
      </c>
      <c r="I206" s="18">
        <v>5493.08</v>
      </c>
      <c r="J206" s="18"/>
      <c r="K206" s="18">
        <v>560</v>
      </c>
      <c r="L206" s="13">
        <f t="shared" si="0"/>
        <v>889731.59</v>
      </c>
      <c r="M206" s="8"/>
      <c r="N206" s="165"/>
    </row>
    <row r="207" spans="1:14" s="3" customFormat="1" ht="12.2" customHeight="1" x14ac:dyDescent="0.15">
      <c r="A207" s="1" t="s">
        <v>446</v>
      </c>
      <c r="B207" s="2" t="s">
        <v>341</v>
      </c>
      <c r="C207" s="2" t="s">
        <v>298</v>
      </c>
      <c r="D207" s="2" t="s">
        <v>431</v>
      </c>
      <c r="E207" s="6">
        <v>2500</v>
      </c>
      <c r="F207" s="18">
        <v>128666.19</v>
      </c>
      <c r="G207" s="18">
        <v>77609.8</v>
      </c>
      <c r="H207" s="18">
        <v>6979.2</v>
      </c>
      <c r="I207" s="18">
        <v>79.11</v>
      </c>
      <c r="J207" s="18"/>
      <c r="K207" s="18"/>
      <c r="L207" s="13">
        <f t="shared" si="0"/>
        <v>213334.3</v>
      </c>
      <c r="M207" s="8"/>
      <c r="N207" s="165"/>
    </row>
    <row r="208" spans="1:14" s="3" customFormat="1" ht="12.2" customHeight="1" x14ac:dyDescent="0.15">
      <c r="A208" s="1" t="s">
        <v>447</v>
      </c>
      <c r="B208" s="2" t="s">
        <v>341</v>
      </c>
      <c r="C208" s="2" t="s">
        <v>299</v>
      </c>
      <c r="D208" s="2" t="s">
        <v>431</v>
      </c>
      <c r="E208" s="6">
        <v>2600</v>
      </c>
      <c r="F208" s="18">
        <f>46686.25+257549.87</f>
        <v>304236.12</v>
      </c>
      <c r="G208" s="18">
        <v>183511.34</v>
      </c>
      <c r="H208" s="18">
        <f>82617.1+386258.43</f>
        <v>468875.53</v>
      </c>
      <c r="I208" s="18">
        <f>14004.49+277992.27</f>
        <v>291996.76</v>
      </c>
      <c r="J208" s="18">
        <v>1045.83</v>
      </c>
      <c r="K208" s="18"/>
      <c r="L208" s="13">
        <f t="shared" si="0"/>
        <v>1249665.58</v>
      </c>
      <c r="M208" s="8"/>
      <c r="N208" s="165"/>
    </row>
    <row r="209" spans="1:14" s="3" customFormat="1" ht="12.2" customHeight="1" x14ac:dyDescent="0.15">
      <c r="A209" s="1" t="s">
        <v>448</v>
      </c>
      <c r="B209" s="2" t="s">
        <v>341</v>
      </c>
      <c r="C209" s="2" t="s">
        <v>300</v>
      </c>
      <c r="D209" s="2" t="s">
        <v>431</v>
      </c>
      <c r="E209" s="6">
        <v>2700</v>
      </c>
      <c r="F209" s="18">
        <v>0</v>
      </c>
      <c r="G209" s="18"/>
      <c r="H209" s="18">
        <v>370997.06</v>
      </c>
      <c r="I209" s="18"/>
      <c r="J209" s="18"/>
      <c r="K209" s="18"/>
      <c r="L209" s="13">
        <f t="shared" si="0"/>
        <v>370997.06</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7487179.6200000001</v>
      </c>
      <c r="G212" s="38">
        <f t="shared" si="1"/>
        <v>4552300.68</v>
      </c>
      <c r="H212" s="38">
        <f t="shared" si="1"/>
        <v>2357689.23</v>
      </c>
      <c r="I212" s="38">
        <f t="shared" si="1"/>
        <v>550360.55000000005</v>
      </c>
      <c r="J212" s="38">
        <f t="shared" si="1"/>
        <v>168638.24</v>
      </c>
      <c r="K212" s="38">
        <f t="shared" si="1"/>
        <v>15992.34</v>
      </c>
      <c r="L212" s="38">
        <f t="shared" si="1"/>
        <v>15132160.66</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1894995.88</v>
      </c>
      <c r="G216" s="18">
        <v>1105489.72</v>
      </c>
      <c r="H216" s="18">
        <v>22574.959999999999</v>
      </c>
      <c r="I216" s="18">
        <f>39000.81+2217.41</f>
        <v>41218.22</v>
      </c>
      <c r="J216" s="18">
        <v>3434.39</v>
      </c>
      <c r="K216" s="18"/>
      <c r="L216" s="13">
        <f>SUM(F216:K216)</f>
        <v>3067713.17</v>
      </c>
      <c r="M216" s="8"/>
      <c r="N216" s="165"/>
    </row>
    <row r="217" spans="1:14" s="3" customFormat="1" ht="12.2" customHeight="1" x14ac:dyDescent="0.15">
      <c r="A217" s="1" t="s">
        <v>439</v>
      </c>
      <c r="B217" s="2" t="s">
        <v>346</v>
      </c>
      <c r="C217" s="2" t="s">
        <v>291</v>
      </c>
      <c r="D217" s="2" t="s">
        <v>431</v>
      </c>
      <c r="E217" s="6">
        <v>1200</v>
      </c>
      <c r="F217" s="18">
        <v>746559.02</v>
      </c>
      <c r="G217" s="18">
        <v>439690.01</v>
      </c>
      <c r="H217" s="18">
        <v>871327.02</v>
      </c>
      <c r="I217" s="18">
        <v>3894.17</v>
      </c>
      <c r="J217" s="18"/>
      <c r="K217" s="18"/>
      <c r="L217" s="13">
        <f>SUM(F217:K217)</f>
        <v>2061470.22</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v>35612.5</v>
      </c>
      <c r="G219" s="18">
        <v>20974.18</v>
      </c>
      <c r="H219" s="18">
        <v>9693.1</v>
      </c>
      <c r="I219" s="18">
        <v>4320.87</v>
      </c>
      <c r="J219" s="18"/>
      <c r="K219" s="18"/>
      <c r="L219" s="13">
        <f>SUM(F219:K219)</f>
        <v>70600.649999999994</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173669</v>
      </c>
      <c r="G221" s="18">
        <v>102283.3</v>
      </c>
      <c r="H221" s="18">
        <v>71805</v>
      </c>
      <c r="I221" s="18">
        <v>3092.26</v>
      </c>
      <c r="J221" s="18"/>
      <c r="K221" s="18"/>
      <c r="L221" s="13">
        <f t="shared" ref="L221:L227" si="2">SUM(F221:K221)</f>
        <v>350849.56</v>
      </c>
      <c r="M221" s="8"/>
      <c r="N221" s="165"/>
    </row>
    <row r="222" spans="1:14" s="3" customFormat="1" ht="12.2" customHeight="1" x14ac:dyDescent="0.15">
      <c r="A222" s="1" t="s">
        <v>443</v>
      </c>
      <c r="B222" s="2" t="s">
        <v>346</v>
      </c>
      <c r="C222" s="2" t="s">
        <v>295</v>
      </c>
      <c r="D222" s="2" t="s">
        <v>431</v>
      </c>
      <c r="E222" s="6">
        <v>2200</v>
      </c>
      <c r="F222" s="18">
        <f>59215.96+68606</f>
        <v>127821.95999999999</v>
      </c>
      <c r="G222" s="18">
        <f>17279.37+75281.44</f>
        <v>92560.81</v>
      </c>
      <c r="H222" s="18">
        <f>26231.59+2261.83+1394.79+60145.7</f>
        <v>90033.91</v>
      </c>
      <c r="I222" s="18">
        <f>26793.9+20761.12</f>
        <v>47555.020000000004</v>
      </c>
      <c r="J222" s="18">
        <f>42944.35+16956.43</f>
        <v>59900.78</v>
      </c>
      <c r="K222" s="18"/>
      <c r="L222" s="13">
        <f t="shared" si="2"/>
        <v>417872.48</v>
      </c>
      <c r="M222" s="8"/>
      <c r="N222" s="165"/>
    </row>
    <row r="223" spans="1:14" s="3" customFormat="1" ht="12.2" customHeight="1" x14ac:dyDescent="0.15">
      <c r="A223" s="1" t="s">
        <v>444</v>
      </c>
      <c r="B223" s="2" t="s">
        <v>346</v>
      </c>
      <c r="C223" s="2" t="s">
        <v>296</v>
      </c>
      <c r="D223" s="2" t="s">
        <v>431</v>
      </c>
      <c r="E223" s="6">
        <v>2300</v>
      </c>
      <c r="F223" s="18">
        <f>84556.01+20264.16</f>
        <v>104820.17</v>
      </c>
      <c r="G223" s="18">
        <v>61734.41</v>
      </c>
      <c r="H223" s="18">
        <v>35425.949999999997</v>
      </c>
      <c r="I223" s="18">
        <v>2205.7399999999998</v>
      </c>
      <c r="J223" s="18"/>
      <c r="K223" s="18">
        <v>7380.69</v>
      </c>
      <c r="L223" s="13">
        <f t="shared" si="2"/>
        <v>211566.96000000002</v>
      </c>
      <c r="M223" s="8"/>
      <c r="N223" s="165"/>
    </row>
    <row r="224" spans="1:14" s="3" customFormat="1" ht="12.2" customHeight="1" x14ac:dyDescent="0.15">
      <c r="A224" s="1" t="s">
        <v>445</v>
      </c>
      <c r="B224" s="2" t="s">
        <v>346</v>
      </c>
      <c r="C224" s="2" t="s">
        <v>297</v>
      </c>
      <c r="D224" s="2" t="s">
        <v>431</v>
      </c>
      <c r="E224" s="6">
        <v>2400</v>
      </c>
      <c r="F224" s="18">
        <v>286719.06</v>
      </c>
      <c r="G224" s="18">
        <v>168864.75</v>
      </c>
      <c r="H224" s="18">
        <v>5050.97</v>
      </c>
      <c r="I224" s="18">
        <v>3692.55</v>
      </c>
      <c r="J224" s="18"/>
      <c r="K224" s="18">
        <v>1628.44</v>
      </c>
      <c r="L224" s="13">
        <f t="shared" si="2"/>
        <v>465955.76999999996</v>
      </c>
      <c r="M224" s="8"/>
      <c r="N224" s="165"/>
    </row>
    <row r="225" spans="1:14" s="3" customFormat="1" ht="12.2" customHeight="1" x14ac:dyDescent="0.15">
      <c r="A225" s="1" t="s">
        <v>446</v>
      </c>
      <c r="B225" s="2" t="s">
        <v>346</v>
      </c>
      <c r="C225" s="2" t="s">
        <v>298</v>
      </c>
      <c r="D225" s="2" t="s">
        <v>431</v>
      </c>
      <c r="E225" s="6">
        <v>2500</v>
      </c>
      <c r="F225" s="18">
        <v>61536</v>
      </c>
      <c r="G225" s="18">
        <v>36241.96</v>
      </c>
      <c r="H225" s="18">
        <v>3337.88</v>
      </c>
      <c r="I225" s="18">
        <v>37.840000000000003</v>
      </c>
      <c r="J225" s="18"/>
      <c r="K225" s="18"/>
      <c r="L225" s="13">
        <f t="shared" si="2"/>
        <v>101153.68</v>
      </c>
      <c r="M225" s="8"/>
      <c r="N225" s="165"/>
    </row>
    <row r="226" spans="1:14" s="3" customFormat="1" ht="12.2" customHeight="1" x14ac:dyDescent="0.15">
      <c r="A226" s="1" t="s">
        <v>447</v>
      </c>
      <c r="B226" s="2" t="s">
        <v>346</v>
      </c>
      <c r="C226" s="2" t="s">
        <v>299</v>
      </c>
      <c r="D226" s="2" t="s">
        <v>431</v>
      </c>
      <c r="E226" s="6">
        <v>2600</v>
      </c>
      <c r="F226" s="18">
        <f>231253.18+22328.2</f>
        <v>253581.38</v>
      </c>
      <c r="G226" s="18">
        <v>149348.14000000001</v>
      </c>
      <c r="H226" s="18">
        <f>39512.53+97922.64</f>
        <v>137435.16999999998</v>
      </c>
      <c r="I226" s="18">
        <f>6697.8+212510.39</f>
        <v>219208.19</v>
      </c>
      <c r="J226" s="18">
        <f>948.24+500.18</f>
        <v>1448.42</v>
      </c>
      <c r="K226" s="18"/>
      <c r="L226" s="13">
        <f t="shared" si="2"/>
        <v>761021.29999999993</v>
      </c>
      <c r="M226" s="8"/>
      <c r="N226" s="165"/>
    </row>
    <row r="227" spans="1:14" s="3" customFormat="1" ht="12.2" customHeight="1" x14ac:dyDescent="0.15">
      <c r="A227" s="1" t="s">
        <v>448</v>
      </c>
      <c r="B227" s="2" t="s">
        <v>346</v>
      </c>
      <c r="C227" s="2" t="s">
        <v>300</v>
      </c>
      <c r="D227" s="2" t="s">
        <v>431</v>
      </c>
      <c r="E227" s="6">
        <v>2700</v>
      </c>
      <c r="F227" s="18">
        <v>0</v>
      </c>
      <c r="G227" s="18"/>
      <c r="H227" s="18">
        <v>244137.06</v>
      </c>
      <c r="I227" s="18"/>
      <c r="J227" s="18"/>
      <c r="K227" s="18"/>
      <c r="L227" s="13">
        <f t="shared" si="2"/>
        <v>244137.06</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3685314.9699999997</v>
      </c>
      <c r="G230" s="38">
        <f>SUM(G216:G229)</f>
        <v>2177187.2799999998</v>
      </c>
      <c r="H230" s="38">
        <f>SUM(H216:H229)</f>
        <v>1490821.0199999998</v>
      </c>
      <c r="I230" s="38">
        <f>SUM(I216:I229)</f>
        <v>325224.86</v>
      </c>
      <c r="J230" s="38">
        <f>SUM(J216:J229)</f>
        <v>64783.59</v>
      </c>
      <c r="K230" s="38">
        <f t="shared" si="3"/>
        <v>9009.1299999999992</v>
      </c>
      <c r="L230" s="38">
        <f t="shared" si="3"/>
        <v>7752340.8499999987</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2430604.69</v>
      </c>
      <c r="G234" s="18">
        <v>1217399.1100000001</v>
      </c>
      <c r="H234" s="18">
        <v>39047.42</v>
      </c>
      <c r="I234" s="18">
        <f>49131.07+3225.32</f>
        <v>52356.39</v>
      </c>
      <c r="J234" s="18">
        <v>18104.16</v>
      </c>
      <c r="K234" s="18">
        <v>964.88</v>
      </c>
      <c r="L234" s="13">
        <f>SUM(F234:K234)</f>
        <v>3758476.65</v>
      </c>
      <c r="M234" s="8"/>
      <c r="N234" s="165"/>
    </row>
    <row r="235" spans="1:14" s="3" customFormat="1" ht="12.2" customHeight="1" x14ac:dyDescent="0.15">
      <c r="A235" s="1" t="s">
        <v>439</v>
      </c>
      <c r="B235" s="2" t="s">
        <v>350</v>
      </c>
      <c r="C235" s="2" t="s">
        <v>291</v>
      </c>
      <c r="D235" s="2" t="s">
        <v>431</v>
      </c>
      <c r="E235" s="6">
        <v>1200</v>
      </c>
      <c r="F235" s="18">
        <v>775444.07</v>
      </c>
      <c r="G235" s="18">
        <v>392610.99</v>
      </c>
      <c r="H235" s="18">
        <v>984820.78</v>
      </c>
      <c r="I235" s="18">
        <v>6237.12</v>
      </c>
      <c r="J235" s="18">
        <v>1460.34</v>
      </c>
      <c r="K235" s="18">
        <v>385.92</v>
      </c>
      <c r="L235" s="13">
        <f>SUM(F235:K235)</f>
        <v>2160959.2199999997</v>
      </c>
      <c r="M235" s="8"/>
      <c r="N235" s="165"/>
    </row>
    <row r="236" spans="1:14" s="3" customFormat="1" ht="12.2" customHeight="1" x14ac:dyDescent="0.15">
      <c r="A236" s="1" t="s">
        <v>440</v>
      </c>
      <c r="B236" s="2" t="s">
        <v>350</v>
      </c>
      <c r="C236" s="2" t="s">
        <v>292</v>
      </c>
      <c r="D236" s="2" t="s">
        <v>431</v>
      </c>
      <c r="E236" s="6">
        <v>1300</v>
      </c>
      <c r="F236" s="18">
        <v>792417.3</v>
      </c>
      <c r="G236" s="18">
        <v>401204.62</v>
      </c>
      <c r="H236" s="18">
        <v>81843.64</v>
      </c>
      <c r="I236" s="18">
        <v>48187.37</v>
      </c>
      <c r="J236" s="18">
        <v>2942.47</v>
      </c>
      <c r="K236" s="18"/>
      <c r="L236" s="13">
        <f>SUM(F236:K236)</f>
        <v>1326595.3999999999</v>
      </c>
      <c r="M236" s="8"/>
      <c r="N236" s="165"/>
    </row>
    <row r="237" spans="1:14" s="3" customFormat="1" ht="12.2" customHeight="1" x14ac:dyDescent="0.15">
      <c r="A237" s="1" t="s">
        <v>441</v>
      </c>
      <c r="B237" s="2" t="s">
        <v>350</v>
      </c>
      <c r="C237" s="2" t="s">
        <v>293</v>
      </c>
      <c r="D237" s="2" t="s">
        <v>431</v>
      </c>
      <c r="E237" s="6">
        <v>1400</v>
      </c>
      <c r="F237" s="18">
        <v>179878.5</v>
      </c>
      <c r="G237" s="18">
        <v>91073.33</v>
      </c>
      <c r="H237" s="18">
        <v>61579.58</v>
      </c>
      <c r="I237" s="18">
        <v>29365.89</v>
      </c>
      <c r="J237" s="18"/>
      <c r="K237" s="18"/>
      <c r="L237" s="13">
        <f>SUM(F237:K237)</f>
        <v>361897.30000000005</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441261.55</v>
      </c>
      <c r="G239" s="18">
        <v>223412.81</v>
      </c>
      <c r="H239" s="18">
        <v>2813.4</v>
      </c>
      <c r="I239" s="18">
        <v>4843.08</v>
      </c>
      <c r="J239" s="18">
        <v>235</v>
      </c>
      <c r="K239" s="18"/>
      <c r="L239" s="13">
        <f t="shared" ref="L239:L245" si="4">SUM(F239:K239)</f>
        <v>672565.84</v>
      </c>
      <c r="M239" s="8"/>
      <c r="N239" s="165"/>
    </row>
    <row r="240" spans="1:14" s="3" customFormat="1" ht="12.2" customHeight="1" x14ac:dyDescent="0.15">
      <c r="A240" s="1" t="s">
        <v>443</v>
      </c>
      <c r="B240" s="2" t="s">
        <v>350</v>
      </c>
      <c r="C240" s="2" t="s">
        <v>295</v>
      </c>
      <c r="D240" s="2" t="s">
        <v>431</v>
      </c>
      <c r="E240" s="6">
        <v>2200</v>
      </c>
      <c r="F240" s="18">
        <f>86132.31+90211.04</f>
        <v>176343.34999999998</v>
      </c>
      <c r="G240" s="18">
        <f>25133.63+89283.47</f>
        <v>114417.1</v>
      </c>
      <c r="H240" s="18">
        <f>38155.04+6463.7+650+1592.6</f>
        <v>46861.34</v>
      </c>
      <c r="I240" s="18">
        <f>38972.94+40814.86+6453.88</f>
        <v>86241.680000000008</v>
      </c>
      <c r="J240" s="18">
        <f>62464.51+24663.9</f>
        <v>87128.41</v>
      </c>
      <c r="K240" s="18"/>
      <c r="L240" s="13">
        <f t="shared" si="4"/>
        <v>510991.87999999989</v>
      </c>
      <c r="M240" s="8"/>
      <c r="N240" s="165"/>
    </row>
    <row r="241" spans="1:14" s="3" customFormat="1" ht="12.2" customHeight="1" x14ac:dyDescent="0.15">
      <c r="A241" s="1" t="s">
        <v>444</v>
      </c>
      <c r="B241" s="2" t="s">
        <v>350</v>
      </c>
      <c r="C241" s="2" t="s">
        <v>296</v>
      </c>
      <c r="D241" s="2" t="s">
        <v>431</v>
      </c>
      <c r="E241" s="6">
        <v>2300</v>
      </c>
      <c r="F241" s="18">
        <f>21560.21+122990.6</f>
        <v>144550.81</v>
      </c>
      <c r="G241" s="18">
        <v>73186.759999999995</v>
      </c>
      <c r="H241" s="18">
        <v>51528.66</v>
      </c>
      <c r="I241" s="18">
        <v>3208.34</v>
      </c>
      <c r="J241" s="18"/>
      <c r="K241" s="18">
        <v>10735.54</v>
      </c>
      <c r="L241" s="13">
        <f t="shared" si="4"/>
        <v>283210.11</v>
      </c>
      <c r="M241" s="8"/>
      <c r="N241" s="165"/>
    </row>
    <row r="242" spans="1:14" s="3" customFormat="1" ht="12.2" customHeight="1" x14ac:dyDescent="0.15">
      <c r="A242" s="1" t="s">
        <v>445</v>
      </c>
      <c r="B242" s="2" t="s">
        <v>350</v>
      </c>
      <c r="C242" s="2" t="s">
        <v>297</v>
      </c>
      <c r="D242" s="2" t="s">
        <v>431</v>
      </c>
      <c r="E242" s="6">
        <v>2400</v>
      </c>
      <c r="F242" s="18">
        <v>657034.14</v>
      </c>
      <c r="G242" s="18">
        <v>332659.49</v>
      </c>
      <c r="H242" s="18">
        <v>18209.38</v>
      </c>
      <c r="I242" s="18">
        <v>3734.78</v>
      </c>
      <c r="J242" s="18"/>
      <c r="K242" s="18">
        <v>10119.709999999999</v>
      </c>
      <c r="L242" s="13">
        <f t="shared" si="4"/>
        <v>1021757.5</v>
      </c>
      <c r="M242" s="8"/>
      <c r="N242" s="165"/>
    </row>
    <row r="243" spans="1:14" s="3" customFormat="1" ht="12.2" customHeight="1" x14ac:dyDescent="0.15">
      <c r="A243" s="1" t="s">
        <v>446</v>
      </c>
      <c r="B243" s="2" t="s">
        <v>350</v>
      </c>
      <c r="C243" s="2" t="s">
        <v>298</v>
      </c>
      <c r="D243" s="2" t="s">
        <v>431</v>
      </c>
      <c r="E243" s="6">
        <v>2500</v>
      </c>
      <c r="F243" s="18">
        <v>89506.91</v>
      </c>
      <c r="G243" s="18">
        <v>45317.77</v>
      </c>
      <c r="H243" s="18">
        <v>4855.09</v>
      </c>
      <c r="I243" s="18">
        <v>55.03</v>
      </c>
      <c r="J243" s="18"/>
      <c r="K243" s="18"/>
      <c r="L243" s="13">
        <f t="shared" si="4"/>
        <v>139734.79999999999</v>
      </c>
      <c r="M243" s="8"/>
      <c r="N243" s="165"/>
    </row>
    <row r="244" spans="1:14" s="3" customFormat="1" ht="12.2" customHeight="1" x14ac:dyDescent="0.15">
      <c r="A244" s="1" t="s">
        <v>447</v>
      </c>
      <c r="B244" s="2" t="s">
        <v>350</v>
      </c>
      <c r="C244" s="2" t="s">
        <v>299</v>
      </c>
      <c r="D244" s="2" t="s">
        <v>431</v>
      </c>
      <c r="E244" s="6">
        <v>2600</v>
      </c>
      <c r="F244" s="18">
        <f>285987.43+32477.39</f>
        <v>318464.82</v>
      </c>
      <c r="G244" s="18">
        <v>161240.24</v>
      </c>
      <c r="H244" s="18">
        <f>386037.9+57472.76</f>
        <v>443510.66000000003</v>
      </c>
      <c r="I244" s="18">
        <f>9742.25+308842.88+5578.02</f>
        <v>324163.15000000002</v>
      </c>
      <c r="J244" s="18">
        <f>17161.05+727.53</f>
        <v>17888.579999999998</v>
      </c>
      <c r="K244" s="18"/>
      <c r="L244" s="13">
        <f t="shared" si="4"/>
        <v>1265267.4500000002</v>
      </c>
      <c r="M244" s="8"/>
      <c r="N244" s="165"/>
    </row>
    <row r="245" spans="1:14" s="3" customFormat="1" ht="12.2" customHeight="1" x14ac:dyDescent="0.15">
      <c r="A245" s="1" t="s">
        <v>448</v>
      </c>
      <c r="B245" s="2" t="s">
        <v>350</v>
      </c>
      <c r="C245" s="2" t="s">
        <v>300</v>
      </c>
      <c r="D245" s="2" t="s">
        <v>431</v>
      </c>
      <c r="E245" s="6">
        <v>2700</v>
      </c>
      <c r="F245" s="18">
        <v>0</v>
      </c>
      <c r="G245" s="18"/>
      <c r="H245" s="18">
        <v>306612.42</v>
      </c>
      <c r="I245" s="18"/>
      <c r="J245" s="18"/>
      <c r="K245" s="18"/>
      <c r="L245" s="13">
        <f t="shared" si="4"/>
        <v>306612.42</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6005506.1399999987</v>
      </c>
      <c r="G248" s="38">
        <f t="shared" si="5"/>
        <v>3052522.2199999997</v>
      </c>
      <c r="H248" s="38">
        <f t="shared" si="5"/>
        <v>2041682.37</v>
      </c>
      <c r="I248" s="38">
        <f t="shared" si="5"/>
        <v>558392.83000000007</v>
      </c>
      <c r="J248" s="38">
        <f t="shared" si="5"/>
        <v>127758.96</v>
      </c>
      <c r="K248" s="38">
        <f t="shared" si="5"/>
        <v>22206.05</v>
      </c>
      <c r="L248" s="38">
        <f t="shared" si="5"/>
        <v>11808068.569999998</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f>129444.92+68005.02+28294.82</f>
        <v>225744.76</v>
      </c>
      <c r="G252" s="18">
        <v>114295.64</v>
      </c>
      <c r="H252" s="18">
        <f>2651.66+1736.22</f>
        <v>4387.88</v>
      </c>
      <c r="I252" s="18">
        <v>56751.81</v>
      </c>
      <c r="J252" s="18"/>
      <c r="K252" s="18">
        <v>1671.3</v>
      </c>
      <c r="L252" s="13">
        <f t="shared" si="6"/>
        <v>402851.39</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v>40745.4</v>
      </c>
      <c r="K255" s="18"/>
      <c r="L255" s="13">
        <f t="shared" si="6"/>
        <v>40745.4</v>
      </c>
      <c r="M255" s="8"/>
      <c r="N255" s="165"/>
    </row>
    <row r="256" spans="1:14" s="3" customFormat="1" ht="12.2" customHeight="1" thickBot="1" x14ac:dyDescent="0.2">
      <c r="A256" s="1" t="s">
        <v>584</v>
      </c>
      <c r="B256" s="2" t="s">
        <v>352</v>
      </c>
      <c r="C256" s="6">
        <v>6</v>
      </c>
      <c r="D256" s="2" t="s">
        <v>431</v>
      </c>
      <c r="E256" s="6">
        <v>4000</v>
      </c>
      <c r="F256" s="18"/>
      <c r="G256" s="18"/>
      <c r="H256" s="18">
        <v>195394.95</v>
      </c>
      <c r="I256" s="18"/>
      <c r="J256" s="18"/>
      <c r="K256" s="18"/>
      <c r="L256" s="13">
        <f t="shared" si="6"/>
        <v>195394.95</v>
      </c>
      <c r="M256" s="8"/>
      <c r="N256" s="165"/>
    </row>
    <row r="257" spans="1:14" s="3" customFormat="1" ht="12.2" customHeight="1" thickTop="1" thickBot="1" x14ac:dyDescent="0.2">
      <c r="A257" s="35" t="s">
        <v>461</v>
      </c>
      <c r="B257" s="37">
        <v>10</v>
      </c>
      <c r="C257" s="37">
        <v>7</v>
      </c>
      <c r="D257" s="36" t="s">
        <v>431</v>
      </c>
      <c r="E257" s="37"/>
      <c r="F257" s="38">
        <f t="shared" ref="F257:K257" si="7">SUM(F251:F256)</f>
        <v>225744.76</v>
      </c>
      <c r="G257" s="38">
        <f t="shared" si="7"/>
        <v>114295.64</v>
      </c>
      <c r="H257" s="38">
        <f t="shared" si="7"/>
        <v>199782.83000000002</v>
      </c>
      <c r="I257" s="38">
        <f t="shared" si="7"/>
        <v>56751.81</v>
      </c>
      <c r="J257" s="38">
        <f t="shared" si="7"/>
        <v>40745.4</v>
      </c>
      <c r="K257" s="38">
        <f t="shared" si="7"/>
        <v>1671.3</v>
      </c>
      <c r="L257" s="38">
        <f>SUM(F257:K257)</f>
        <v>638991.74000000011</v>
      </c>
      <c r="M257" s="8"/>
      <c r="N257" s="165"/>
    </row>
    <row r="258" spans="1:14" s="3" customFormat="1" ht="12.2" customHeight="1" thickTop="1" x14ac:dyDescent="0.15">
      <c r="A258" s="35" t="s">
        <v>462</v>
      </c>
      <c r="B258" s="37">
        <v>10</v>
      </c>
      <c r="C258" s="37">
        <v>8</v>
      </c>
      <c r="D258" s="36" t="s">
        <v>431</v>
      </c>
      <c r="E258" s="37"/>
      <c r="F258" s="38">
        <f t="shared" ref="F258:L258" si="8">F212+F230+F248+F257</f>
        <v>17403745.489999998</v>
      </c>
      <c r="G258" s="38">
        <f t="shared" si="8"/>
        <v>9896305.8200000003</v>
      </c>
      <c r="H258" s="38">
        <f t="shared" si="8"/>
        <v>6089975.4500000002</v>
      </c>
      <c r="I258" s="38">
        <f t="shared" si="8"/>
        <v>1490730.0500000003</v>
      </c>
      <c r="J258" s="38">
        <f t="shared" si="8"/>
        <v>401926.19</v>
      </c>
      <c r="K258" s="38">
        <f t="shared" si="8"/>
        <v>48878.820000000007</v>
      </c>
      <c r="L258" s="38">
        <f t="shared" si="8"/>
        <v>35331561.82</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1375082.13</v>
      </c>
      <c r="L261" s="13">
        <f>SUM(F261:K261)</f>
        <v>1375082.13</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748430.58</v>
      </c>
      <c r="L262" s="13">
        <f>SUM(F262:K262)</f>
        <v>748430.58</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50267.88</v>
      </c>
      <c r="L264" s="13">
        <f>SUM(F264:K264)</f>
        <v>50267.88</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1000000</v>
      </c>
      <c r="L267" s="13">
        <f t="shared" si="9"/>
        <v>1000000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3173780.59</v>
      </c>
      <c r="L271" s="38">
        <f t="shared" si="9"/>
        <v>3173780.59</v>
      </c>
      <c r="M271" s="8"/>
      <c r="N271" s="165"/>
    </row>
    <row r="272" spans="1:14" s="33" customFormat="1" ht="12.2" customHeight="1" thickTop="1" x14ac:dyDescent="0.2">
      <c r="A272" s="40" t="s">
        <v>464</v>
      </c>
      <c r="B272" s="37">
        <v>10</v>
      </c>
      <c r="C272" s="37">
        <v>18</v>
      </c>
      <c r="D272" s="36" t="s">
        <v>431</v>
      </c>
      <c r="E272" s="37"/>
      <c r="F272" s="39">
        <f t="shared" ref="F272:L272" si="11">F258+F271</f>
        <v>17403745.489999998</v>
      </c>
      <c r="G272" s="39">
        <f t="shared" si="11"/>
        <v>9896305.8200000003</v>
      </c>
      <c r="H272" s="39">
        <f t="shared" si="11"/>
        <v>6089975.4500000002</v>
      </c>
      <c r="I272" s="39">
        <f t="shared" si="11"/>
        <v>1490730.0500000003</v>
      </c>
      <c r="J272" s="39">
        <f t="shared" si="11"/>
        <v>401926.19</v>
      </c>
      <c r="K272" s="39">
        <f t="shared" si="11"/>
        <v>3222659.4099999997</v>
      </c>
      <c r="L272" s="39">
        <f t="shared" si="11"/>
        <v>38505342.409999996</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1408581.63+18064.39</f>
        <v>1426646.0199999998</v>
      </c>
      <c r="G277" s="18">
        <v>496898.24</v>
      </c>
      <c r="H277" s="18">
        <v>32.200000000000003</v>
      </c>
      <c r="I277" s="18">
        <v>81232.38</v>
      </c>
      <c r="J277" s="18"/>
      <c r="K277" s="18">
        <v>0</v>
      </c>
      <c r="L277" s="13">
        <f>SUM(F277:K277)</f>
        <v>2004808.8399999999</v>
      </c>
      <c r="M277" s="8"/>
      <c r="N277" s="165"/>
    </row>
    <row r="278" spans="1:14" s="3" customFormat="1" ht="12.2" customHeight="1" x14ac:dyDescent="0.15">
      <c r="A278" s="1" t="s">
        <v>439</v>
      </c>
      <c r="B278" s="2" t="s">
        <v>357</v>
      </c>
      <c r="C278" s="2" t="s">
        <v>291</v>
      </c>
      <c r="D278" s="2" t="s">
        <v>431</v>
      </c>
      <c r="E278" s="6">
        <v>1200</v>
      </c>
      <c r="F278" s="18">
        <f>191147.09+28263.94</f>
        <v>219411.03</v>
      </c>
      <c r="G278" s="18">
        <v>38780.720000000001</v>
      </c>
      <c r="H278" s="18">
        <f>57848.38+1500</f>
        <v>59348.38</v>
      </c>
      <c r="I278" s="18">
        <f>720.36+5552.91</f>
        <v>6273.2699999999995</v>
      </c>
      <c r="J278" s="18">
        <f>1921.68+1368.74</f>
        <v>3290.42</v>
      </c>
      <c r="K278" s="18"/>
      <c r="L278" s="13">
        <f>SUM(F278:K278)</f>
        <v>327103.82</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v>2829</v>
      </c>
      <c r="J280" s="18"/>
      <c r="K280" s="18"/>
      <c r="L280" s="13">
        <f>SUM(F280:K280)</f>
        <v>2829</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110164.18</v>
      </c>
      <c r="G282" s="18">
        <v>39832.26</v>
      </c>
      <c r="H282" s="18">
        <f>16158.78+4600</f>
        <v>20758.78</v>
      </c>
      <c r="I282" s="18">
        <v>18355.84</v>
      </c>
      <c r="J282" s="18">
        <v>3427.64</v>
      </c>
      <c r="K282" s="18"/>
      <c r="L282" s="13">
        <f t="shared" ref="L282:L288" si="12">SUM(F282:K282)</f>
        <v>192538.7</v>
      </c>
      <c r="M282" s="8"/>
      <c r="N282" s="165"/>
    </row>
    <row r="283" spans="1:14" s="3" customFormat="1" ht="12.2" customHeight="1" x14ac:dyDescent="0.15">
      <c r="A283" s="1" t="s">
        <v>443</v>
      </c>
      <c r="B283" s="2" t="s">
        <v>357</v>
      </c>
      <c r="C283" s="2" t="s">
        <v>295</v>
      </c>
      <c r="D283" s="2" t="s">
        <v>431</v>
      </c>
      <c r="E283" s="6">
        <v>2200</v>
      </c>
      <c r="F283" s="18">
        <v>88192.91</v>
      </c>
      <c r="G283" s="18">
        <v>21165.54</v>
      </c>
      <c r="H283" s="18">
        <v>93502.23</v>
      </c>
      <c r="I283" s="18">
        <v>37235.550000000003</v>
      </c>
      <c r="J283" s="18">
        <v>182248.35</v>
      </c>
      <c r="K283" s="18">
        <v>2691</v>
      </c>
      <c r="L283" s="13">
        <f t="shared" si="12"/>
        <v>425035.57999999996</v>
      </c>
      <c r="M283" s="8"/>
      <c r="N283" s="165"/>
    </row>
    <row r="284" spans="1:14" s="3" customFormat="1" ht="12.2" customHeight="1" x14ac:dyDescent="0.15">
      <c r="A284" s="1" t="s">
        <v>444</v>
      </c>
      <c r="B284" s="2" t="s">
        <v>357</v>
      </c>
      <c r="C284" s="2" t="s">
        <v>296</v>
      </c>
      <c r="D284" s="2" t="s">
        <v>431</v>
      </c>
      <c r="E284" s="6">
        <v>2300</v>
      </c>
      <c r="F284" s="18">
        <v>32563.52</v>
      </c>
      <c r="G284" s="18"/>
      <c r="H284" s="18">
        <v>25374.52</v>
      </c>
      <c r="I284" s="18"/>
      <c r="J284" s="18"/>
      <c r="K284" s="18"/>
      <c r="L284" s="13">
        <f t="shared" si="12"/>
        <v>57938.04</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v>102597.98</v>
      </c>
      <c r="K287" s="18"/>
      <c r="L287" s="13">
        <f t="shared" si="12"/>
        <v>102597.98</v>
      </c>
      <c r="M287" s="8"/>
      <c r="N287" s="165"/>
    </row>
    <row r="288" spans="1:14" s="3" customFormat="1" ht="12.2" customHeight="1" x14ac:dyDescent="0.15">
      <c r="A288" s="1" t="s">
        <v>448</v>
      </c>
      <c r="B288" s="2" t="s">
        <v>357</v>
      </c>
      <c r="C288" s="2" t="s">
        <v>300</v>
      </c>
      <c r="D288" s="2" t="s">
        <v>431</v>
      </c>
      <c r="E288" s="6">
        <v>2700</v>
      </c>
      <c r="F288" s="18">
        <v>0</v>
      </c>
      <c r="G288" s="18"/>
      <c r="H288" s="18">
        <v>30250.77</v>
      </c>
      <c r="I288" s="18"/>
      <c r="J288" s="18"/>
      <c r="K288" s="18"/>
      <c r="L288" s="13">
        <f t="shared" si="12"/>
        <v>30250.77</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1876977.6599999997</v>
      </c>
      <c r="G291" s="39">
        <f t="shared" si="13"/>
        <v>596676.76</v>
      </c>
      <c r="H291" s="39">
        <f t="shared" si="13"/>
        <v>229266.87999999995</v>
      </c>
      <c r="I291" s="39">
        <f t="shared" si="13"/>
        <v>145926.04</v>
      </c>
      <c r="J291" s="39">
        <f t="shared" si="13"/>
        <v>291564.39</v>
      </c>
      <c r="K291" s="39">
        <f t="shared" si="13"/>
        <v>2691</v>
      </c>
      <c r="L291" s="38">
        <f t="shared" si="13"/>
        <v>3143102.73</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f>353311.24+21739.53+8639.49</f>
        <v>383690.26</v>
      </c>
      <c r="G296" s="18">
        <f>5728.8+113757.78</f>
        <v>119486.58</v>
      </c>
      <c r="H296" s="18">
        <f>15065.4+2200</f>
        <v>17265.400000000001</v>
      </c>
      <c r="I296" s="18">
        <f>628.03+23339.23</f>
        <v>23967.26</v>
      </c>
      <c r="J296" s="18"/>
      <c r="K296" s="18">
        <v>0</v>
      </c>
      <c r="L296" s="13">
        <f>SUM(F296:K296)</f>
        <v>544409.5</v>
      </c>
      <c r="M296" s="8"/>
      <c r="N296" s="165"/>
    </row>
    <row r="297" spans="1:14" s="3" customFormat="1" ht="12.2" customHeight="1" x14ac:dyDescent="0.15">
      <c r="A297" s="1" t="s">
        <v>439</v>
      </c>
      <c r="B297" s="2" t="s">
        <v>358</v>
      </c>
      <c r="C297" s="2" t="s">
        <v>291</v>
      </c>
      <c r="D297" s="2" t="s">
        <v>431</v>
      </c>
      <c r="E297" s="6">
        <v>1200</v>
      </c>
      <c r="F297" s="18">
        <f>13517.54+19356.9</f>
        <v>32874.44</v>
      </c>
      <c r="G297" s="18">
        <f>8028.69</f>
        <v>8028.69</v>
      </c>
      <c r="H297" s="18">
        <v>27666.62</v>
      </c>
      <c r="I297" s="18">
        <v>2655.74</v>
      </c>
      <c r="J297" s="18">
        <v>919.07</v>
      </c>
      <c r="K297" s="18"/>
      <c r="L297" s="13">
        <f>SUM(F297:K297)</f>
        <v>72144.560000000012</v>
      </c>
      <c r="M297" s="8"/>
      <c r="N297" s="165"/>
    </row>
    <row r="298" spans="1:14" s="3" customFormat="1" ht="12.2" customHeight="1" x14ac:dyDescent="0.15">
      <c r="A298" s="1" t="s">
        <v>440</v>
      </c>
      <c r="B298" s="2" t="s">
        <v>358</v>
      </c>
      <c r="C298" s="2" t="s">
        <v>292</v>
      </c>
      <c r="D298" s="2" t="s">
        <v>431</v>
      </c>
      <c r="E298" s="6">
        <v>1300</v>
      </c>
      <c r="F298" s="18">
        <v>0</v>
      </c>
      <c r="G298" s="18"/>
      <c r="H298" s="18">
        <v>0</v>
      </c>
      <c r="I298" s="18">
        <v>0</v>
      </c>
      <c r="J298" s="18">
        <v>0</v>
      </c>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v>1353</v>
      </c>
      <c r="J299" s="18"/>
      <c r="K299" s="18"/>
      <c r="L299" s="13">
        <f>SUM(F299:K299)</f>
        <v>1353</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52687.22</v>
      </c>
      <c r="G301" s="18">
        <v>19050.21</v>
      </c>
      <c r="H301" s="18">
        <v>7728.11</v>
      </c>
      <c r="I301" s="18">
        <v>8778.8799999999992</v>
      </c>
      <c r="J301" s="18">
        <v>1639.31</v>
      </c>
      <c r="K301" s="18"/>
      <c r="L301" s="13">
        <f t="shared" ref="L301:L307" si="14">SUM(F301:K301)</f>
        <v>89883.73</v>
      </c>
      <c r="M301" s="8"/>
      <c r="N301" s="165"/>
    </row>
    <row r="302" spans="1:14" s="3" customFormat="1" ht="12.2" customHeight="1" x14ac:dyDescent="0.15">
      <c r="A302" s="1" t="s">
        <v>443</v>
      </c>
      <c r="B302" s="2" t="s">
        <v>358</v>
      </c>
      <c r="C302" s="2" t="s">
        <v>295</v>
      </c>
      <c r="D302" s="2" t="s">
        <v>431</v>
      </c>
      <c r="E302" s="6">
        <v>2200</v>
      </c>
      <c r="F302" s="18">
        <v>40983.56</v>
      </c>
      <c r="G302" s="18">
        <v>10045.82</v>
      </c>
      <c r="H302" s="18">
        <v>44718.46</v>
      </c>
      <c r="I302" s="18">
        <v>7419.6</v>
      </c>
      <c r="J302" s="18">
        <v>101766.15</v>
      </c>
      <c r="K302" s="18">
        <v>1287</v>
      </c>
      <c r="L302" s="13">
        <f t="shared" si="14"/>
        <v>206220.59</v>
      </c>
      <c r="M302" s="8"/>
      <c r="N302" s="165"/>
    </row>
    <row r="303" spans="1:14" s="3" customFormat="1" ht="12.2" customHeight="1" x14ac:dyDescent="0.15">
      <c r="A303" s="1" t="s">
        <v>444</v>
      </c>
      <c r="B303" s="2" t="s">
        <v>358</v>
      </c>
      <c r="C303" s="2" t="s">
        <v>296</v>
      </c>
      <c r="D303" s="2" t="s">
        <v>431</v>
      </c>
      <c r="E303" s="6">
        <v>2300</v>
      </c>
      <c r="F303" s="18">
        <v>15573.86</v>
      </c>
      <c r="G303" s="18"/>
      <c r="H303" s="18">
        <v>12135.64</v>
      </c>
      <c r="I303" s="18"/>
      <c r="J303" s="18"/>
      <c r="K303" s="18"/>
      <c r="L303" s="13">
        <f t="shared" si="14"/>
        <v>27709.5</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v>7590</v>
      </c>
      <c r="K306" s="18"/>
      <c r="L306" s="13">
        <f t="shared" si="14"/>
        <v>7590</v>
      </c>
      <c r="M306" s="8"/>
      <c r="N306" s="165"/>
    </row>
    <row r="307" spans="1:14" s="3" customFormat="1" ht="12.2" customHeight="1" x14ac:dyDescent="0.15">
      <c r="A307" s="1" t="s">
        <v>448</v>
      </c>
      <c r="B307" s="2" t="s">
        <v>358</v>
      </c>
      <c r="C307" s="2" t="s">
        <v>300</v>
      </c>
      <c r="D307" s="2" t="s">
        <v>431</v>
      </c>
      <c r="E307" s="6">
        <v>2700</v>
      </c>
      <c r="F307" s="18">
        <v>0</v>
      </c>
      <c r="G307" s="18"/>
      <c r="H307" s="18">
        <v>14467.76</v>
      </c>
      <c r="I307" s="18"/>
      <c r="J307" s="18"/>
      <c r="K307" s="18"/>
      <c r="L307" s="13">
        <f t="shared" si="14"/>
        <v>14467.76</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525809.34000000008</v>
      </c>
      <c r="G310" s="39">
        <f t="shared" si="15"/>
        <v>156611.30000000002</v>
      </c>
      <c r="H310" s="39">
        <f t="shared" si="15"/>
        <v>123981.98999999999</v>
      </c>
      <c r="I310" s="39">
        <f t="shared" si="15"/>
        <v>44174.479999999996</v>
      </c>
      <c r="J310" s="39">
        <f t="shared" si="15"/>
        <v>111914.53</v>
      </c>
      <c r="K310" s="39">
        <f t="shared" si="15"/>
        <v>1287</v>
      </c>
      <c r="L310" s="38">
        <f t="shared" si="15"/>
        <v>963778.64</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f>42236.45+513907.26+12566.53</f>
        <v>568710.24</v>
      </c>
      <c r="G315" s="18">
        <f>165465.87</f>
        <v>165465.87</v>
      </c>
      <c r="H315" s="18">
        <v>9076.73</v>
      </c>
      <c r="I315" s="18">
        <f>2691.46+33947.96</f>
        <v>36639.42</v>
      </c>
      <c r="J315" s="18"/>
      <c r="K315" s="18">
        <v>0</v>
      </c>
      <c r="L315" s="13">
        <f>SUM(F315:K315)</f>
        <v>779892.26</v>
      </c>
      <c r="M315" s="8"/>
      <c r="N315" s="165"/>
    </row>
    <row r="316" spans="1:14" s="3" customFormat="1" ht="12.2" customHeight="1" x14ac:dyDescent="0.15">
      <c r="A316" s="1" t="s">
        <v>439</v>
      </c>
      <c r="B316" s="2" t="s">
        <v>359</v>
      </c>
      <c r="C316" s="2" t="s">
        <v>291</v>
      </c>
      <c r="D316" s="2" t="s">
        <v>431</v>
      </c>
      <c r="E316" s="6">
        <v>1200</v>
      </c>
      <c r="F316" s="18">
        <f>19661.87+205569.7</f>
        <v>225231.57</v>
      </c>
      <c r="G316" s="18">
        <f>105847.94</f>
        <v>105847.94</v>
      </c>
      <c r="H316" s="18">
        <v>40242.35</v>
      </c>
      <c r="I316" s="18">
        <f>1100+3862.9</f>
        <v>4962.8999999999996</v>
      </c>
      <c r="J316" s="18">
        <v>1336.82</v>
      </c>
      <c r="K316" s="18"/>
      <c r="L316" s="13">
        <f>SUM(F316:K316)</f>
        <v>377621.58</v>
      </c>
      <c r="M316" s="8"/>
      <c r="N316" s="165"/>
    </row>
    <row r="317" spans="1:14" s="3" customFormat="1" ht="12.2" customHeight="1" x14ac:dyDescent="0.15">
      <c r="A317" s="1" t="s">
        <v>440</v>
      </c>
      <c r="B317" s="2" t="s">
        <v>359</v>
      </c>
      <c r="C317" s="2" t="s">
        <v>292</v>
      </c>
      <c r="D317" s="2" t="s">
        <v>431</v>
      </c>
      <c r="E317" s="6">
        <v>1300</v>
      </c>
      <c r="F317" s="18">
        <v>101533.98</v>
      </c>
      <c r="G317" s="18"/>
      <c r="H317" s="18">
        <v>19129.419999999998</v>
      </c>
      <c r="I317" s="18">
        <v>31722.240000000002</v>
      </c>
      <c r="J317" s="18">
        <v>93656.83</v>
      </c>
      <c r="K317" s="18"/>
      <c r="L317" s="13">
        <f>SUM(F317:K317)</f>
        <v>246042.46999999997</v>
      </c>
      <c r="M317" s="8"/>
      <c r="N317" s="165"/>
    </row>
    <row r="318" spans="1:14" s="3" customFormat="1" ht="12.2" customHeight="1" x14ac:dyDescent="0.15">
      <c r="A318" s="1" t="s">
        <v>441</v>
      </c>
      <c r="B318" s="2" t="s">
        <v>359</v>
      </c>
      <c r="C318" s="2" t="s">
        <v>293</v>
      </c>
      <c r="D318" s="2" t="s">
        <v>431</v>
      </c>
      <c r="E318" s="6">
        <v>1400</v>
      </c>
      <c r="F318" s="18"/>
      <c r="G318" s="18"/>
      <c r="H318" s="18"/>
      <c r="I318" s="18">
        <f>1968+3600</f>
        <v>5568</v>
      </c>
      <c r="J318" s="18"/>
      <c r="K318" s="18"/>
      <c r="L318" s="13">
        <f>SUM(F318:K318)</f>
        <v>5568</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f>76635.95+7210</f>
        <v>83845.95</v>
      </c>
      <c r="G320" s="18">
        <v>27709.4</v>
      </c>
      <c r="H320" s="18">
        <f>11240.89+3200</f>
        <v>14440.89</v>
      </c>
      <c r="I320" s="18">
        <v>12769.28</v>
      </c>
      <c r="J320" s="18">
        <v>2384.4499999999998</v>
      </c>
      <c r="K320" s="18"/>
      <c r="L320" s="13">
        <f t="shared" ref="L320:L326" si="16">SUM(F320:K320)</f>
        <v>141149.97000000003</v>
      </c>
      <c r="M320" s="8"/>
      <c r="N320" s="165"/>
    </row>
    <row r="321" spans="1:14" s="3" customFormat="1" ht="12.2" customHeight="1" x14ac:dyDescent="0.15">
      <c r="A321" s="1" t="s">
        <v>443</v>
      </c>
      <c r="B321" s="2" t="s">
        <v>359</v>
      </c>
      <c r="C321" s="2" t="s">
        <v>295</v>
      </c>
      <c r="D321" s="2" t="s">
        <v>431</v>
      </c>
      <c r="E321" s="6">
        <v>2200</v>
      </c>
      <c r="F321" s="18">
        <v>59612.46</v>
      </c>
      <c r="G321" s="18">
        <v>14612.1</v>
      </c>
      <c r="H321" s="18">
        <v>65045.03</v>
      </c>
      <c r="I321" s="18">
        <v>38631.599999999999</v>
      </c>
      <c r="J321" s="18">
        <v>126781.46</v>
      </c>
      <c r="K321" s="18">
        <v>1872</v>
      </c>
      <c r="L321" s="13">
        <f t="shared" si="16"/>
        <v>306554.65000000002</v>
      </c>
      <c r="M321" s="8"/>
      <c r="N321" s="165"/>
    </row>
    <row r="322" spans="1:14" s="3" customFormat="1" ht="12.2" customHeight="1" x14ac:dyDescent="0.15">
      <c r="A322" s="1" t="s">
        <v>444</v>
      </c>
      <c r="B322" s="2" t="s">
        <v>359</v>
      </c>
      <c r="C322" s="2" t="s">
        <v>296</v>
      </c>
      <c r="D322" s="2" t="s">
        <v>431</v>
      </c>
      <c r="E322" s="6">
        <v>2300</v>
      </c>
      <c r="F322" s="18">
        <v>22652.880000000001</v>
      </c>
      <c r="G322" s="18"/>
      <c r="H322" s="18">
        <v>17651.84</v>
      </c>
      <c r="I322" s="18"/>
      <c r="J322" s="18"/>
      <c r="K322" s="18"/>
      <c r="L322" s="13">
        <f t="shared" si="16"/>
        <v>40304.720000000001</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f>50000+11040</f>
        <v>61040</v>
      </c>
      <c r="K325" s="18"/>
      <c r="L325" s="13">
        <f t="shared" si="16"/>
        <v>61040</v>
      </c>
      <c r="M325" s="8"/>
      <c r="N325" s="165"/>
    </row>
    <row r="326" spans="1:14" s="3" customFormat="1" ht="12.2" customHeight="1" x14ac:dyDescent="0.15">
      <c r="A326" s="1" t="s">
        <v>448</v>
      </c>
      <c r="B326" s="2" t="s">
        <v>359</v>
      </c>
      <c r="C326" s="2" t="s">
        <v>300</v>
      </c>
      <c r="D326" s="2" t="s">
        <v>431</v>
      </c>
      <c r="E326" s="6">
        <v>2700</v>
      </c>
      <c r="F326" s="18">
        <v>0</v>
      </c>
      <c r="G326" s="18"/>
      <c r="H326" s="18">
        <v>21044.02</v>
      </c>
      <c r="I326" s="18"/>
      <c r="J326" s="18"/>
      <c r="K326" s="18"/>
      <c r="L326" s="13">
        <f t="shared" si="16"/>
        <v>21044.02</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1061587.0799999998</v>
      </c>
      <c r="G329" s="39">
        <f t="shared" si="17"/>
        <v>313635.31</v>
      </c>
      <c r="H329" s="39">
        <f t="shared" si="17"/>
        <v>186630.27999999997</v>
      </c>
      <c r="I329" s="39">
        <f t="shared" si="17"/>
        <v>130293.44</v>
      </c>
      <c r="J329" s="39">
        <f t="shared" si="17"/>
        <v>285199.56</v>
      </c>
      <c r="K329" s="39">
        <f t="shared" si="17"/>
        <v>1872</v>
      </c>
      <c r="L329" s="38">
        <f t="shared" si="17"/>
        <v>1979217.6700000002</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v>59128.75</v>
      </c>
      <c r="G333" s="18">
        <v>3867.81</v>
      </c>
      <c r="H333" s="18">
        <v>12834.49</v>
      </c>
      <c r="I333" s="18">
        <v>8303.4699999999993</v>
      </c>
      <c r="J333" s="18"/>
      <c r="K333" s="18">
        <v>9129.24</v>
      </c>
      <c r="L333" s="13">
        <f t="shared" ref="L333:L338" si="18">SUM(F333:K333)</f>
        <v>93263.760000000009</v>
      </c>
      <c r="M333" s="8"/>
      <c r="N333" s="165"/>
    </row>
    <row r="334" spans="1:14" s="3" customFormat="1" ht="12.2" customHeight="1" x14ac:dyDescent="0.15">
      <c r="A334" s="1" t="s">
        <v>353</v>
      </c>
      <c r="B334" s="6">
        <v>14</v>
      </c>
      <c r="C334" s="2" t="s">
        <v>309</v>
      </c>
      <c r="D334" s="2" t="s">
        <v>431</v>
      </c>
      <c r="E334" s="6">
        <v>1600</v>
      </c>
      <c r="F334" s="18">
        <v>73076.72</v>
      </c>
      <c r="G334" s="18">
        <v>6895.08</v>
      </c>
      <c r="H334" s="18">
        <v>7363.26</v>
      </c>
      <c r="I334" s="18">
        <v>3127.98</v>
      </c>
      <c r="J334" s="18"/>
      <c r="K334" s="18">
        <v>165</v>
      </c>
      <c r="L334" s="13">
        <f t="shared" si="18"/>
        <v>90628.04</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v>473750.42</v>
      </c>
      <c r="I337" s="18"/>
      <c r="J337" s="18"/>
      <c r="K337" s="18"/>
      <c r="L337" s="13">
        <f t="shared" si="18"/>
        <v>473750.42</v>
      </c>
      <c r="M337" s="8"/>
      <c r="N337" s="165"/>
    </row>
    <row r="338" spans="1:43" s="3" customFormat="1" ht="12.2" customHeight="1" thickTop="1" thickBot="1" x14ac:dyDescent="0.2">
      <c r="A338" s="46" t="s">
        <v>467</v>
      </c>
      <c r="B338" s="37">
        <v>14</v>
      </c>
      <c r="C338" s="47">
        <v>6</v>
      </c>
      <c r="D338" s="44" t="s">
        <v>431</v>
      </c>
      <c r="E338" s="47"/>
      <c r="F338" s="38">
        <f t="shared" ref="F338:K338" si="19">SUM(F333:F337)</f>
        <v>132205.47</v>
      </c>
      <c r="G338" s="38">
        <f t="shared" si="19"/>
        <v>10762.89</v>
      </c>
      <c r="H338" s="38">
        <f t="shared" si="19"/>
        <v>493948.17</v>
      </c>
      <c r="I338" s="38">
        <f t="shared" si="19"/>
        <v>11431.449999999999</v>
      </c>
      <c r="J338" s="38">
        <f t="shared" si="19"/>
        <v>0</v>
      </c>
      <c r="K338" s="38">
        <f t="shared" si="19"/>
        <v>9294.24</v>
      </c>
      <c r="L338" s="38">
        <f t="shared" si="18"/>
        <v>657642.22</v>
      </c>
      <c r="M338" s="8"/>
      <c r="N338" s="165"/>
    </row>
    <row r="339" spans="1:43" s="3" customFormat="1" ht="12.2" customHeight="1" thickTop="1" x14ac:dyDescent="0.15">
      <c r="A339" s="35" t="s">
        <v>468</v>
      </c>
      <c r="B339" s="37">
        <v>14</v>
      </c>
      <c r="C339" s="37">
        <v>7</v>
      </c>
      <c r="D339" s="36" t="s">
        <v>431</v>
      </c>
      <c r="E339" s="37"/>
      <c r="F339" s="38">
        <f t="shared" ref="F339:L339" si="20">F291+F310+F329+F338</f>
        <v>3596579.5500000003</v>
      </c>
      <c r="G339" s="38">
        <f t="shared" si="20"/>
        <v>1077686.26</v>
      </c>
      <c r="H339" s="38">
        <f t="shared" si="20"/>
        <v>1033827.3199999998</v>
      </c>
      <c r="I339" s="38">
        <f t="shared" si="20"/>
        <v>331825.41000000003</v>
      </c>
      <c r="J339" s="38">
        <f t="shared" si="20"/>
        <v>688678.48</v>
      </c>
      <c r="K339" s="38">
        <f t="shared" si="20"/>
        <v>15144.24</v>
      </c>
      <c r="L339" s="38">
        <f t="shared" si="20"/>
        <v>6743741.2599999998</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3596579.5500000003</v>
      </c>
      <c r="G353" s="38">
        <f>G339</f>
        <v>1077686.26</v>
      </c>
      <c r="H353" s="38">
        <f>H339</f>
        <v>1033827.3199999998</v>
      </c>
      <c r="I353" s="38">
        <f>I339</f>
        <v>331825.41000000003</v>
      </c>
      <c r="J353" s="38">
        <f>J339</f>
        <v>688678.48</v>
      </c>
      <c r="K353" s="38">
        <f>K339+K352</f>
        <v>15144.24</v>
      </c>
      <c r="L353" s="38">
        <f>L339+L352</f>
        <v>6743741.2599999998</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238481.07040000003</v>
      </c>
      <c r="G359" s="18">
        <v>36270.03</v>
      </c>
      <c r="H359" s="18">
        <v>14427.262799999999</v>
      </c>
      <c r="I359" s="18">
        <v>327065.95000000007</v>
      </c>
      <c r="J359" s="18">
        <v>11059.23</v>
      </c>
      <c r="K359" s="18"/>
      <c r="L359" s="13">
        <f>SUM(F359:K359)</f>
        <v>627303.54320000007</v>
      </c>
      <c r="M359" s="8"/>
      <c r="N359" s="165"/>
    </row>
    <row r="360" spans="1:22" s="3" customFormat="1" ht="12.2" customHeight="1" x14ac:dyDescent="0.15">
      <c r="A360" s="1" t="s">
        <v>542</v>
      </c>
      <c r="B360" s="2" t="s">
        <v>366</v>
      </c>
      <c r="C360" s="6">
        <v>2</v>
      </c>
      <c r="D360" s="2" t="s">
        <v>431</v>
      </c>
      <c r="E360" s="6"/>
      <c r="F360" s="18">
        <v>160005.44280000002</v>
      </c>
      <c r="G360" s="18">
        <v>17868.099999999999</v>
      </c>
      <c r="H360" s="18">
        <v>6146.8696</v>
      </c>
      <c r="I360" s="18">
        <v>160943.67000000001</v>
      </c>
      <c r="J360" s="18">
        <v>3030.19</v>
      </c>
      <c r="K360" s="18"/>
      <c r="L360" s="13">
        <f>SUM(F360:K360)</f>
        <v>347994.27240000007</v>
      </c>
      <c r="M360" s="8"/>
      <c r="N360" s="165"/>
    </row>
    <row r="361" spans="1:22" s="3" customFormat="1" ht="12.2" customHeight="1" x14ac:dyDescent="0.15">
      <c r="A361" s="3" t="s">
        <v>543</v>
      </c>
      <c r="B361" s="2" t="s">
        <v>366</v>
      </c>
      <c r="C361" s="6">
        <v>3</v>
      </c>
      <c r="D361" s="2" t="s">
        <v>431</v>
      </c>
      <c r="E361" s="6"/>
      <c r="F361" s="18">
        <v>160318.63680000001</v>
      </c>
      <c r="G361" s="18">
        <v>30248.45</v>
      </c>
      <c r="H361" s="18">
        <v>5292.8976000000002</v>
      </c>
      <c r="I361" s="18">
        <v>208351.08000000002</v>
      </c>
      <c r="J361" s="18">
        <v>858.77</v>
      </c>
      <c r="K361" s="18"/>
      <c r="L361" s="13">
        <f>SUM(F361:K361)</f>
        <v>405069.83440000005</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v>0</v>
      </c>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558805.15</v>
      </c>
      <c r="G363" s="38">
        <f t="shared" si="22"/>
        <v>84386.58</v>
      </c>
      <c r="H363" s="38">
        <f t="shared" si="22"/>
        <v>25867.03</v>
      </c>
      <c r="I363" s="38">
        <f t="shared" si="22"/>
        <v>696360.70000000019</v>
      </c>
      <c r="J363" s="38">
        <f t="shared" si="22"/>
        <v>14948.19</v>
      </c>
      <c r="K363" s="38">
        <f t="shared" si="22"/>
        <v>0</v>
      </c>
      <c r="L363" s="38">
        <f t="shared" si="22"/>
        <v>1380367.6500000001</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327065.95</v>
      </c>
      <c r="G368" s="18">
        <v>160943.67000000001</v>
      </c>
      <c r="H368" s="18">
        <v>208351.08</v>
      </c>
      <c r="I368" s="13">
        <f>SUM(F368:H368)</f>
        <v>696360.7</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327065.95</v>
      </c>
      <c r="G370" s="38">
        <f>SUM(G368:G369)</f>
        <v>160943.67000000001</v>
      </c>
      <c r="H370" s="38">
        <f>SUM(H368:H369)</f>
        <v>208351.08</v>
      </c>
      <c r="I370" s="38">
        <f>SUM(I368:I369)</f>
        <v>696360.7</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800000</v>
      </c>
      <c r="H397" s="18"/>
      <c r="I397" s="18"/>
      <c r="J397" s="23" t="s">
        <v>288</v>
      </c>
      <c r="K397" s="23" t="s">
        <v>288</v>
      </c>
      <c r="L397" s="13">
        <f t="shared" si="26"/>
        <v>800000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v>200000</v>
      </c>
      <c r="H401" s="18"/>
      <c r="I401" s="18"/>
      <c r="J401" s="23" t="s">
        <v>288</v>
      </c>
      <c r="K401" s="23" t="s">
        <v>288</v>
      </c>
      <c r="L401" s="13">
        <f t="shared" si="26"/>
        <v>200000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1000000</v>
      </c>
      <c r="H402" s="38">
        <f>SUM(H396:H401)</f>
        <v>0</v>
      </c>
      <c r="I402" s="38">
        <f>SUM(I396:I401)</f>
        <v>0</v>
      </c>
      <c r="J402" s="42" t="s">
        <v>288</v>
      </c>
      <c r="K402" s="42" t="s">
        <v>288</v>
      </c>
      <c r="L402" s="38">
        <f>SUM(L396:L401)</f>
        <v>1000000</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1000000</v>
      </c>
      <c r="H409" s="38">
        <f>H394+H402+H408</f>
        <v>0</v>
      </c>
      <c r="I409" s="38">
        <f>I394+I402+I408</f>
        <v>0</v>
      </c>
      <c r="J409" s="23" t="s">
        <v>288</v>
      </c>
      <c r="K409" s="23" t="s">
        <v>288</v>
      </c>
      <c r="L409" s="38">
        <f>L394+L402+L408</f>
        <v>1000000</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v>800000</v>
      </c>
      <c r="G423" s="18"/>
      <c r="H423" s="18"/>
      <c r="I423" s="18"/>
      <c r="J423" s="18"/>
      <c r="K423" s="18"/>
      <c r="L423" s="13">
        <f t="shared" si="29"/>
        <v>800000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v>200000</v>
      </c>
      <c r="G427" s="18"/>
      <c r="H427" s="18"/>
      <c r="I427" s="18"/>
      <c r="J427" s="18"/>
      <c r="K427" s="18"/>
      <c r="L427" s="13">
        <f t="shared" si="29"/>
        <v>200000</v>
      </c>
      <c r="M427" s="8"/>
      <c r="N427" s="165"/>
    </row>
    <row r="428" spans="1:21" s="11" customFormat="1" ht="12.2" customHeight="1" thickTop="1" x14ac:dyDescent="0.15">
      <c r="A428" s="116" t="s">
        <v>470</v>
      </c>
      <c r="B428" s="6">
        <v>17</v>
      </c>
      <c r="C428" s="6">
        <v>14</v>
      </c>
      <c r="D428" s="2" t="s">
        <v>432</v>
      </c>
      <c r="E428" s="37">
        <v>5252</v>
      </c>
      <c r="F428" s="38">
        <f t="shared" ref="F428:L428" si="30">SUM(F422:F427)</f>
        <v>1000000</v>
      </c>
      <c r="G428" s="38">
        <f t="shared" si="30"/>
        <v>0</v>
      </c>
      <c r="H428" s="38">
        <f t="shared" si="30"/>
        <v>0</v>
      </c>
      <c r="I428" s="38">
        <f t="shared" si="30"/>
        <v>0</v>
      </c>
      <c r="J428" s="38">
        <f t="shared" si="30"/>
        <v>0</v>
      </c>
      <c r="K428" s="38">
        <f t="shared" si="30"/>
        <v>0</v>
      </c>
      <c r="L428" s="38">
        <f t="shared" si="30"/>
        <v>1000000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1000000</v>
      </c>
      <c r="G435" s="38">
        <f t="shared" si="32"/>
        <v>0</v>
      </c>
      <c r="H435" s="38">
        <f t="shared" si="32"/>
        <v>0</v>
      </c>
      <c r="I435" s="38">
        <f t="shared" si="32"/>
        <v>0</v>
      </c>
      <c r="J435" s="38">
        <f t="shared" si="32"/>
        <v>0</v>
      </c>
      <c r="K435" s="38">
        <f t="shared" si="32"/>
        <v>0</v>
      </c>
      <c r="L435" s="38">
        <f t="shared" si="32"/>
        <v>1000000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0</v>
      </c>
      <c r="H447" s="13">
        <f>SUM(H440:H446)</f>
        <v>0</v>
      </c>
      <c r="I447" s="13">
        <f>SUM(I440:I446)</f>
        <v>0</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0</v>
      </c>
      <c r="H461" s="65">
        <f>SUM(H455:H460)</f>
        <v>0</v>
      </c>
      <c r="I461" s="65">
        <f>SUM(I455:I460)</f>
        <v>0</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0</v>
      </c>
      <c r="H462" s="39">
        <f>H453+H461</f>
        <v>0</v>
      </c>
      <c r="I462" s="39">
        <f>I453+I461</f>
        <v>0</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c r="G466" s="18"/>
      <c r="H466" s="18"/>
      <c r="I466" s="18"/>
      <c r="J466" s="18"/>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38505342.409999996</v>
      </c>
      <c r="G469" s="18">
        <v>1380367.65</v>
      </c>
      <c r="H469" s="18">
        <v>6743741.2599999998</v>
      </c>
      <c r="I469" s="18"/>
      <c r="J469" s="18">
        <v>1000000</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38505342.409999996</v>
      </c>
      <c r="G471" s="19">
        <f>SUM(G469:G470)</f>
        <v>1380367.65</v>
      </c>
      <c r="H471" s="19">
        <f>SUM(H469:H470)</f>
        <v>6743741.2599999998</v>
      </c>
      <c r="I471" s="19">
        <f>SUM(I469:I470)</f>
        <v>0</v>
      </c>
      <c r="J471" s="19">
        <f>SUM(J469:J470)</f>
        <v>1000000</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38505342.409999996</v>
      </c>
      <c r="G473" s="18">
        <v>1380367.65</v>
      </c>
      <c r="H473" s="18">
        <v>6743741.2599999998</v>
      </c>
      <c r="I473" s="18"/>
      <c r="J473" s="18">
        <v>1000000</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38505342.409999996</v>
      </c>
      <c r="G475" s="19">
        <f>SUM(G473:G474)</f>
        <v>1380367.65</v>
      </c>
      <c r="H475" s="19">
        <f>SUM(H473:H474)</f>
        <v>6743741.2599999998</v>
      </c>
      <c r="I475" s="19">
        <f>SUM(I473:I474)</f>
        <v>0</v>
      </c>
      <c r="J475" s="19">
        <f>SUM(J473:J474)</f>
        <v>1000000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0</v>
      </c>
      <c r="G477" s="19">
        <f>(G466+G471)- G475</f>
        <v>0</v>
      </c>
      <c r="H477" s="19">
        <f>(H466+H471)- H475</f>
        <v>0</v>
      </c>
      <c r="I477" s="19">
        <f>(I466+I471)- I475</f>
        <v>0</v>
      </c>
      <c r="J477" s="19">
        <f>(J466+J471)- J475</f>
        <v>0</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F199+F278</f>
        <v>1836650.75</v>
      </c>
      <c r="G522" s="18">
        <f>G199+G278</f>
        <v>1014279.0599999999</v>
      </c>
      <c r="H522" s="18">
        <f>H199+H278</f>
        <v>1169970.0099999998</v>
      </c>
      <c r="I522" s="18">
        <f>I199+I278</f>
        <v>32333.4</v>
      </c>
      <c r="J522" s="18">
        <f>J199+J278</f>
        <v>8175.18</v>
      </c>
      <c r="K522" s="18"/>
      <c r="L522" s="69">
        <f>SUM(F522:K522)</f>
        <v>4061408.4</v>
      </c>
      <c r="N522" s="131"/>
    </row>
    <row r="523" spans="1:14" ht="12.2" customHeight="1" x14ac:dyDescent="0.2">
      <c r="A523" s="21" t="s">
        <v>634</v>
      </c>
      <c r="B523" s="22">
        <v>21</v>
      </c>
      <c r="C523" s="22">
        <v>2</v>
      </c>
      <c r="D523" s="2" t="s">
        <v>432</v>
      </c>
      <c r="E523" s="22"/>
      <c r="F523" s="18">
        <f>F217+F297</f>
        <v>779433.46</v>
      </c>
      <c r="G523" s="18">
        <f>G217+G297</f>
        <v>447718.7</v>
      </c>
      <c r="H523" s="18">
        <f>H217+H297</f>
        <v>898993.64</v>
      </c>
      <c r="I523" s="18">
        <f>I217+I297</f>
        <v>6549.91</v>
      </c>
      <c r="J523" s="18">
        <f>J297</f>
        <v>919.07</v>
      </c>
      <c r="K523" s="18"/>
      <c r="L523" s="69">
        <f>SUM(F523:K523)</f>
        <v>2133614.7799999998</v>
      </c>
      <c r="N523" s="131"/>
    </row>
    <row r="524" spans="1:14" ht="12.2" customHeight="1" thickBot="1" x14ac:dyDescent="0.25">
      <c r="A524" s="21" t="s">
        <v>635</v>
      </c>
      <c r="B524" s="22">
        <v>21</v>
      </c>
      <c r="C524" s="22">
        <v>3</v>
      </c>
      <c r="D524" s="2" t="s">
        <v>432</v>
      </c>
      <c r="E524" s="22"/>
      <c r="F524" s="18">
        <f>F235+F316</f>
        <v>1000675.6399999999</v>
      </c>
      <c r="G524" s="18">
        <f>G235+G316</f>
        <v>498458.93</v>
      </c>
      <c r="H524" s="18">
        <f>H235+H316</f>
        <v>1025063.13</v>
      </c>
      <c r="I524" s="18">
        <f>I235+I316</f>
        <v>11200.02</v>
      </c>
      <c r="J524" s="18">
        <f>J316+J235</f>
        <v>2797.16</v>
      </c>
      <c r="K524" s="18"/>
      <c r="L524" s="69">
        <f>SUM(F524:K524)</f>
        <v>2538194.88</v>
      </c>
      <c r="N524" s="131"/>
    </row>
    <row r="525" spans="1:14" ht="12.2" customHeight="1" thickTop="1" x14ac:dyDescent="0.2">
      <c r="A525" s="97" t="s">
        <v>63</v>
      </c>
      <c r="B525" s="41">
        <v>21</v>
      </c>
      <c r="C525" s="41">
        <v>4</v>
      </c>
      <c r="D525" s="115" t="s">
        <v>432</v>
      </c>
      <c r="E525" s="41"/>
      <c r="F525" s="81">
        <f>SUM(F522:F524)</f>
        <v>3616759.8499999996</v>
      </c>
      <c r="G525" s="81">
        <f t="shared" ref="G525:L525" si="36">SUM(G522:G524)</f>
        <v>1960456.69</v>
      </c>
      <c r="H525" s="81">
        <f t="shared" si="36"/>
        <v>3094026.78</v>
      </c>
      <c r="I525" s="81">
        <f t="shared" si="36"/>
        <v>50083.33</v>
      </c>
      <c r="J525" s="81">
        <f t="shared" si="36"/>
        <v>11891.41</v>
      </c>
      <c r="K525" s="81">
        <f t="shared" si="36"/>
        <v>0</v>
      </c>
      <c r="L525" s="70">
        <f t="shared" si="36"/>
        <v>8733218.0599999987</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29929.42</v>
      </c>
      <c r="G527" s="18"/>
      <c r="H527" s="18"/>
      <c r="I527" s="18">
        <v>234863.16</v>
      </c>
      <c r="J527" s="18">
        <f>4844.85+6404</f>
        <v>11248.85</v>
      </c>
      <c r="K527" s="18"/>
      <c r="L527" s="69">
        <f>SUM(F527:K527)</f>
        <v>276041.43</v>
      </c>
      <c r="M527" s="8"/>
      <c r="N527" s="165"/>
    </row>
    <row r="528" spans="1:14" s="3" customFormat="1" ht="12.2" customHeight="1" x14ac:dyDescent="0.15">
      <c r="A528" s="21" t="s">
        <v>634</v>
      </c>
      <c r="B528" s="22">
        <v>21</v>
      </c>
      <c r="C528" s="22">
        <v>6</v>
      </c>
      <c r="D528" s="2" t="s">
        <v>432</v>
      </c>
      <c r="E528" s="22"/>
      <c r="F528" s="18">
        <v>38599</v>
      </c>
      <c r="G528" s="18"/>
      <c r="H528" s="18">
        <v>25914.14</v>
      </c>
      <c r="I528" s="18">
        <f>36444.73+1133.6</f>
        <v>37578.33</v>
      </c>
      <c r="J528" s="18"/>
      <c r="K528" s="18"/>
      <c r="L528" s="69">
        <f>SUM(F528:K528)</f>
        <v>102091.47</v>
      </c>
      <c r="M528" s="8"/>
      <c r="N528" s="165"/>
    </row>
    <row r="529" spans="1:14" s="3" customFormat="1" ht="12.2" customHeight="1" thickBot="1" x14ac:dyDescent="0.2">
      <c r="A529" s="21" t="s">
        <v>635</v>
      </c>
      <c r="B529" s="22">
        <v>21</v>
      </c>
      <c r="C529" s="22">
        <v>7</v>
      </c>
      <c r="D529" s="2" t="s">
        <v>432</v>
      </c>
      <c r="E529" s="22"/>
      <c r="F529" s="18">
        <v>63750.93</v>
      </c>
      <c r="G529" s="18"/>
      <c r="H529" s="18"/>
      <c r="I529" s="18">
        <v>2137.58</v>
      </c>
      <c r="J529" s="18">
        <v>2442.9899999999998</v>
      </c>
      <c r="K529" s="18"/>
      <c r="L529" s="69">
        <f>SUM(F529:K529)</f>
        <v>68331.5</v>
      </c>
      <c r="M529" s="8"/>
      <c r="N529" s="165"/>
    </row>
    <row r="530" spans="1:14" s="3" customFormat="1" ht="12.2" customHeight="1" thickTop="1" x14ac:dyDescent="0.15">
      <c r="A530" s="97" t="s">
        <v>65</v>
      </c>
      <c r="B530" s="41">
        <v>21</v>
      </c>
      <c r="C530" s="41">
        <v>8</v>
      </c>
      <c r="D530" s="115" t="s">
        <v>432</v>
      </c>
      <c r="E530" s="41"/>
      <c r="F530" s="70">
        <f>SUM(F527:F529)</f>
        <v>132279.35</v>
      </c>
      <c r="G530" s="70">
        <f t="shared" ref="G530:L530" si="37">SUM(G527:G529)</f>
        <v>0</v>
      </c>
      <c r="H530" s="70">
        <f t="shared" si="37"/>
        <v>25914.14</v>
      </c>
      <c r="I530" s="70">
        <f t="shared" si="37"/>
        <v>274579.07</v>
      </c>
      <c r="J530" s="70">
        <f t="shared" si="37"/>
        <v>13691.84</v>
      </c>
      <c r="K530" s="70">
        <f t="shared" si="37"/>
        <v>0</v>
      </c>
      <c r="L530" s="70">
        <f t="shared" si="37"/>
        <v>446464.4</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f>104978+104978</f>
        <v>209956</v>
      </c>
      <c r="G532" s="18">
        <v>83982.399999999994</v>
      </c>
      <c r="H532" s="18"/>
      <c r="I532" s="18"/>
      <c r="J532" s="18"/>
      <c r="K532" s="18"/>
      <c r="L532" s="69">
        <f>SUM(F532:K532)</f>
        <v>293938.40000000002</v>
      </c>
      <c r="M532" s="8"/>
      <c r="N532" s="165"/>
    </row>
    <row r="533" spans="1:14" s="3" customFormat="1" ht="12.2" customHeight="1" x14ac:dyDescent="0.15">
      <c r="A533" s="21" t="s">
        <v>634</v>
      </c>
      <c r="B533" s="22">
        <v>21</v>
      </c>
      <c r="C533" s="22">
        <v>10</v>
      </c>
      <c r="D533" s="2" t="s">
        <v>432</v>
      </c>
      <c r="E533" s="22"/>
      <c r="F533" s="18">
        <v>52489</v>
      </c>
      <c r="G533" s="18">
        <v>20995.599999999999</v>
      </c>
      <c r="H533" s="18"/>
      <c r="I533" s="18"/>
      <c r="J533" s="18"/>
      <c r="K533" s="18"/>
      <c r="L533" s="69">
        <f>SUM(F533:K533)</f>
        <v>73484.600000000006</v>
      </c>
      <c r="M533" s="8"/>
      <c r="N533" s="165"/>
    </row>
    <row r="534" spans="1:14" s="3" customFormat="1" ht="12.2" customHeight="1" thickBot="1" x14ac:dyDescent="0.2">
      <c r="A534" s="21" t="s">
        <v>635</v>
      </c>
      <c r="B534" s="22">
        <v>21</v>
      </c>
      <c r="C534" s="22">
        <v>11</v>
      </c>
      <c r="D534" s="2" t="s">
        <v>432</v>
      </c>
      <c r="E534" s="22"/>
      <c r="F534" s="18">
        <v>52489</v>
      </c>
      <c r="G534" s="18">
        <v>20995.599999999999</v>
      </c>
      <c r="H534" s="18"/>
      <c r="I534" s="18"/>
      <c r="J534" s="18"/>
      <c r="K534" s="18"/>
      <c r="L534" s="69">
        <f>SUM(F534:K534)</f>
        <v>73484.600000000006</v>
      </c>
      <c r="M534" s="8"/>
      <c r="N534" s="165"/>
    </row>
    <row r="535" spans="1:14" s="3" customFormat="1" ht="12.2" customHeight="1" thickTop="1" x14ac:dyDescent="0.15">
      <c r="A535" s="97" t="s">
        <v>67</v>
      </c>
      <c r="B535" s="41">
        <v>21</v>
      </c>
      <c r="C535" s="41">
        <v>12</v>
      </c>
      <c r="D535" s="115" t="s">
        <v>432</v>
      </c>
      <c r="E535" s="41"/>
      <c r="F535" s="70">
        <f>SUM(F532:F534)</f>
        <v>314934</v>
      </c>
      <c r="G535" s="70">
        <f t="shared" ref="G535:L535" si="38">SUM(G532:G534)</f>
        <v>125973.6</v>
      </c>
      <c r="H535" s="70">
        <f t="shared" si="38"/>
        <v>0</v>
      </c>
      <c r="I535" s="70">
        <f t="shared" si="38"/>
        <v>0</v>
      </c>
      <c r="J535" s="70">
        <f t="shared" si="38"/>
        <v>0</v>
      </c>
      <c r="K535" s="70">
        <f t="shared" si="38"/>
        <v>0</v>
      </c>
      <c r="L535" s="70">
        <f t="shared" si="38"/>
        <v>440907.6</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v>1314.22</v>
      </c>
      <c r="I537" s="18"/>
      <c r="J537" s="18"/>
      <c r="K537" s="18"/>
      <c r="L537" s="69">
        <f>SUM(F537:K537)</f>
        <v>1314.22</v>
      </c>
      <c r="M537" s="8"/>
      <c r="N537" s="165"/>
    </row>
    <row r="538" spans="1:14" s="3" customFormat="1" ht="12.2" customHeight="1" x14ac:dyDescent="0.15">
      <c r="A538" s="21" t="s">
        <v>634</v>
      </c>
      <c r="B538" s="22">
        <v>21</v>
      </c>
      <c r="C538" s="22">
        <v>14</v>
      </c>
      <c r="D538" s="2" t="s">
        <v>432</v>
      </c>
      <c r="E538" s="22"/>
      <c r="F538" s="18"/>
      <c r="G538" s="18"/>
      <c r="H538" s="18">
        <v>628.54</v>
      </c>
      <c r="I538" s="18"/>
      <c r="J538" s="18"/>
      <c r="K538" s="18"/>
      <c r="L538" s="69">
        <f>SUM(F538:K538)</f>
        <v>628.54</v>
      </c>
      <c r="M538" s="8"/>
      <c r="N538" s="165"/>
    </row>
    <row r="539" spans="1:14" s="3" customFormat="1" ht="12.2" customHeight="1" thickBot="1" x14ac:dyDescent="0.2">
      <c r="A539" s="21" t="s">
        <v>635</v>
      </c>
      <c r="B539" s="22">
        <v>21</v>
      </c>
      <c r="C539" s="22">
        <v>15</v>
      </c>
      <c r="D539" s="2" t="s">
        <v>432</v>
      </c>
      <c r="E539" s="22"/>
      <c r="F539" s="18"/>
      <c r="G539" s="18"/>
      <c r="H539" s="18">
        <v>914.24</v>
      </c>
      <c r="I539" s="18"/>
      <c r="J539" s="18"/>
      <c r="K539" s="18"/>
      <c r="L539" s="69">
        <f>SUM(F539:K539)</f>
        <v>914.24</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2857</v>
      </c>
      <c r="I540" s="70">
        <f t="shared" si="39"/>
        <v>0</v>
      </c>
      <c r="J540" s="70">
        <f t="shared" si="39"/>
        <v>0</v>
      </c>
      <c r="K540" s="70">
        <f t="shared" si="39"/>
        <v>0</v>
      </c>
      <c r="L540" s="70">
        <f t="shared" si="39"/>
        <v>2857</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145037.43</v>
      </c>
      <c r="I542" s="18"/>
      <c r="J542" s="18"/>
      <c r="K542" s="18"/>
      <c r="L542" s="69">
        <f>SUM(F542:K542)</f>
        <v>145037.43</v>
      </c>
      <c r="M542" s="8"/>
      <c r="N542" s="165"/>
    </row>
    <row r="543" spans="1:14" s="3" customFormat="1" ht="12.2" customHeight="1" x14ac:dyDescent="0.15">
      <c r="A543" s="21" t="s">
        <v>634</v>
      </c>
      <c r="B543" s="22">
        <v>21</v>
      </c>
      <c r="C543" s="22">
        <v>18</v>
      </c>
      <c r="D543" s="2" t="s">
        <v>432</v>
      </c>
      <c r="E543" s="22"/>
      <c r="F543" s="18"/>
      <c r="G543" s="18"/>
      <c r="H543" s="18">
        <v>118290.41</v>
      </c>
      <c r="I543" s="18"/>
      <c r="J543" s="18"/>
      <c r="K543" s="18"/>
      <c r="L543" s="69">
        <f>SUM(F543:K543)</f>
        <v>118290.41</v>
      </c>
      <c r="M543" s="8"/>
      <c r="N543" s="165"/>
    </row>
    <row r="544" spans="1:14" s="3" customFormat="1" ht="12.2" customHeight="1" thickBot="1" x14ac:dyDescent="0.2">
      <c r="A544" s="21" t="s">
        <v>635</v>
      </c>
      <c r="B544" s="22">
        <v>21</v>
      </c>
      <c r="C544" s="22">
        <v>19</v>
      </c>
      <c r="D544" s="2" t="s">
        <v>432</v>
      </c>
      <c r="E544" s="22"/>
      <c r="F544" s="18"/>
      <c r="G544" s="18"/>
      <c r="H544" s="18">
        <v>100829.37</v>
      </c>
      <c r="I544" s="18"/>
      <c r="J544" s="18"/>
      <c r="K544" s="18"/>
      <c r="L544" s="69">
        <f>SUM(F544:K544)</f>
        <v>100829.37</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364157.20999999996</v>
      </c>
      <c r="I545" s="141">
        <f t="shared" si="40"/>
        <v>0</v>
      </c>
      <c r="J545" s="141">
        <f t="shared" si="40"/>
        <v>0</v>
      </c>
      <c r="K545" s="141">
        <f t="shared" si="40"/>
        <v>0</v>
      </c>
      <c r="L545" s="141">
        <f t="shared" si="40"/>
        <v>364157.20999999996</v>
      </c>
      <c r="M545" s="8"/>
      <c r="N545" s="165"/>
    </row>
    <row r="546" spans="1:14" s="3" customFormat="1" ht="12.2" customHeight="1" thickTop="1" x14ac:dyDescent="0.15">
      <c r="A546" s="75" t="s">
        <v>72</v>
      </c>
      <c r="B546" s="41">
        <v>21</v>
      </c>
      <c r="C546" s="41">
        <v>21</v>
      </c>
      <c r="D546" s="115" t="s">
        <v>432</v>
      </c>
      <c r="E546" s="41"/>
      <c r="F546" s="70">
        <f>F525+F530+F535+F540+F545</f>
        <v>4063973.1999999997</v>
      </c>
      <c r="G546" s="70">
        <f t="shared" ref="G546:L546" si="41">G525+G530+G535+G540+G545</f>
        <v>2086430.29</v>
      </c>
      <c r="H546" s="70">
        <f t="shared" si="41"/>
        <v>3486955.13</v>
      </c>
      <c r="I546" s="70">
        <f t="shared" si="41"/>
        <v>324662.40000000002</v>
      </c>
      <c r="J546" s="70">
        <f t="shared" si="41"/>
        <v>25583.25</v>
      </c>
      <c r="K546" s="70">
        <f t="shared" si="41"/>
        <v>0</v>
      </c>
      <c r="L546" s="70">
        <f t="shared" si="41"/>
        <v>9987604.2699999996</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4061408.4</v>
      </c>
      <c r="G550" s="69">
        <f>L527</f>
        <v>276041.43</v>
      </c>
      <c r="H550" s="69">
        <f>L532</f>
        <v>293938.40000000002</v>
      </c>
      <c r="I550" s="69">
        <f>L537</f>
        <v>1314.22</v>
      </c>
      <c r="J550" s="69">
        <f>L542</f>
        <v>145037.43</v>
      </c>
      <c r="K550" s="69">
        <f>SUM(F550:J550)</f>
        <v>4777739.88</v>
      </c>
      <c r="L550" s="23" t="s">
        <v>288</v>
      </c>
      <c r="M550" s="8"/>
      <c r="N550" s="165"/>
    </row>
    <row r="551" spans="1:14" s="3" customFormat="1" ht="12.2" customHeight="1" x14ac:dyDescent="0.15">
      <c r="A551" s="21" t="s">
        <v>634</v>
      </c>
      <c r="B551" s="22">
        <v>21</v>
      </c>
      <c r="C551" s="22">
        <v>23</v>
      </c>
      <c r="D551" s="2" t="s">
        <v>432</v>
      </c>
      <c r="E551" s="22"/>
      <c r="F551" s="69">
        <f>L523</f>
        <v>2133614.7799999998</v>
      </c>
      <c r="G551" s="69">
        <f>L528</f>
        <v>102091.47</v>
      </c>
      <c r="H551" s="69">
        <f>L533</f>
        <v>73484.600000000006</v>
      </c>
      <c r="I551" s="69">
        <f>L538</f>
        <v>628.54</v>
      </c>
      <c r="J551" s="69">
        <f>L543</f>
        <v>118290.41</v>
      </c>
      <c r="K551" s="69">
        <f>SUM(F551:J551)</f>
        <v>2428109.8000000003</v>
      </c>
      <c r="L551" s="23" t="s">
        <v>288</v>
      </c>
      <c r="M551" s="8"/>
      <c r="N551" s="165"/>
    </row>
    <row r="552" spans="1:14" s="3" customFormat="1" ht="12.2" customHeight="1" thickBot="1" x14ac:dyDescent="0.2">
      <c r="A552" s="21" t="s">
        <v>635</v>
      </c>
      <c r="B552" s="22">
        <v>21</v>
      </c>
      <c r="C552" s="22">
        <v>24</v>
      </c>
      <c r="D552" s="2" t="s">
        <v>432</v>
      </c>
      <c r="E552" s="22"/>
      <c r="F552" s="69">
        <f>L524</f>
        <v>2538194.88</v>
      </c>
      <c r="G552" s="69">
        <f>L529</f>
        <v>68331.5</v>
      </c>
      <c r="H552" s="69">
        <f>L534</f>
        <v>73484.600000000006</v>
      </c>
      <c r="I552" s="69">
        <f>L539</f>
        <v>914.24</v>
      </c>
      <c r="J552" s="69">
        <f>L544</f>
        <v>100829.37</v>
      </c>
      <c r="K552" s="69">
        <f>SUM(F552:J552)</f>
        <v>2781754.5900000003</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8733218.0599999987</v>
      </c>
      <c r="G553" s="70">
        <f t="shared" si="42"/>
        <v>446464.4</v>
      </c>
      <c r="H553" s="70">
        <f t="shared" si="42"/>
        <v>440907.6</v>
      </c>
      <c r="I553" s="70">
        <f t="shared" si="42"/>
        <v>2857</v>
      </c>
      <c r="J553" s="70">
        <f t="shared" si="42"/>
        <v>364157.20999999996</v>
      </c>
      <c r="K553" s="70">
        <f t="shared" si="42"/>
        <v>9987604.2699999996</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v>38077.65</v>
      </c>
      <c r="G579" s="18">
        <v>253136.05</v>
      </c>
      <c r="H579" s="18">
        <v>500912.89</v>
      </c>
      <c r="I579" s="69">
        <f t="shared" si="47"/>
        <v>792126.59000000008</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15483.01</v>
      </c>
      <c r="G580" s="18">
        <v>24606.32</v>
      </c>
      <c r="H580" s="18"/>
      <c r="I580" s="69">
        <f t="shared" si="47"/>
        <v>40089.33</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50074.58</v>
      </c>
      <c r="G583" s="18"/>
      <c r="H583" s="18"/>
      <c r="I583" s="69">
        <f t="shared" si="47"/>
        <v>50074.58</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225839.62</v>
      </c>
      <c r="I592" s="18">
        <v>108010.25</v>
      </c>
      <c r="J592" s="18">
        <v>157105.82</v>
      </c>
      <c r="K592" s="80">
        <f t="shared" ref="K592:K598" si="48">SUM(H592:J592)</f>
        <v>490955.69</v>
      </c>
      <c r="L592" s="23" t="s">
        <v>288</v>
      </c>
      <c r="M592" s="8"/>
      <c r="N592" s="165"/>
    </row>
    <row r="593" spans="1:14" s="3" customFormat="1" ht="12.2" customHeight="1" x14ac:dyDescent="0.15">
      <c r="A593" s="3" t="s">
        <v>638</v>
      </c>
      <c r="B593" s="22">
        <v>23</v>
      </c>
      <c r="C593" s="22">
        <v>2</v>
      </c>
      <c r="D593" s="2" t="s">
        <v>432</v>
      </c>
      <c r="E593" s="22"/>
      <c r="F593" s="78">
        <v>2722</v>
      </c>
      <c r="G593" s="79" t="s">
        <v>97</v>
      </c>
      <c r="H593" s="18">
        <v>145037.44</v>
      </c>
      <c r="I593" s="18">
        <v>118290.41</v>
      </c>
      <c r="J593" s="18">
        <v>100829.37</v>
      </c>
      <c r="K593" s="80">
        <f t="shared" si="48"/>
        <v>364157.22</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v>3846.49</v>
      </c>
      <c r="K594" s="80">
        <f t="shared" si="48"/>
        <v>3846.49</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v>12854.43</v>
      </c>
      <c r="J595" s="18">
        <v>41348.18</v>
      </c>
      <c r="K595" s="80">
        <f t="shared" si="48"/>
        <v>54202.61</v>
      </c>
      <c r="L595" s="23" t="s">
        <v>288</v>
      </c>
      <c r="M595" s="8"/>
      <c r="N595" s="165"/>
    </row>
    <row r="596" spans="1:14" s="3" customFormat="1" ht="12.2" customHeight="1" x14ac:dyDescent="0.15">
      <c r="A596" s="103" t="s">
        <v>652</v>
      </c>
      <c r="B596" s="22">
        <v>23</v>
      </c>
      <c r="C596" s="22">
        <v>5</v>
      </c>
      <c r="D596" s="2" t="s">
        <v>432</v>
      </c>
      <c r="E596" s="22"/>
      <c r="F596" s="78">
        <v>2725</v>
      </c>
      <c r="G596" s="79" t="s">
        <v>97</v>
      </c>
      <c r="H596" s="18">
        <v>120</v>
      </c>
      <c r="I596" s="18">
        <v>4981.97</v>
      </c>
      <c r="J596" s="18">
        <v>3482.56</v>
      </c>
      <c r="K596" s="80">
        <f t="shared" si="48"/>
        <v>8584.5300000000007</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370997.06</v>
      </c>
      <c r="I599" s="81">
        <f>SUM(I592:I598)</f>
        <v>244137.06</v>
      </c>
      <c r="J599" s="81">
        <f>SUM(J592:J598)</f>
        <v>306612.42</v>
      </c>
      <c r="K599" s="81">
        <f>SUM(K592:K598)</f>
        <v>921746.53999999992</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474095.02120000002</v>
      </c>
      <c r="I605" s="18">
        <v>194353.70079999999</v>
      </c>
      <c r="J605" s="18">
        <v>422155.94480000006</v>
      </c>
      <c r="K605" s="80">
        <f>SUM(H605:J605)</f>
        <v>1090604.6668000002</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474095.02120000002</v>
      </c>
      <c r="I606" s="81">
        <f>SUM(I603:I605)</f>
        <v>194353.70079999999</v>
      </c>
      <c r="J606" s="81">
        <f>SUM(J603:J605)</f>
        <v>422155.94480000006</v>
      </c>
      <c r="K606" s="81">
        <f>SUM(K603:K605)</f>
        <v>1090604.6668000002</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452313.52</v>
      </c>
      <c r="H618" s="80">
        <f>SUM(F52)</f>
        <v>452313.51999999996</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180155.18</v>
      </c>
      <c r="H619" s="80">
        <f>SUM(G52)</f>
        <v>180155.18</v>
      </c>
      <c r="I619" s="87" t="s">
        <v>875</v>
      </c>
      <c r="J619" s="80">
        <f>G619-H619</f>
        <v>0</v>
      </c>
      <c r="K619" s="80"/>
      <c r="L619" s="80"/>
      <c r="M619" s="8"/>
    </row>
    <row r="620" spans="1:14" s="3" customFormat="1" ht="12.2" customHeight="1" x14ac:dyDescent="0.15">
      <c r="A620" s="74"/>
      <c r="B620" s="22"/>
      <c r="C620" s="22"/>
      <c r="D620" s="22"/>
      <c r="E620" s="22"/>
      <c r="F620" s="87" t="s">
        <v>685</v>
      </c>
      <c r="G620" s="80">
        <f>SUM(H19)</f>
        <v>4567718.0600000005</v>
      </c>
      <c r="H620" s="80">
        <f>SUM(H52)</f>
        <v>4567718.0599999996</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0</v>
      </c>
      <c r="H622" s="80">
        <f>SUM(J52)</f>
        <v>0</v>
      </c>
      <c r="I622" s="87" t="s">
        <v>878</v>
      </c>
      <c r="J622" s="80">
        <f>G622-H622</f>
        <v>0</v>
      </c>
      <c r="K622" s="80"/>
      <c r="L622" s="80"/>
      <c r="M622" s="8"/>
    </row>
    <row r="623" spans="1:14" s="3" customFormat="1" ht="12.2" customHeight="1" x14ac:dyDescent="0.15">
      <c r="A623" s="74"/>
      <c r="B623" s="22"/>
      <c r="C623" s="22"/>
      <c r="D623" s="22"/>
      <c r="E623" s="22"/>
      <c r="F623" s="87" t="s">
        <v>864</v>
      </c>
      <c r="G623" s="80">
        <f>F51</f>
        <v>0</v>
      </c>
      <c r="H623" s="80">
        <f>F477</f>
        <v>0</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0</v>
      </c>
      <c r="H627" s="80">
        <f>J477</f>
        <v>0</v>
      </c>
      <c r="I627" s="87" t="s">
        <v>105</v>
      </c>
      <c r="J627" s="80">
        <f t="shared" si="50"/>
        <v>0</v>
      </c>
      <c r="K627" s="67"/>
      <c r="L627" s="69"/>
      <c r="M627" s="8"/>
    </row>
    <row r="628" spans="1:13" s="3" customFormat="1" ht="12.2" customHeight="1" x14ac:dyDescent="0.15">
      <c r="A628" s="21"/>
      <c r="B628" s="22"/>
      <c r="C628" s="22"/>
      <c r="D628" s="22"/>
      <c r="E628" s="22"/>
      <c r="F628" s="86" t="s">
        <v>658</v>
      </c>
      <c r="G628" s="80">
        <f>F194</f>
        <v>38505342.409999996</v>
      </c>
      <c r="H628" s="80">
        <f>SUM(F469)</f>
        <v>38505342.409999996</v>
      </c>
      <c r="I628" s="87" t="s">
        <v>106</v>
      </c>
      <c r="J628" s="80">
        <f>G628-H628</f>
        <v>0</v>
      </c>
      <c r="K628" s="67"/>
      <c r="L628" s="69"/>
      <c r="M628" s="8"/>
    </row>
    <row r="629" spans="1:13" s="3" customFormat="1" ht="12.2" customHeight="1" x14ac:dyDescent="0.15">
      <c r="A629" s="21"/>
      <c r="B629" s="22"/>
      <c r="C629" s="22"/>
      <c r="D629" s="22"/>
      <c r="E629" s="22"/>
      <c r="F629" s="86" t="s">
        <v>659</v>
      </c>
      <c r="G629" s="80">
        <f>G194</f>
        <v>1380367.65</v>
      </c>
      <c r="H629" s="80">
        <f>SUM(G469)</f>
        <v>1380367.65</v>
      </c>
      <c r="I629" s="87" t="s">
        <v>107</v>
      </c>
      <c r="J629" s="80">
        <f>G629-H629</f>
        <v>0</v>
      </c>
      <c r="K629" s="67"/>
      <c r="L629" s="69"/>
      <c r="M629" s="8"/>
    </row>
    <row r="630" spans="1:13" s="3" customFormat="1" ht="12.2" customHeight="1" x14ac:dyDescent="0.15">
      <c r="A630" s="21"/>
      <c r="B630" s="22"/>
      <c r="C630" s="22"/>
      <c r="D630" s="22"/>
      <c r="E630" s="22"/>
      <c r="F630" s="86" t="s">
        <v>660</v>
      </c>
      <c r="G630" s="80">
        <f>H194</f>
        <v>6743741.2599999998</v>
      </c>
      <c r="H630" s="80">
        <f>SUM(H469)</f>
        <v>6743741.2599999998</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1000000</v>
      </c>
      <c r="H632" s="80">
        <f>SUM(J469)</f>
        <v>1000000</v>
      </c>
      <c r="I632" s="87" t="s">
        <v>110</v>
      </c>
      <c r="J632" s="80">
        <f>G632-H632</f>
        <v>0</v>
      </c>
      <c r="K632" s="67"/>
      <c r="L632" s="69"/>
      <c r="M632" s="8"/>
    </row>
    <row r="633" spans="1:13" s="3" customFormat="1" ht="12.2" customHeight="1" x14ac:dyDescent="0.15">
      <c r="A633" s="21"/>
      <c r="B633" s="22"/>
      <c r="C633" s="22"/>
      <c r="D633" s="22"/>
      <c r="E633" s="22"/>
      <c r="F633" s="86" t="s">
        <v>394</v>
      </c>
      <c r="G633" s="80">
        <f>SUM(L272)</f>
        <v>38505342.409999996</v>
      </c>
      <c r="H633" s="80">
        <f>SUM(F473)</f>
        <v>38505342.409999996</v>
      </c>
      <c r="I633" s="87" t="s">
        <v>111</v>
      </c>
      <c r="J633" s="80">
        <f t="shared" si="50"/>
        <v>0</v>
      </c>
      <c r="K633" s="67"/>
      <c r="L633" s="69"/>
      <c r="M633" s="8"/>
    </row>
    <row r="634" spans="1:13" s="3" customFormat="1" ht="12.2" customHeight="1" x14ac:dyDescent="0.15">
      <c r="A634" s="21"/>
      <c r="B634" s="22"/>
      <c r="C634" s="22"/>
      <c r="D634" s="22"/>
      <c r="E634" s="22"/>
      <c r="F634" s="86" t="s">
        <v>395</v>
      </c>
      <c r="G634" s="80">
        <f>SUM(L353)</f>
        <v>6743741.2599999998</v>
      </c>
      <c r="H634" s="80">
        <f>SUM(H473)</f>
        <v>6743741.2599999998</v>
      </c>
      <c r="I634" s="87" t="s">
        <v>112</v>
      </c>
      <c r="J634" s="80">
        <f>G634-H634</f>
        <v>0</v>
      </c>
      <c r="K634" s="67"/>
      <c r="L634" s="69"/>
      <c r="M634" s="8"/>
    </row>
    <row r="635" spans="1:13" s="124" customFormat="1" ht="12.2" customHeight="1" x14ac:dyDescent="0.15">
      <c r="A635" s="21"/>
      <c r="B635" s="22"/>
      <c r="C635" s="22"/>
      <c r="D635" s="22"/>
      <c r="E635" s="22"/>
      <c r="F635" s="99" t="s">
        <v>247</v>
      </c>
      <c r="G635" s="80">
        <f>I363</f>
        <v>696360.70000000019</v>
      </c>
      <c r="H635" s="80">
        <f>I370</f>
        <v>696360.7</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1380367.6500000001</v>
      </c>
      <c r="H636" s="80">
        <f>SUM(G473)</f>
        <v>1380367.65</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1000000</v>
      </c>
      <c r="H638" s="108">
        <f>SUM(J469)</f>
        <v>1000000</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1000000</v>
      </c>
      <c r="H639" s="108">
        <f>SUM(J473)</f>
        <v>1000000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0</v>
      </c>
      <c r="H643" s="80">
        <f>SUM(I462)</f>
        <v>0</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50"/>
        <v>0</v>
      </c>
      <c r="K645" s="67"/>
      <c r="L645" s="69"/>
      <c r="M645" s="8"/>
    </row>
    <row r="646" spans="1:13" s="3" customFormat="1" ht="12.2" customHeight="1" x14ac:dyDescent="0.15">
      <c r="A646" s="21"/>
      <c r="B646" s="22"/>
      <c r="C646" s="22"/>
      <c r="D646" s="22"/>
      <c r="E646" s="22"/>
      <c r="F646" s="86" t="s">
        <v>664</v>
      </c>
      <c r="G646" s="80">
        <f>J184</f>
        <v>1000000</v>
      </c>
      <c r="H646" s="80">
        <f>G409</f>
        <v>1000000</v>
      </c>
      <c r="I646" s="87" t="s">
        <v>481</v>
      </c>
      <c r="J646" s="80">
        <f t="shared" si="50"/>
        <v>0</v>
      </c>
      <c r="K646" s="67"/>
      <c r="L646" s="69"/>
      <c r="M646" s="8"/>
    </row>
    <row r="647" spans="1:13" s="3" customFormat="1" ht="12.2" customHeight="1" x14ac:dyDescent="0.15">
      <c r="A647" s="21"/>
      <c r="B647" s="22"/>
      <c r="C647" s="22"/>
      <c r="D647" s="22"/>
      <c r="E647" s="22"/>
      <c r="F647" s="86" t="s">
        <v>662</v>
      </c>
      <c r="G647" s="80">
        <f>J194</f>
        <v>1000000</v>
      </c>
      <c r="H647" s="80">
        <f>L409</f>
        <v>1000000</v>
      </c>
      <c r="I647" s="87" t="s">
        <v>477</v>
      </c>
      <c r="J647" s="80">
        <f t="shared" si="50"/>
        <v>0</v>
      </c>
      <c r="K647" s="67"/>
      <c r="L647" s="69"/>
      <c r="M647" s="8"/>
    </row>
    <row r="648" spans="1:13" s="3" customFormat="1" ht="12.2" customHeight="1" x14ac:dyDescent="0.15">
      <c r="A648" s="21"/>
      <c r="B648" s="22"/>
      <c r="C648" s="22"/>
      <c r="D648" s="22"/>
      <c r="E648" s="22"/>
      <c r="F648" s="86" t="s">
        <v>51</v>
      </c>
      <c r="G648" s="80">
        <f>K599</f>
        <v>921746.53999999992</v>
      </c>
      <c r="H648" s="80">
        <f>L209+L227+L245</f>
        <v>921746.54</v>
      </c>
      <c r="I648" s="87" t="s">
        <v>396</v>
      </c>
      <c r="J648" s="80">
        <f t="shared" si="50"/>
        <v>0</v>
      </c>
      <c r="K648" s="67"/>
      <c r="L648" s="69"/>
      <c r="M648" s="8"/>
    </row>
    <row r="649" spans="1:13" s="3" customFormat="1" ht="12.2" customHeight="1" x14ac:dyDescent="0.15">
      <c r="A649" s="21"/>
      <c r="B649" s="22"/>
      <c r="C649" s="22"/>
      <c r="D649" s="22"/>
      <c r="E649" s="22"/>
      <c r="F649" s="86" t="s">
        <v>52</v>
      </c>
      <c r="G649" s="80">
        <f>K606</f>
        <v>1090604.6668000002</v>
      </c>
      <c r="H649" s="80">
        <f>(J258+J339)-(J256+J337)</f>
        <v>1090604.67</v>
      </c>
      <c r="I649" s="87" t="s">
        <v>699</v>
      </c>
      <c r="J649" s="80">
        <f t="shared" si="50"/>
        <v>-3.1999996863305569E-3</v>
      </c>
      <c r="K649" s="67"/>
      <c r="L649" s="69"/>
      <c r="M649" s="8"/>
    </row>
    <row r="650" spans="1:13" s="3" customFormat="1" ht="12.2" customHeight="1" x14ac:dyDescent="0.15">
      <c r="A650" s="21"/>
      <c r="B650" s="22"/>
      <c r="C650" s="22"/>
      <c r="D650" s="22"/>
      <c r="E650" s="22"/>
      <c r="F650" s="86" t="s">
        <v>387</v>
      </c>
      <c r="G650" s="80">
        <f>L209</f>
        <v>370997.06</v>
      </c>
      <c r="H650" s="80">
        <f>H599</f>
        <v>370997.06</v>
      </c>
      <c r="I650" s="87" t="s">
        <v>388</v>
      </c>
      <c r="J650" s="80">
        <f t="shared" si="50"/>
        <v>0</v>
      </c>
      <c r="K650" s="67"/>
      <c r="L650" s="69"/>
      <c r="M650" s="8"/>
    </row>
    <row r="651" spans="1:13" s="3" customFormat="1" ht="12.2" customHeight="1" x14ac:dyDescent="0.15">
      <c r="A651" s="21"/>
      <c r="B651" s="22"/>
      <c r="C651" s="22"/>
      <c r="D651" s="22"/>
      <c r="E651" s="22"/>
      <c r="F651" s="86" t="s">
        <v>392</v>
      </c>
      <c r="G651" s="80">
        <f>L227</f>
        <v>244137.06</v>
      </c>
      <c r="H651" s="80">
        <f>I599</f>
        <v>244137.06</v>
      </c>
      <c r="I651" s="87" t="s">
        <v>389</v>
      </c>
      <c r="J651" s="80">
        <f t="shared" si="50"/>
        <v>0</v>
      </c>
      <c r="K651" s="67"/>
      <c r="L651" s="69"/>
      <c r="M651" s="8"/>
    </row>
    <row r="652" spans="1:13" s="3" customFormat="1" ht="12.2" customHeight="1" x14ac:dyDescent="0.15">
      <c r="A652" s="21"/>
      <c r="B652" s="22"/>
      <c r="C652" s="22"/>
      <c r="D652" s="22"/>
      <c r="E652" s="22"/>
      <c r="F652" s="86" t="s">
        <v>393</v>
      </c>
      <c r="G652" s="80">
        <f>L245</f>
        <v>306612.42</v>
      </c>
      <c r="H652" s="80">
        <f>J599</f>
        <v>306612.42</v>
      </c>
      <c r="I652" s="87" t="s">
        <v>390</v>
      </c>
      <c r="J652" s="80">
        <f t="shared" si="50"/>
        <v>0</v>
      </c>
      <c r="K652" s="67"/>
      <c r="L652" s="69"/>
      <c r="M652" s="8"/>
    </row>
    <row r="653" spans="1:13" s="3" customFormat="1" ht="12.2" customHeight="1" x14ac:dyDescent="0.15">
      <c r="A653" s="21"/>
      <c r="B653" s="22"/>
      <c r="C653" s="22"/>
      <c r="D653" s="22"/>
      <c r="E653" s="22"/>
      <c r="F653" s="86" t="s">
        <v>665</v>
      </c>
      <c r="G653" s="80">
        <f>G180+G182</f>
        <v>50267.88</v>
      </c>
      <c r="H653" s="80">
        <f>K264+K346</f>
        <v>50267.88</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1000000</v>
      </c>
      <c r="H656" s="80">
        <f>K267+K348</f>
        <v>1000000</v>
      </c>
      <c r="I656" s="87" t="s">
        <v>400</v>
      </c>
      <c r="J656" s="80">
        <f t="shared" si="50"/>
        <v>0</v>
      </c>
      <c r="K656" s="67"/>
      <c r="L656" s="69"/>
      <c r="M656" s="9"/>
    </row>
    <row r="657" spans="1:13" s="3" customFormat="1" ht="12.2" customHeight="1" x14ac:dyDescent="0.15">
      <c r="F657" s="25" t="s">
        <v>122</v>
      </c>
      <c r="G657" s="13"/>
      <c r="H657" s="80">
        <f>SUM(G618:G656)-SUM(H618:H656)</f>
        <v>-3.1999945640563965E-3</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18902566.933200002</v>
      </c>
      <c r="G661" s="13">
        <f>(L230+L310+L360)</f>
        <v>9064113.7623999976</v>
      </c>
      <c r="H661" s="13">
        <f>(L248+L329+L361)</f>
        <v>14192356.074399998</v>
      </c>
      <c r="I661" s="13">
        <f>SUM(F661:H661)</f>
        <v>42159036.769999996</v>
      </c>
      <c r="J661" s="13"/>
      <c r="K661" s="13"/>
      <c r="L661" s="13"/>
      <c r="M661" s="9"/>
    </row>
    <row r="662" spans="1:13" s="3" customFormat="1" ht="12.2" customHeight="1" x14ac:dyDescent="0.2">
      <c r="A662" s="1" t="s">
        <v>127</v>
      </c>
      <c r="F662" s="13">
        <f>(L359/IF(SUM(L359:L361)=0,1,SUM(L359:L361))*(SUM(G97:G110)))</f>
        <v>138030.1412462469</v>
      </c>
      <c r="G662" s="13">
        <f>(L360/IF(SUM(L359:L361)=0,1,SUM(L359:L361))*(SUM(G97:G110)))</f>
        <v>76571.699766316466</v>
      </c>
      <c r="H662" s="13">
        <f>(L361/IF(SUM(L359:L361)=0,1,SUM(L359:L361))*(SUM(G97:G110)))</f>
        <v>89130.448987436626</v>
      </c>
      <c r="I662" s="13">
        <f>SUM(F662:H662)</f>
        <v>303732.29000000004</v>
      </c>
      <c r="J662"/>
      <c r="K662" s="13"/>
      <c r="L662" s="13"/>
      <c r="M662" s="8"/>
    </row>
    <row r="663" spans="1:13" s="3" customFormat="1" ht="12.2" customHeight="1" x14ac:dyDescent="0.2">
      <c r="A663" s="1" t="s">
        <v>128</v>
      </c>
      <c r="F663" s="13">
        <f>(L209+L288)-(J209+J288)</f>
        <v>401247.83</v>
      </c>
      <c r="G663" s="13">
        <f>(L227+L307)-(J227+J307)</f>
        <v>258604.82</v>
      </c>
      <c r="H663" s="13">
        <f>(L245+L326)-(J245+J326)</f>
        <v>327656.44</v>
      </c>
      <c r="I663" s="13">
        <f>SUM(F663:H663)</f>
        <v>987509.09000000008</v>
      </c>
      <c r="J663"/>
      <c r="K663" s="13"/>
      <c r="L663" s="13"/>
      <c r="M663" s="9"/>
    </row>
    <row r="664" spans="1:13" s="3" customFormat="1" ht="12.2" customHeight="1" x14ac:dyDescent="0.15">
      <c r="A664" s="142" t="s">
        <v>129</v>
      </c>
      <c r="B664" s="124"/>
      <c r="C664" s="124"/>
      <c r="D664" s="124"/>
      <c r="E664" s="124"/>
      <c r="F664" s="143">
        <f>SUM(F576:F588)+SUM(H603:H605)+SUM(L612)</f>
        <v>577730.26120000007</v>
      </c>
      <c r="G664" s="143">
        <f>SUM(G576:G588)+SUM(I603:I605)+L613</f>
        <v>472096.07079999999</v>
      </c>
      <c r="H664" s="143">
        <f>SUM(H576:H588)+SUM(J603:J605)+L614</f>
        <v>923068.83480000007</v>
      </c>
      <c r="I664" s="13">
        <f>SUM(F664:H664)</f>
        <v>1972895.1668</v>
      </c>
      <c r="J664" s="13"/>
      <c r="K664" s="13"/>
      <c r="L664" s="13"/>
      <c r="M664" s="9"/>
    </row>
    <row r="665" spans="1:13" s="3" customFormat="1" ht="12.2" customHeight="1" x14ac:dyDescent="0.15">
      <c r="A665" s="1" t="s">
        <v>130</v>
      </c>
      <c r="F665" s="13">
        <f>F661-SUM(F662:F664)</f>
        <v>17785558.700753756</v>
      </c>
      <c r="G665" s="13">
        <f>G661-SUM(G662:G664)</f>
        <v>8256841.1718336809</v>
      </c>
      <c r="H665" s="13">
        <f>H661-SUM(H662:H664)</f>
        <v>12852500.350612562</v>
      </c>
      <c r="I665" s="13">
        <f>I661-SUM(I662:I664)</f>
        <v>38894900.223199993</v>
      </c>
      <c r="J665" s="13"/>
      <c r="K665" s="13"/>
      <c r="L665" s="13"/>
      <c r="M665" s="8"/>
    </row>
    <row r="666" spans="1:13" s="3" customFormat="1" ht="12.2" customHeight="1" x14ac:dyDescent="0.2">
      <c r="A666" s="1" t="s">
        <v>131</v>
      </c>
      <c r="F666" s="183">
        <v>798.91</v>
      </c>
      <c r="G666" s="184">
        <v>408.23</v>
      </c>
      <c r="H666" s="184">
        <v>580.72</v>
      </c>
      <c r="I666" s="13">
        <f>SUM(F666:H666)</f>
        <v>1787.86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22262.28</v>
      </c>
      <c r="G668" s="13">
        <f>ROUND(G665/G666,2)</f>
        <v>20225.95</v>
      </c>
      <c r="H668" s="13">
        <f>ROUND(H665/H666,2)</f>
        <v>22132.01</v>
      </c>
      <c r="I668" s="13">
        <f>ROUND(I665/I666,2)</f>
        <v>21755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67</v>
      </c>
      <c r="I671" s="13">
        <f>SUM(F671:H671)</f>
        <v>67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22262.28</v>
      </c>
      <c r="G673" s="13">
        <f>ROUND((G665+G670)/(G666+G671),2)</f>
        <v>20225.95</v>
      </c>
      <c r="H673" s="13">
        <f>ROUND((H665+H670)/(H666+H671),2)</f>
        <v>19842.68</v>
      </c>
      <c r="I673" s="13">
        <f>ROUND((I665+I670)/(I666+I671),2)</f>
        <v>20969.18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ZQAopMnhIL2IopEAn7U0da9trkzevN9+rwJ0DXRUfxm+Ql9VpbYsa1iZBukZTzZwHROSXTmFpHqwC2qsgSfUaA==" saltValue="3wLwlyAqPtpFWYi8egOV/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0" sqref="E10"/>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947887.27</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137944.24</v>
      </c>
      <c r="F9" s="272" t="s">
        <v>1627</v>
      </c>
    </row>
    <row r="10" spans="2:8" x14ac:dyDescent="0.25">
      <c r="B10" s="271"/>
      <c r="C10" s="271"/>
      <c r="D10" s="271"/>
      <c r="E10" s="271"/>
      <c r="F10" s="271"/>
    </row>
    <row r="11" spans="2:8" x14ac:dyDescent="0.25">
      <c r="B11" s="271"/>
      <c r="C11" s="275" t="s">
        <v>1631</v>
      </c>
      <c r="D11" s="272" t="s">
        <v>1634</v>
      </c>
      <c r="E11" s="260">
        <v>7387.72</v>
      </c>
      <c r="F11" s="272" t="s">
        <v>1628</v>
      </c>
    </row>
    <row r="12" spans="2:8" x14ac:dyDescent="0.25">
      <c r="B12" s="271"/>
      <c r="C12" s="271"/>
      <c r="D12" s="272"/>
      <c r="E12" s="271"/>
      <c r="F12" s="271"/>
    </row>
    <row r="13" spans="2:8" x14ac:dyDescent="0.25">
      <c r="B13" s="271"/>
      <c r="C13" s="272" t="s">
        <v>1621</v>
      </c>
      <c r="D13" s="272" t="s">
        <v>1635</v>
      </c>
      <c r="E13" s="260">
        <v>3162.44</v>
      </c>
      <c r="F13" s="272" t="s">
        <v>1629</v>
      </c>
    </row>
    <row r="14" spans="2:8" x14ac:dyDescent="0.25">
      <c r="B14" s="271"/>
      <c r="C14" s="271"/>
      <c r="D14" s="272"/>
      <c r="E14" s="271"/>
      <c r="F14" s="271"/>
    </row>
    <row r="15" spans="2:8" x14ac:dyDescent="0.25">
      <c r="B15" s="271"/>
      <c r="C15" s="272" t="s">
        <v>1623</v>
      </c>
      <c r="D15" s="272" t="s">
        <v>1636</v>
      </c>
      <c r="E15" s="260">
        <v>782687.8</v>
      </c>
      <c r="F15" s="272" t="s">
        <v>1630</v>
      </c>
    </row>
    <row r="16" spans="2:8" x14ac:dyDescent="0.25">
      <c r="B16" s="271"/>
      <c r="C16" s="271"/>
      <c r="D16" s="271"/>
      <c r="E16" s="271"/>
      <c r="F16" s="271"/>
    </row>
    <row r="17" spans="2:8" x14ac:dyDescent="0.25">
      <c r="B17" s="271"/>
      <c r="C17" s="272" t="s">
        <v>1622</v>
      </c>
      <c r="D17" s="272" t="s">
        <v>1637</v>
      </c>
      <c r="E17" s="260">
        <v>16705.07</v>
      </c>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Laconia</v>
      </c>
      <c r="C5" s="317"/>
      <c r="D5" s="317"/>
      <c r="E5" s="317"/>
      <c r="F5" s="317"/>
    </row>
    <row r="8" spans="1:9" ht="18" x14ac:dyDescent="0.25">
      <c r="A8" s="240" t="s">
        <v>1560</v>
      </c>
      <c r="F8" s="247" t="s">
        <v>1578</v>
      </c>
    </row>
    <row r="9" spans="1:9" ht="15" x14ac:dyDescent="0.2">
      <c r="A9" s="238" t="s">
        <v>1561</v>
      </c>
      <c r="B9" s="241">
        <f>'DOE25'!G97</f>
        <v>303732.28999999998</v>
      </c>
      <c r="F9" s="238" t="s">
        <v>1574</v>
      </c>
    </row>
    <row r="10" spans="1:9" ht="15" x14ac:dyDescent="0.2">
      <c r="A10" s="238" t="s">
        <v>1562</v>
      </c>
      <c r="B10" s="241">
        <f>'DOE25'!G112-'DOE25'!G97</f>
        <v>0</v>
      </c>
      <c r="F10" s="238" t="s">
        <v>1575</v>
      </c>
    </row>
    <row r="11" spans="1:9" ht="15" x14ac:dyDescent="0.2">
      <c r="A11" s="238" t="s">
        <v>1563</v>
      </c>
      <c r="B11" s="241">
        <f>'DOE25'!G140</f>
        <v>137998.79</v>
      </c>
      <c r="F11" s="238" t="s">
        <v>1576</v>
      </c>
    </row>
    <row r="12" spans="1:9" ht="15" x14ac:dyDescent="0.2">
      <c r="A12" s="238" t="s">
        <v>1564</v>
      </c>
      <c r="B12" s="241">
        <f>'DOE25'!G170</f>
        <v>888368.69</v>
      </c>
      <c r="F12" s="238" t="s">
        <v>1577</v>
      </c>
    </row>
    <row r="13" spans="1:9" ht="15" x14ac:dyDescent="0.2">
      <c r="A13" s="238" t="s">
        <v>1565</v>
      </c>
      <c r="B13" s="241">
        <f>'DOE25'!G193-'DOE25'!G180</f>
        <v>0</v>
      </c>
      <c r="F13" s="238" t="s">
        <v>1587</v>
      </c>
    </row>
    <row r="14" spans="1:9" ht="18" x14ac:dyDescent="0.25">
      <c r="A14" s="240" t="s">
        <v>732</v>
      </c>
      <c r="B14" s="242">
        <f>SUM(B9:B13)</f>
        <v>1330099.77</v>
      </c>
    </row>
    <row r="16" spans="1:9" ht="18" x14ac:dyDescent="0.25">
      <c r="A16" s="240" t="s">
        <v>786</v>
      </c>
      <c r="F16" s="247" t="s">
        <v>1579</v>
      </c>
    </row>
    <row r="17" spans="1:6" ht="15" x14ac:dyDescent="0.2">
      <c r="A17" s="238" t="s">
        <v>1566</v>
      </c>
      <c r="B17" s="241">
        <f>'DOE25'!L363-'DOE25'!L362</f>
        <v>1380367.6500000001</v>
      </c>
      <c r="F17" s="238" t="s">
        <v>1580</v>
      </c>
    </row>
    <row r="18" spans="1:6" ht="15" x14ac:dyDescent="0.2">
      <c r="A18" s="238" t="s">
        <v>1567</v>
      </c>
      <c r="B18" s="251"/>
      <c r="F18" s="247" t="s">
        <v>1604</v>
      </c>
    </row>
    <row r="19" spans="1:6" ht="18" x14ac:dyDescent="0.25">
      <c r="A19" s="240" t="s">
        <v>725</v>
      </c>
      <c r="B19" s="242">
        <f>SUM(B17:B18)</f>
        <v>1380367.6500000001</v>
      </c>
    </row>
    <row r="21" spans="1:6" ht="18.75" thickBot="1" x14ac:dyDescent="0.3">
      <c r="A21" s="240" t="s">
        <v>1568</v>
      </c>
    </row>
    <row r="22" spans="1:6" ht="18.75" thickTop="1" x14ac:dyDescent="0.25">
      <c r="A22" s="240" t="s">
        <v>1569</v>
      </c>
      <c r="B22" s="246">
        <f>B14-B19</f>
        <v>-50267.880000000121</v>
      </c>
      <c r="F22" s="238" t="s">
        <v>1581</v>
      </c>
    </row>
    <row r="26" spans="1:6" ht="18" x14ac:dyDescent="0.25">
      <c r="A26" s="240" t="s">
        <v>186</v>
      </c>
    </row>
    <row r="27" spans="1:6" ht="15" x14ac:dyDescent="0.2">
      <c r="A27" s="238" t="s">
        <v>1570</v>
      </c>
      <c r="B27" s="241">
        <f>'DOE25'!G180</f>
        <v>50267.88</v>
      </c>
      <c r="F27" s="238" t="s">
        <v>1582</v>
      </c>
    </row>
    <row r="28" spans="1:6" ht="15" x14ac:dyDescent="0.2">
      <c r="A28" s="238" t="s">
        <v>1572</v>
      </c>
      <c r="B28" s="241">
        <f>'DOE25'!L362</f>
        <v>0</v>
      </c>
      <c r="F28" s="238" t="s">
        <v>1583</v>
      </c>
    </row>
    <row r="31" spans="1:6" ht="15" x14ac:dyDescent="0.2">
      <c r="A31" s="238" t="s">
        <v>1797</v>
      </c>
      <c r="B31" s="241">
        <f>'DOE25'!G466</f>
        <v>0</v>
      </c>
      <c r="F31" s="238" t="s">
        <v>1584</v>
      </c>
    </row>
    <row r="33" spans="1:6" ht="15" x14ac:dyDescent="0.2">
      <c r="A33" s="238" t="s">
        <v>1798</v>
      </c>
      <c r="B33" s="241">
        <f>'DOE25'!G477</f>
        <v>0</v>
      </c>
      <c r="F33" s="238" t="s">
        <v>1585</v>
      </c>
    </row>
    <row r="36" spans="1:6" ht="15" x14ac:dyDescent="0.2">
      <c r="A36" s="238" t="s">
        <v>1571</v>
      </c>
      <c r="B36" s="252">
        <v>80904.78</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zoomScaleNormal="100"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Laconia</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10415925.469999999</v>
      </c>
      <c r="C9" s="167">
        <f>'DOE25'!G198+'DOE25'!G216+'DOE25'!G234+'DOE25'!G277+'DOE25'!G296+'DOE25'!G315</f>
        <v>5343335.2200000007</v>
      </c>
    </row>
    <row r="10" spans="1:3" x14ac:dyDescent="0.2">
      <c r="A10" t="s">
        <v>775</v>
      </c>
      <c r="B10" s="177">
        <v>9222469.5500000007</v>
      </c>
      <c r="C10" s="177">
        <v>4728851.67</v>
      </c>
    </row>
    <row r="11" spans="1:3" x14ac:dyDescent="0.2">
      <c r="A11" t="s">
        <v>776</v>
      </c>
      <c r="B11" s="177">
        <v>1076.8900000000001</v>
      </c>
      <c r="C11" s="177">
        <v>82.38</v>
      </c>
    </row>
    <row r="12" spans="1:3" x14ac:dyDescent="0.2">
      <c r="A12" t="s">
        <v>777</v>
      </c>
      <c r="B12" s="177">
        <v>1192379.03</v>
      </c>
      <c r="C12" s="177">
        <v>614401.17000000004</v>
      </c>
    </row>
    <row r="13" spans="1:3" x14ac:dyDescent="0.2">
      <c r="A13" t="str">
        <f>IF(B9=B13,IF(C9=C13,"Check Total OK","Check Total Error"),"Check Total Error")</f>
        <v>Check Total OK</v>
      </c>
      <c r="B13" s="169">
        <f>SUM(B10:B12)</f>
        <v>10415925.470000001</v>
      </c>
      <c r="C13" s="169">
        <f>SUM(C10:C12)</f>
        <v>5343335.22</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3616759.8499999996</v>
      </c>
      <c r="C18" s="167">
        <f>'DOE25'!G199+'DOE25'!G217+'DOE25'!G235+'DOE25'!G278+'DOE25'!G297+'DOE25'!G316</f>
        <v>1960456.69</v>
      </c>
    </row>
    <row r="19" spans="1:3" x14ac:dyDescent="0.2">
      <c r="A19" t="s">
        <v>775</v>
      </c>
      <c r="B19" s="177">
        <v>2041345.27</v>
      </c>
      <c r="C19" s="177">
        <v>1105697.57</v>
      </c>
    </row>
    <row r="20" spans="1:3" x14ac:dyDescent="0.2">
      <c r="A20" t="s">
        <v>776</v>
      </c>
      <c r="B20" s="177">
        <f>1227690.83+32789.75</f>
        <v>1260480.58</v>
      </c>
      <c r="C20" s="177">
        <v>682238.93</v>
      </c>
    </row>
    <row r="21" spans="1:3" x14ac:dyDescent="0.2">
      <c r="A21" t="s">
        <v>777</v>
      </c>
      <c r="B21" s="177">
        <v>314934</v>
      </c>
      <c r="C21" s="177">
        <v>172520.19</v>
      </c>
    </row>
    <row r="22" spans="1:3" x14ac:dyDescent="0.2">
      <c r="A22" t="str">
        <f>IF(B18=B22,IF(C18=C22,"Check Total OK","Check Total Error"),"Check Total Error")</f>
        <v>Check Total OK</v>
      </c>
      <c r="B22" s="169">
        <f>SUM(B19:B21)</f>
        <v>3616759.85</v>
      </c>
      <c r="C22" s="169">
        <f>SUM(C19:C21)</f>
        <v>1960456.69</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893951.28</v>
      </c>
      <c r="C27" s="172">
        <f>'DOE25'!G200+'DOE25'!G218+'DOE25'!G236+'DOE25'!G279+'DOE25'!G298+'DOE25'!G317</f>
        <v>401204.62</v>
      </c>
    </row>
    <row r="28" spans="1:3" x14ac:dyDescent="0.2">
      <c r="A28" t="s">
        <v>775</v>
      </c>
      <c r="B28" s="177">
        <f>613394.12+45045+35977.81</f>
        <v>694416.92999999993</v>
      </c>
      <c r="C28" s="177">
        <v>311334.78000000003</v>
      </c>
    </row>
    <row r="29" spans="1:3" x14ac:dyDescent="0.2">
      <c r="A29" t="s">
        <v>776</v>
      </c>
      <c r="B29" s="177">
        <v>20511.169999999998</v>
      </c>
      <c r="C29" s="177">
        <v>8826.5</v>
      </c>
    </row>
    <row r="30" spans="1:3" x14ac:dyDescent="0.2">
      <c r="A30" t="s">
        <v>777</v>
      </c>
      <c r="B30" s="177">
        <v>179023.18</v>
      </c>
      <c r="C30" s="177">
        <v>81043.34</v>
      </c>
    </row>
    <row r="31" spans="1:3" x14ac:dyDescent="0.2">
      <c r="A31" t="str">
        <f>IF(B27=B31,IF(C27=C31,"Check Total OK","Check Total Error"),"Check Total Error")</f>
        <v>Check Total OK</v>
      </c>
      <c r="B31" s="169">
        <f>SUM(B28:B30)</f>
        <v>893951.28</v>
      </c>
      <c r="C31" s="169">
        <f>SUM(C28:C30)</f>
        <v>401204.62</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215491</v>
      </c>
      <c r="C36" s="173">
        <f>'DOE25'!G201+'DOE25'!G219+'DOE25'!G237+'DOE25'!G280+'DOE25'!G299+'DOE25'!G318</f>
        <v>112047.51000000001</v>
      </c>
    </row>
    <row r="37" spans="1:3" x14ac:dyDescent="0.2">
      <c r="A37" t="s">
        <v>775</v>
      </c>
      <c r="B37" s="177"/>
      <c r="C37" s="177"/>
    </row>
    <row r="38" spans="1:3" x14ac:dyDescent="0.2">
      <c r="A38" t="s">
        <v>776</v>
      </c>
      <c r="B38" s="177"/>
      <c r="C38" s="177"/>
    </row>
    <row r="39" spans="1:3" x14ac:dyDescent="0.2">
      <c r="A39" t="s">
        <v>777</v>
      </c>
      <c r="B39" s="177">
        <v>215491</v>
      </c>
      <c r="C39" s="177">
        <v>112047.51</v>
      </c>
    </row>
    <row r="40" spans="1:3" x14ac:dyDescent="0.2">
      <c r="A40" t="str">
        <f>IF(B36=B40,IF(C36=C40,"Check Total OK","Check Total Error"),"Check Total Error")</f>
        <v>Check Total OK</v>
      </c>
      <c r="B40" s="169">
        <f>SUM(B37:B39)</f>
        <v>215491</v>
      </c>
      <c r="C40" s="169">
        <f>SUM(C37:C39)</f>
        <v>112047.51</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F5" sqref="F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Laconia</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22691031.009999998</v>
      </c>
      <c r="D5" s="19">
        <f>SUM('DOE25'!L198:L201)+SUM('DOE25'!L216:L219)+SUM('DOE25'!L234:L237)-F5-G5-H5</f>
        <v>22626771.529999997</v>
      </c>
      <c r="E5" s="180"/>
      <c r="F5" s="181"/>
      <c r="G5" s="19">
        <f>SUM('DOE25'!J198:J201)+SUM('DOE25'!J216:J219)+SUM('DOE25'!J234:J237)</f>
        <v>62908.68</v>
      </c>
      <c r="H5" s="19">
        <f>SUM('DOE25'!K198:K201)+SUM('DOE25'!K216:K219)+SUM('DOE25'!K234:K237)</f>
        <v>1350.8</v>
      </c>
      <c r="I5" s="192"/>
    </row>
    <row r="6" spans="1:9" x14ac:dyDescent="0.2">
      <c r="A6" s="31">
        <v>2100</v>
      </c>
      <c r="B6" t="s">
        <v>796</v>
      </c>
      <c r="C6" s="206">
        <f t="shared" si="0"/>
        <v>2248536.66</v>
      </c>
      <c r="D6" s="19">
        <f>'DOE25'!L203+'DOE25'!L221+'DOE25'!L239-F6-G6-H6</f>
        <v>2242923.66</v>
      </c>
      <c r="E6" s="180"/>
      <c r="F6" s="181"/>
      <c r="G6" s="19">
        <f>'DOE25'!J203+'DOE25'!J221+'DOE25'!J239</f>
        <v>5613</v>
      </c>
      <c r="H6" s="19">
        <f>'DOE25'!K203+'DOE25'!K221+'DOE25'!K239</f>
        <v>0</v>
      </c>
      <c r="I6" s="192"/>
    </row>
    <row r="7" spans="1:9" x14ac:dyDescent="0.2">
      <c r="A7" s="31">
        <v>2200</v>
      </c>
      <c r="B7" t="s">
        <v>820</v>
      </c>
      <c r="C7" s="206">
        <f t="shared" si="0"/>
        <v>1769623.69</v>
      </c>
      <c r="D7" s="19">
        <f>'DOE25'!L204+'DOE25'!L222+'DOE25'!L240-F7-G7-H7</f>
        <v>1497347.41</v>
      </c>
      <c r="E7" s="180"/>
      <c r="F7" s="181"/>
      <c r="G7" s="19">
        <f>'DOE25'!J204+'DOE25'!J222+'DOE25'!J240</f>
        <v>272276.28000000003</v>
      </c>
      <c r="H7" s="19">
        <f>'DOE25'!K204+'DOE25'!K222+'DOE25'!K240</f>
        <v>0</v>
      </c>
      <c r="I7" s="192"/>
    </row>
    <row r="8" spans="1:9" x14ac:dyDescent="0.2">
      <c r="A8" s="31">
        <v>2300</v>
      </c>
      <c r="B8" t="s">
        <v>797</v>
      </c>
      <c r="C8" s="206">
        <f t="shared" si="0"/>
        <v>954010.21000000008</v>
      </c>
      <c r="D8" s="180"/>
      <c r="E8" s="19">
        <f>'DOE25'!L205+'DOE25'!L223+'DOE25'!L241-F8-G8-H8-D9-D11</f>
        <v>920461.64000000013</v>
      </c>
      <c r="F8" s="181"/>
      <c r="G8" s="19">
        <f>'DOE25'!J205+'DOE25'!J223+'DOE25'!J241</f>
        <v>0</v>
      </c>
      <c r="H8" s="19">
        <f>'DOE25'!K205+'DOE25'!K223+'DOE25'!K241</f>
        <v>33548.57</v>
      </c>
      <c r="I8" s="192"/>
    </row>
    <row r="9" spans="1:9" ht="14.25" x14ac:dyDescent="0.2">
      <c r="A9" s="31">
        <v>2310</v>
      </c>
      <c r="B9" s="71" t="s">
        <v>887</v>
      </c>
      <c r="C9" s="206">
        <f t="shared" si="0"/>
        <v>0</v>
      </c>
      <c r="D9" s="181"/>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2377444.86</v>
      </c>
      <c r="D12" s="19">
        <f>'DOE25'!L206+'DOE25'!L224+'DOE25'!L242-F12-G12-H12</f>
        <v>2365136.71</v>
      </c>
      <c r="E12" s="180"/>
      <c r="F12" s="181"/>
      <c r="G12" s="19">
        <f>'DOE25'!J206+'DOE25'!J224+'DOE25'!J242</f>
        <v>0</v>
      </c>
      <c r="H12" s="19">
        <f>'DOE25'!K206+'DOE25'!K224+'DOE25'!K242</f>
        <v>12308.15</v>
      </c>
      <c r="I12" s="192"/>
    </row>
    <row r="13" spans="1:9" x14ac:dyDescent="0.2">
      <c r="A13" s="31">
        <v>2500</v>
      </c>
      <c r="B13" t="s">
        <v>798</v>
      </c>
      <c r="C13" s="206">
        <f t="shared" si="0"/>
        <v>454222.77999999997</v>
      </c>
      <c r="D13" s="180"/>
      <c r="E13" s="19">
        <f>'DOE25'!L207+'DOE25'!L225+'DOE25'!L243-F13-G13-H13</f>
        <v>454222.77999999997</v>
      </c>
      <c r="F13" s="181"/>
      <c r="G13" s="19">
        <f>'DOE25'!J207+'DOE25'!J225+'DOE25'!J243</f>
        <v>0</v>
      </c>
      <c r="H13" s="19">
        <f>'DOE25'!K207+'DOE25'!K225+'DOE25'!K243</f>
        <v>0</v>
      </c>
      <c r="I13" s="192"/>
    </row>
    <row r="14" spans="1:9" x14ac:dyDescent="0.2">
      <c r="A14" s="31">
        <v>2600</v>
      </c>
      <c r="B14" t="s">
        <v>818</v>
      </c>
      <c r="C14" s="206">
        <f t="shared" si="0"/>
        <v>3275954.33</v>
      </c>
      <c r="D14" s="19">
        <f>'DOE25'!L208+'DOE25'!L226+'DOE25'!L244-F14-G14-H14</f>
        <v>3255571.5</v>
      </c>
      <c r="E14" s="180"/>
      <c r="F14" s="181"/>
      <c r="G14" s="19">
        <f>'DOE25'!J208+'DOE25'!J226+'DOE25'!J244</f>
        <v>20382.829999999998</v>
      </c>
      <c r="H14" s="19">
        <f>'DOE25'!K208+'DOE25'!K226+'DOE25'!K244</f>
        <v>0</v>
      </c>
      <c r="I14" s="192"/>
    </row>
    <row r="15" spans="1:9" x14ac:dyDescent="0.2">
      <c r="A15" s="31">
        <v>2700</v>
      </c>
      <c r="B15" t="s">
        <v>799</v>
      </c>
      <c r="C15" s="206">
        <f t="shared" si="0"/>
        <v>921746.54</v>
      </c>
      <c r="D15" s="19">
        <f>'DOE25'!L209+'DOE25'!L227+'DOE25'!L245-F15-G15-H15</f>
        <v>921746.54</v>
      </c>
      <c r="E15" s="180"/>
      <c r="F15" s="181"/>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402851.39</v>
      </c>
      <c r="D17" s="19">
        <f>'DOE25'!L252-F17-G17-H17</f>
        <v>401180.09</v>
      </c>
      <c r="E17" s="180"/>
      <c r="F17" s="181"/>
      <c r="G17" s="19">
        <f>'DOE25'!J252</f>
        <v>0</v>
      </c>
      <c r="H17" s="19">
        <f>'DOE25'!K252</f>
        <v>1671.3</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669145.37</v>
      </c>
      <c r="D22" s="180"/>
      <c r="E22" s="180"/>
      <c r="F22" s="180"/>
      <c r="G22" s="19">
        <f>'DOE25'!L256+'DOE25'!L337</f>
        <v>669145.37</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2123512.71</v>
      </c>
      <c r="D25" s="180"/>
      <c r="E25" s="180"/>
      <c r="F25" s="191"/>
      <c r="G25" s="180"/>
      <c r="H25" s="180"/>
      <c r="I25" s="190">
        <f>'DOE25'!L261+'DOE25'!L262+'DOE25'!L342+'DOE25'!L343</f>
        <v>2123512.71</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684006.95000000019</v>
      </c>
      <c r="D29" s="212">
        <f>'DOE25'!L359+'DOE25'!L360+'DOE25'!L361-'DOE25'!I368-F29-G29-H29-F39</f>
        <v>669058.76000000024</v>
      </c>
      <c r="E29" s="180"/>
      <c r="F29" s="180"/>
      <c r="G29" s="19">
        <f>'DOE25'!J359+'DOE25'!J360+'DOE25'!J361</f>
        <v>14948.19</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6176727.0800000001</v>
      </c>
      <c r="D31" s="19">
        <f>'DOE25'!L291+'DOE25'!L310+'DOE25'!L329+'DOE25'!L334+'DOE25'!L335+'DOE25'!L336-F31-G31-H31</f>
        <v>5482033.5999999996</v>
      </c>
      <c r="E31" s="180"/>
      <c r="F31" s="181"/>
      <c r="G31" s="19">
        <f>'DOE25'!J291+'DOE25'!J310+'DOE25'!J329+'DOE25'!J334+'DOE25'!J335+'DOE25'!J336</f>
        <v>688678.48</v>
      </c>
      <c r="H31" s="19">
        <f>'DOE25'!K291+'DOE25'!K310+'DOE25'!K329+'DOE25'!K334+'DOE25'!K335+'DOE25'!K336</f>
        <v>6015</v>
      </c>
      <c r="I31" s="192"/>
    </row>
    <row r="32" spans="1:9" ht="12" thickBot="1" x14ac:dyDescent="0.25">
      <c r="C32" s="207"/>
      <c r="G32" s="188"/>
      <c r="H32" s="188"/>
      <c r="I32" s="194"/>
    </row>
    <row r="33" spans="1:9" ht="12" thickTop="1" x14ac:dyDescent="0.2">
      <c r="B33" t="s">
        <v>809</v>
      </c>
      <c r="D33" s="182">
        <f t="shared" ref="D33:I33" si="1">SUM(D5:D31)</f>
        <v>39461769.799999997</v>
      </c>
      <c r="E33" s="182">
        <f t="shared" si="1"/>
        <v>1374684.4200000002</v>
      </c>
      <c r="F33" s="182">
        <f t="shared" si="1"/>
        <v>0</v>
      </c>
      <c r="G33" s="182">
        <f t="shared" si="1"/>
        <v>1733952.83</v>
      </c>
      <c r="H33" s="182">
        <f t="shared" si="1"/>
        <v>54893.820000000007</v>
      </c>
      <c r="I33" s="182">
        <f t="shared" si="1"/>
        <v>2123512.71</v>
      </c>
    </row>
    <row r="34" spans="1:9" ht="12" thickBot="1" x14ac:dyDescent="0.25"/>
    <row r="35" spans="1:9" ht="12" thickBot="1" x14ac:dyDescent="0.25">
      <c r="B35" s="188" t="s">
        <v>830</v>
      </c>
      <c r="D35" s="189">
        <f>E33</f>
        <v>1374684.4200000002</v>
      </c>
      <c r="E35" s="185"/>
      <c r="F35" s="295" t="s">
        <v>1608</v>
      </c>
      <c r="G35" s="296"/>
      <c r="H35" s="296"/>
      <c r="I35" s="297"/>
    </row>
    <row r="36" spans="1:9" ht="12" thickTop="1" x14ac:dyDescent="0.2">
      <c r="B36" t="s">
        <v>810</v>
      </c>
      <c r="D36" s="19">
        <f>D33</f>
        <v>39461769.799999997</v>
      </c>
      <c r="F36" s="298" t="s">
        <v>1606</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4" zoomScale="80" zoomScaleNormal="80" workbookViewId="0">
      <selection activeCell="D8" sqref="D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Laconia</v>
      </c>
      <c r="B2">
        <f>'DOE25'!B2</f>
        <v>285</v>
      </c>
      <c r="J2" s="224" t="s">
        <v>1808</v>
      </c>
      <c r="K2" s="309">
        <f>SUM('DOE25'!L198:L201)+SUM('DOE25'!L216:L219)+SUM('DOE25'!L234:L237)+SUM('DOE25'!L277:L280)+SUM('DOE25'!L296:L299)+SUM('DOE25'!L315:L318)</f>
        <v>27052804.039999995</v>
      </c>
      <c r="L2" s="309">
        <f>'DOE25'!L203+'DOE25'!L221+'DOE25'!L239+'DOE25'!L282+'DOE25'!L301+'DOE25'!L320</f>
        <v>2672109.0600000005</v>
      </c>
      <c r="M2" s="309">
        <f>'DOE25'!L204+'DOE25'!L222+'DOE25'!L240+'DOE25'!L283+'DOE25'!L302+'DOE25'!L321</f>
        <v>2707434.51</v>
      </c>
      <c r="N2" s="309">
        <f>'DOE25'!L206+'DOE25'!L224+'DOE25'!L242+'DOE25'!L285+'DOE25'!L304+'DOE25'!L323</f>
        <v>2377444.86</v>
      </c>
      <c r="O2" s="309">
        <f>'Salaries-Benefits'!B10+'Salaries-Benefits'!B12+'Salaries-Benefits'!B19+'Salaries-Benefits'!B21+'Salaries-Benefits'!B28+'Salaries-Benefits'!B30+'Salaries-Benefits'!B37+'Salaries-Benefits'!B39</f>
        <v>13860058.959999999</v>
      </c>
      <c r="P2" s="309">
        <f>'Salaries-Benefits'!B11+'Salaries-Benefits'!B20+'Salaries-Benefits'!B29+'Salaries-Benefits'!B38</f>
        <v>1282068.6399999999</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0</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18275263.390000001</v>
      </c>
      <c r="G4" s="229">
        <f>'DOE25'!L212+'DOE25'!L291</f>
        <v>18275263.390000001</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Elm Street School</v>
      </c>
      <c r="B6" s="230">
        <f>IFERROR(VLOOKUP(A6,'School Tables'!$C$3:$D$365,2,FALSE),"")</f>
        <v>21290</v>
      </c>
      <c r="C6" s="223" t="str">
        <f>IFERROR(INDEX('School Tables'!$B$3:$B$365,MATCH('School Level Expenditures'!B6,'School Tables'!$D$3:$D$365,0)),"")</f>
        <v>Laconia</v>
      </c>
      <c r="D6" s="220">
        <v>4736366.3499999996</v>
      </c>
      <c r="E6" s="220">
        <v>983791.15</v>
      </c>
      <c r="F6" s="232">
        <f t="shared" ref="F6:F20" si="1">D6+E6</f>
        <v>5720157.5</v>
      </c>
      <c r="G6" s="223"/>
      <c r="H6" s="223"/>
      <c r="J6" t="str">
        <f>A6</f>
        <v>Elm Street School</v>
      </c>
      <c r="K6" s="20">
        <v>3824252.8</v>
      </c>
      <c r="L6" s="20">
        <v>443727.57</v>
      </c>
      <c r="M6" s="308">
        <v>396193.8</v>
      </c>
      <c r="N6" s="20">
        <v>278485.99</v>
      </c>
      <c r="O6" s="20">
        <v>1995571.29</v>
      </c>
      <c r="P6" s="20">
        <v>184592.24</v>
      </c>
      <c r="Q6" s="20">
        <v>225</v>
      </c>
    </row>
    <row r="7" spans="1:21" x14ac:dyDescent="0.2">
      <c r="A7" t="str" cm="1">
        <f t="array" ref="A7">IFERROR(INDEX('School Tables'!$A$4:$G$325,'School Tables'!$J5,3),"")</f>
        <v>Pleasant Street School</v>
      </c>
      <c r="B7" s="230">
        <f>IFERROR(VLOOKUP(A7,'School Tables'!$C$3:$D$365,2,FALSE),"")</f>
        <v>21260</v>
      </c>
      <c r="C7" s="223" t="str">
        <f>IFERROR(INDEX('School Tables'!$B$3:$B$365,MATCH('School Level Expenditures'!B7,'School Tables'!$D$3:$D$365,0)),"")</f>
        <v>Laconia</v>
      </c>
      <c r="D7" s="220">
        <v>4842291.2699999996</v>
      </c>
      <c r="E7" s="220">
        <v>1005792.87</v>
      </c>
      <c r="F7" s="232">
        <f t="shared" si="1"/>
        <v>5848084.1399999997</v>
      </c>
      <c r="G7" s="223"/>
      <c r="H7" s="223"/>
      <c r="J7" t="str">
        <f t="shared" ref="J7:J20" si="2">A7</f>
        <v>Pleasant Street School</v>
      </c>
      <c r="K7" s="20">
        <v>3909779.22</v>
      </c>
      <c r="L7" s="20">
        <v>453651.19</v>
      </c>
      <c r="M7" s="308">
        <v>405054.37</v>
      </c>
      <c r="N7" s="20">
        <v>284714.11</v>
      </c>
      <c r="O7" s="20">
        <v>2040200.68</v>
      </c>
      <c r="P7" s="20">
        <v>188720.5</v>
      </c>
      <c r="Q7" s="20">
        <v>7541.65</v>
      </c>
    </row>
    <row r="8" spans="1:21" x14ac:dyDescent="0.2">
      <c r="A8" t="str" cm="1">
        <f t="array" ref="A8">IFERROR(INDEX('School Tables'!$A$4:$G$325,'School Tables'!$J6,3),"")</f>
        <v>Woodland Heights Elementary School</v>
      </c>
      <c r="B8" s="230">
        <f>IFERROR(VLOOKUP(A8,'School Tables'!$C$3:$D$365,2,FALSE),"")</f>
        <v>21285</v>
      </c>
      <c r="C8" s="223" t="str">
        <f>IFERROR(INDEX('School Tables'!$B$3:$B$365,MATCH('School Level Expenditures'!B8,'School Tables'!$D$3:$D$365,0)),"")</f>
        <v>Laconia</v>
      </c>
      <c r="D8" s="220">
        <v>5553503.04</v>
      </c>
      <c r="E8" s="220">
        <v>1153518.71</v>
      </c>
      <c r="F8" s="232">
        <f t="shared" si="1"/>
        <v>6707021.75</v>
      </c>
      <c r="G8" s="223"/>
      <c r="H8" s="223"/>
      <c r="J8" t="str">
        <f t="shared" si="2"/>
        <v>Woodland Heights Elementary School</v>
      </c>
      <c r="K8" s="20">
        <f>4471809.99+12218.05</f>
        <v>4484028.04</v>
      </c>
      <c r="L8" s="20">
        <v>520281.21</v>
      </c>
      <c r="M8" s="308">
        <v>464546.74</v>
      </c>
      <c r="N8" s="20">
        <v>326531.49</v>
      </c>
      <c r="O8" s="20">
        <v>2339855.15</v>
      </c>
      <c r="P8" s="20">
        <v>216438.84</v>
      </c>
      <c r="Q8" s="20">
        <v>13115.27</v>
      </c>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15132160.66</v>
      </c>
      <c r="E21" s="262">
        <f>SUM(E5:E20)</f>
        <v>3143102.73</v>
      </c>
      <c r="F21" s="217"/>
      <c r="G21" s="217"/>
      <c r="H21" s="217"/>
      <c r="K21" s="263">
        <f t="shared" ref="K21:Q21" si="3">SUM(K5:K20)</f>
        <v>12218060.059999999</v>
      </c>
      <c r="L21" s="263">
        <f t="shared" si="3"/>
        <v>1417659.97</v>
      </c>
      <c r="M21" s="263">
        <f t="shared" si="3"/>
        <v>1265794.9099999999</v>
      </c>
      <c r="N21" s="263">
        <f t="shared" si="3"/>
        <v>889731.59</v>
      </c>
      <c r="O21" s="263">
        <f t="shared" si="3"/>
        <v>6375627.1199999992</v>
      </c>
      <c r="P21" s="263">
        <f t="shared" si="3"/>
        <v>589751.57999999996</v>
      </c>
      <c r="Q21" s="263">
        <f t="shared" si="3"/>
        <v>20881.919999999998</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8716119.4899999984</v>
      </c>
      <c r="G24" s="229">
        <f>'DOE25'!L230+'DOE25'!L310</f>
        <v>8716119.4899999984</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Laconia Middle School</v>
      </c>
      <c r="B26" s="230">
        <f>IFERROR(VLOOKUP(A26,'School Tables'!$N$4:$O$75,2,FALSE),"")</f>
        <v>21275</v>
      </c>
      <c r="C26" s="223" t="str">
        <f>IFERROR(INDEX('School Tables'!$M$4:$M$75,MATCH('School Level Expenditures'!A26,'School Tables'!$N$4:$N$75,0)),"")</f>
        <v>Laconia</v>
      </c>
      <c r="D26" s="220">
        <v>7752340.8499999987</v>
      </c>
      <c r="E26" s="220">
        <v>963778.64</v>
      </c>
      <c r="F26" s="232">
        <f t="shared" ref="F26:F32" si="4">D26+E26</f>
        <v>8716119.4899999984</v>
      </c>
      <c r="G26" s="223"/>
      <c r="H26" s="223"/>
      <c r="J26" t="str">
        <f t="shared" ref="J26:J32" si="5">A26</f>
        <v>Laconia Middle School</v>
      </c>
      <c r="K26" s="20">
        <v>5817691.0999999996</v>
      </c>
      <c r="L26" s="20">
        <v>440733.29</v>
      </c>
      <c r="M26" s="308">
        <v>624093.06999999995</v>
      </c>
      <c r="N26" s="20">
        <v>465955.76999999996</v>
      </c>
      <c r="O26" s="20">
        <v>3049212.97</v>
      </c>
      <c r="P26" s="20">
        <v>282055.09999999998</v>
      </c>
      <c r="Q26" s="20">
        <v>3751.13</v>
      </c>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7752340.8499999987</v>
      </c>
      <c r="E33" s="262">
        <f>SUM(E25:E32)</f>
        <v>963778.64</v>
      </c>
      <c r="F33" s="217"/>
      <c r="G33" s="217"/>
      <c r="H33" s="217"/>
      <c r="K33" s="263">
        <f t="shared" ref="K33:Q33" si="6">SUM(K25:K32)</f>
        <v>5817691.0999999996</v>
      </c>
      <c r="L33" s="263">
        <f t="shared" si="6"/>
        <v>440733.29</v>
      </c>
      <c r="M33" s="263">
        <f t="shared" si="6"/>
        <v>624093.06999999995</v>
      </c>
      <c r="N33" s="263">
        <f t="shared" si="6"/>
        <v>465955.76999999996</v>
      </c>
      <c r="O33" s="263">
        <f t="shared" si="6"/>
        <v>3049212.97</v>
      </c>
      <c r="P33" s="263">
        <f t="shared" si="6"/>
        <v>282055.09999999998</v>
      </c>
      <c r="Q33" s="263">
        <f t="shared" si="6"/>
        <v>3751.13</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13787286.239999998</v>
      </c>
      <c r="G36" s="229">
        <f>'DOE25'!L248+'DOE25'!L329</f>
        <v>13787286.239999998</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Laconia High School</v>
      </c>
      <c r="B38" s="230">
        <f>IFERROR(VLOOKUP(A38,'School Tables'!$Y$4:$Z$100,2,FALSE),"")</f>
        <v>21255</v>
      </c>
      <c r="C38" s="223" t="str">
        <f>IFERROR(INDEX('School Tables'!$X$4:$X$100,MATCH('School Level Expenditures'!A38,'School Tables'!$Y$4:$Y$100,0)),"")</f>
        <v>Laconia</v>
      </c>
      <c r="D38" s="220">
        <v>11808068.569999998</v>
      </c>
      <c r="E38" s="220">
        <v>1979217.6700000002</v>
      </c>
      <c r="F38" s="232">
        <f t="shared" si="7"/>
        <v>13787286.239999998</v>
      </c>
      <c r="G38" s="223"/>
      <c r="H38" s="223"/>
      <c r="J38" t="str">
        <f t="shared" ref="J38:J42" si="8">A38</f>
        <v>Laconia High School</v>
      </c>
      <c r="K38" s="20">
        <v>9017052.8800000008</v>
      </c>
      <c r="L38" s="20">
        <v>813715.8</v>
      </c>
      <c r="M38" s="308">
        <v>817546.53</v>
      </c>
      <c r="N38" s="20">
        <v>1021757.5</v>
      </c>
      <c r="O38" s="20">
        <v>4435218.87</v>
      </c>
      <c r="P38" s="20">
        <v>410261.96</v>
      </c>
      <c r="Q38" s="20">
        <v>21518.94</v>
      </c>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11808068.569999998</v>
      </c>
      <c r="E43" s="263">
        <f>SUM(E37:E42)</f>
        <v>1979217.6700000002</v>
      </c>
      <c r="K43" s="263">
        <f t="shared" ref="K43:Q43" si="9">SUM(K37:K42)</f>
        <v>9017052.8800000008</v>
      </c>
      <c r="L43" s="263">
        <f t="shared" si="9"/>
        <v>813715.8</v>
      </c>
      <c r="M43" s="263">
        <f t="shared" si="9"/>
        <v>817546.53</v>
      </c>
      <c r="N43" s="263">
        <f t="shared" si="9"/>
        <v>1021757.5</v>
      </c>
      <c r="O43" s="263">
        <f t="shared" si="9"/>
        <v>4435218.87</v>
      </c>
      <c r="P43" s="263">
        <f t="shared" si="9"/>
        <v>410261.96</v>
      </c>
      <c r="Q43" s="263">
        <f t="shared" si="9"/>
        <v>21518.94</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Laconia</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600</v>
      </c>
      <c r="D8" s="73">
        <f>'DOE25'!G9</f>
        <v>1280</v>
      </c>
      <c r="E8" s="73">
        <f>'DOE25'!H9</f>
        <v>0</v>
      </c>
      <c r="F8" s="73">
        <f>'DOE25'!I9</f>
        <v>0</v>
      </c>
      <c r="G8" s="73">
        <f>'DOE25'!J9</f>
        <v>0</v>
      </c>
      <c r="H8" s="13">
        <f>SUM(C8:G8)</f>
        <v>1880</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249722.15</v>
      </c>
      <c r="D10" s="23" t="s">
        <v>288</v>
      </c>
      <c r="E10" s="23" t="s">
        <v>288</v>
      </c>
      <c r="F10" s="23" t="s">
        <v>288</v>
      </c>
      <c r="G10" s="23" t="s">
        <v>288</v>
      </c>
      <c r="H10" s="13">
        <f t="shared" si="0"/>
        <v>249722.15</v>
      </c>
      <c r="I10" s="90"/>
    </row>
    <row r="11" spans="1:9" x14ac:dyDescent="0.2">
      <c r="A11" s="1" t="s">
        <v>142</v>
      </c>
      <c r="B11" s="6">
        <v>130</v>
      </c>
      <c r="C11" s="73">
        <f>'DOE25'!F12</f>
        <v>0</v>
      </c>
      <c r="D11" s="73">
        <f>'DOE25'!G12</f>
        <v>0</v>
      </c>
      <c r="E11" s="73">
        <f>'DOE25'!H12</f>
        <v>4557310.16</v>
      </c>
      <c r="F11" s="73">
        <f>'DOE25'!I12</f>
        <v>0</v>
      </c>
      <c r="G11" s="73">
        <f>'DOE25'!J12</f>
        <v>0</v>
      </c>
      <c r="H11" s="13">
        <f t="shared" si="0"/>
        <v>4557310.16</v>
      </c>
      <c r="I11" s="90"/>
    </row>
    <row r="12" spans="1:9" x14ac:dyDescent="0.2">
      <c r="A12" s="1" t="s">
        <v>143</v>
      </c>
      <c r="B12" s="6">
        <v>140</v>
      </c>
      <c r="C12" s="73">
        <f>'DOE25'!F13</f>
        <v>191991.37</v>
      </c>
      <c r="D12" s="73">
        <f>'DOE25'!G13</f>
        <v>155877.18</v>
      </c>
      <c r="E12" s="73">
        <f>'DOE25'!H13</f>
        <v>0</v>
      </c>
      <c r="F12" s="73">
        <f>'DOE25'!I13</f>
        <v>0</v>
      </c>
      <c r="G12" s="73">
        <f>'DOE25'!J13</f>
        <v>0</v>
      </c>
      <c r="H12" s="13">
        <f t="shared" si="0"/>
        <v>347868.55</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22998</v>
      </c>
      <c r="E15" s="73">
        <f>'DOE25'!H16</f>
        <v>0</v>
      </c>
      <c r="F15" s="73">
        <f>'DOE25'!I16</f>
        <v>0</v>
      </c>
      <c r="G15" s="23" t="s">
        <v>288</v>
      </c>
      <c r="H15" s="13">
        <f t="shared" si="0"/>
        <v>22998</v>
      </c>
      <c r="I15" s="90"/>
    </row>
    <row r="16" spans="1:9" x14ac:dyDescent="0.2">
      <c r="A16" s="1" t="s">
        <v>147</v>
      </c>
      <c r="B16" s="6">
        <v>180</v>
      </c>
      <c r="C16" s="73">
        <f>'DOE25'!F17</f>
        <v>0</v>
      </c>
      <c r="D16" s="73">
        <f>'DOE25'!G17</f>
        <v>0</v>
      </c>
      <c r="E16" s="73">
        <f>'DOE25'!H17</f>
        <v>10407.9</v>
      </c>
      <c r="F16" s="73">
        <f>'DOE25'!I17</f>
        <v>0</v>
      </c>
      <c r="G16" s="73">
        <f>'DOE25'!J17</f>
        <v>0</v>
      </c>
      <c r="H16" s="13">
        <f t="shared" si="0"/>
        <v>10407.9</v>
      </c>
      <c r="I16" s="90"/>
    </row>
    <row r="17" spans="1:9" ht="12" thickBot="1" x14ac:dyDescent="0.25">
      <c r="A17" s="1" t="s">
        <v>148</v>
      </c>
      <c r="B17" s="6">
        <v>190</v>
      </c>
      <c r="C17" s="73">
        <f>'DOE25'!F18</f>
        <v>10000</v>
      </c>
      <c r="D17" s="73">
        <f>'DOE25'!G18</f>
        <v>0</v>
      </c>
      <c r="E17" s="73">
        <f>'DOE25'!H18</f>
        <v>0</v>
      </c>
      <c r="F17" s="73">
        <f>'DOE25'!I18</f>
        <v>0</v>
      </c>
      <c r="G17" s="73">
        <f>'DOE25'!J18</f>
        <v>0</v>
      </c>
      <c r="H17" s="13">
        <f t="shared" si="0"/>
        <v>10000</v>
      </c>
      <c r="I17" s="90"/>
    </row>
    <row r="18" spans="1:9" ht="12" thickTop="1" x14ac:dyDescent="0.2">
      <c r="A18" s="35" t="s">
        <v>149</v>
      </c>
      <c r="B18" s="36"/>
      <c r="C18" s="38">
        <f>SUM(C8:C17)</f>
        <v>452313.52</v>
      </c>
      <c r="D18" s="38">
        <f>SUM(D8:D17)</f>
        <v>180155.18</v>
      </c>
      <c r="E18" s="38">
        <f>SUM(E8:E17)</f>
        <v>4567718.0600000005</v>
      </c>
      <c r="F18" s="38">
        <f>SUM(F8:F17)</f>
        <v>0</v>
      </c>
      <c r="G18" s="38">
        <f>SUM(G8:G17)</f>
        <v>0</v>
      </c>
      <c r="H18" s="38">
        <f t="shared" si="0"/>
        <v>5200186.7600000007</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179800.68</v>
      </c>
      <c r="E21" s="73">
        <f>'DOE25'!H22</f>
        <v>4395053.59</v>
      </c>
      <c r="F21" s="73">
        <f>'DOE25'!I22</f>
        <v>0</v>
      </c>
      <c r="G21" s="73">
        <f>'DOE25'!J22</f>
        <v>0</v>
      </c>
      <c r="H21" s="13">
        <f t="shared" ref="H21:H31" si="1">SUM(C21:G21)</f>
        <v>4574854.2699999996</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0</v>
      </c>
      <c r="D23" s="73">
        <f>'DOE25'!G24</f>
        <v>0</v>
      </c>
      <c r="E23" s="73">
        <f>'DOE25'!H24</f>
        <v>172664.47</v>
      </c>
      <c r="F23" s="73">
        <f>'DOE25'!I24</f>
        <v>0</v>
      </c>
      <c r="G23" s="73">
        <f>'DOE25'!J24</f>
        <v>0</v>
      </c>
      <c r="H23" s="13">
        <f t="shared" si="1"/>
        <v>172664.47</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17272.54</v>
      </c>
      <c r="D28" s="73">
        <f>'DOE25'!G29</f>
        <v>0</v>
      </c>
      <c r="E28" s="73">
        <f>'DOE25'!H29</f>
        <v>0</v>
      </c>
      <c r="F28" s="73">
        <f>'DOE25'!I29</f>
        <v>0</v>
      </c>
      <c r="G28" s="23" t="s">
        <v>288</v>
      </c>
      <c r="H28" s="13">
        <f t="shared" si="1"/>
        <v>17272.54</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435040.98</v>
      </c>
      <c r="D30" s="73">
        <f>'DOE25'!G31</f>
        <v>354.5</v>
      </c>
      <c r="E30" s="73">
        <f>'DOE25'!H31</f>
        <v>0</v>
      </c>
      <c r="F30" s="73">
        <f>'DOE25'!I31</f>
        <v>0</v>
      </c>
      <c r="G30" s="73">
        <f>'DOE25'!J31</f>
        <v>0</v>
      </c>
      <c r="H30" s="13">
        <f t="shared" si="1"/>
        <v>435395.48</v>
      </c>
      <c r="I30" s="90"/>
    </row>
    <row r="31" spans="1:9" ht="12" thickTop="1" x14ac:dyDescent="0.2">
      <c r="A31" s="35" t="s">
        <v>160</v>
      </c>
      <c r="B31" s="2"/>
      <c r="C31" s="38">
        <f>SUM(C21:C30)</f>
        <v>452313.51999999996</v>
      </c>
      <c r="D31" s="38">
        <f>SUM(D21:D30)</f>
        <v>180155.18</v>
      </c>
      <c r="E31" s="38">
        <f>SUM(E21:E30)</f>
        <v>4567718.0599999996</v>
      </c>
      <c r="F31" s="38">
        <f>SUM(F21:F30)</f>
        <v>0</v>
      </c>
      <c r="G31" s="38">
        <f>SUM(G21:G30)</f>
        <v>0</v>
      </c>
      <c r="H31" s="38">
        <f t="shared" si="1"/>
        <v>5200186.76</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0</v>
      </c>
      <c r="H47" s="13">
        <f t="shared" si="2"/>
        <v>0</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0</v>
      </c>
      <c r="D49" s="23" t="s">
        <v>288</v>
      </c>
      <c r="E49" s="23" t="s">
        <v>288</v>
      </c>
      <c r="F49" s="23" t="s">
        <v>288</v>
      </c>
      <c r="G49" s="23" t="s">
        <v>288</v>
      </c>
      <c r="H49" s="13">
        <f t="shared" si="2"/>
        <v>0</v>
      </c>
      <c r="I49" s="90"/>
    </row>
    <row r="50" spans="1:9" ht="12.75" thickTop="1" thickBot="1" x14ac:dyDescent="0.25">
      <c r="A50" s="35" t="s">
        <v>883</v>
      </c>
      <c r="B50" s="44"/>
      <c r="C50" s="38">
        <f>SUM(C34:C49)</f>
        <v>0</v>
      </c>
      <c r="D50" s="38">
        <f>SUM(D34:D49)</f>
        <v>0</v>
      </c>
      <c r="E50" s="38">
        <f>SUM(E34:E49)</f>
        <v>0</v>
      </c>
      <c r="F50" s="38">
        <f>SUM(F34:F49)</f>
        <v>0</v>
      </c>
      <c r="G50" s="38">
        <f>SUM(G34:G49)</f>
        <v>0</v>
      </c>
      <c r="H50" s="38">
        <f t="shared" si="2"/>
        <v>0</v>
      </c>
      <c r="I50" s="90"/>
    </row>
    <row r="51" spans="1:9" ht="12" thickTop="1" x14ac:dyDescent="0.2">
      <c r="A51" s="35" t="s">
        <v>884</v>
      </c>
      <c r="B51" s="2"/>
      <c r="C51" s="38">
        <f>C50+C31</f>
        <v>452313.51999999996</v>
      </c>
      <c r="D51" s="38">
        <f>D50+D31</f>
        <v>180155.18</v>
      </c>
      <c r="E51" s="38">
        <f>E50+E31</f>
        <v>4567718.0599999996</v>
      </c>
      <c r="F51" s="38">
        <f>F50+F31</f>
        <v>0</v>
      </c>
      <c r="G51" s="38">
        <f>G50+G31</f>
        <v>0</v>
      </c>
      <c r="H51" s="38">
        <f t="shared" si="2"/>
        <v>5200186.76</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23648059.199999999</v>
      </c>
      <c r="D56" s="73">
        <f>'DOE25'!G60</f>
        <v>0</v>
      </c>
      <c r="E56" s="73">
        <f>'DOE25'!H60</f>
        <v>0</v>
      </c>
      <c r="F56" s="73">
        <f>'DOE25'!I60</f>
        <v>0</v>
      </c>
      <c r="G56" s="73">
        <f>'DOE25'!J60</f>
        <v>0</v>
      </c>
      <c r="H56" s="13">
        <f t="shared" ref="H56:H63" si="3">SUM(C56:G56)</f>
        <v>23648059.199999999</v>
      </c>
      <c r="I56"/>
    </row>
    <row r="57" spans="1:9" x14ac:dyDescent="0.2">
      <c r="A57" s="1" t="s">
        <v>164</v>
      </c>
      <c r="B57" s="6" t="s">
        <v>165</v>
      </c>
      <c r="C57" s="73">
        <f>'DOE25'!F79</f>
        <v>1000452.76</v>
      </c>
      <c r="D57" s="23" t="s">
        <v>288</v>
      </c>
      <c r="E57" s="73">
        <f>'DOE25'!H79</f>
        <v>0</v>
      </c>
      <c r="F57" s="23" t="s">
        <v>288</v>
      </c>
      <c r="G57" s="23" t="s">
        <v>288</v>
      </c>
      <c r="H57" s="13">
        <f t="shared" si="3"/>
        <v>1000452.76</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0</v>
      </c>
      <c r="D59" s="73">
        <f>'DOE25'!G96</f>
        <v>0</v>
      </c>
      <c r="E59" s="73">
        <f>'DOE25'!H96</f>
        <v>0</v>
      </c>
      <c r="F59" s="73">
        <f>'DOE25'!I96</f>
        <v>0</v>
      </c>
      <c r="G59" s="73">
        <f>'DOE25'!J96</f>
        <v>0</v>
      </c>
      <c r="H59" s="13">
        <f t="shared" si="3"/>
        <v>0</v>
      </c>
      <c r="I59"/>
    </row>
    <row r="60" spans="1:9" x14ac:dyDescent="0.2">
      <c r="A60" s="1" t="s">
        <v>170</v>
      </c>
      <c r="B60" s="22" t="s">
        <v>171</v>
      </c>
      <c r="C60" s="23" t="s">
        <v>288</v>
      </c>
      <c r="D60" s="73">
        <f>'DOE25'!G97</f>
        <v>303732.28999999998</v>
      </c>
      <c r="E60" s="23" t="s">
        <v>288</v>
      </c>
      <c r="F60" s="23" t="s">
        <v>288</v>
      </c>
      <c r="G60" s="23" t="s">
        <v>288</v>
      </c>
      <c r="H60" s="13">
        <f t="shared" si="3"/>
        <v>303732.28999999998</v>
      </c>
      <c r="I60"/>
    </row>
    <row r="61" spans="1:9" ht="12" thickBot="1" x14ac:dyDescent="0.25">
      <c r="A61" s="1" t="s">
        <v>172</v>
      </c>
      <c r="B61" s="22" t="s">
        <v>173</v>
      </c>
      <c r="C61" s="73">
        <f>SUM('DOE25'!F98:F110)</f>
        <v>3900</v>
      </c>
      <c r="D61" s="73">
        <f>SUM('DOE25'!G98:G110)</f>
        <v>0</v>
      </c>
      <c r="E61" s="73">
        <f>SUM('DOE25'!H98:H110)</f>
        <v>14606.91</v>
      </c>
      <c r="F61" s="73">
        <f>SUM('DOE25'!I98:I110)</f>
        <v>0</v>
      </c>
      <c r="G61" s="73">
        <f>SUM('DOE25'!J98:J110)</f>
        <v>0</v>
      </c>
      <c r="H61" s="13">
        <f t="shared" si="3"/>
        <v>18506.91</v>
      </c>
      <c r="I61"/>
    </row>
    <row r="62" spans="1:9" ht="12.75" thickTop="1" thickBot="1" x14ac:dyDescent="0.25">
      <c r="A62" s="28" t="s">
        <v>174</v>
      </c>
      <c r="B62" s="6"/>
      <c r="C62" s="93">
        <f>SUM(C57:C61)</f>
        <v>1004352.76</v>
      </c>
      <c r="D62" s="93">
        <f>SUM(D57:D61)</f>
        <v>303732.28999999998</v>
      </c>
      <c r="E62" s="93">
        <f>SUM(E57:E61)</f>
        <v>14606.91</v>
      </c>
      <c r="F62" s="93">
        <f>SUM(F57:F61)</f>
        <v>0</v>
      </c>
      <c r="G62" s="93">
        <f>SUM(G57:G61)</f>
        <v>0</v>
      </c>
      <c r="H62" s="13">
        <f t="shared" si="3"/>
        <v>1322691.96</v>
      </c>
      <c r="I62"/>
    </row>
    <row r="63" spans="1:9" ht="12" thickTop="1" x14ac:dyDescent="0.2">
      <c r="A63" s="28" t="s">
        <v>175</v>
      </c>
      <c r="B63" s="6"/>
      <c r="C63" s="21">
        <f>C56+C62</f>
        <v>24652411.960000001</v>
      </c>
      <c r="D63" s="21">
        <f>D56+D62</f>
        <v>303732.28999999998</v>
      </c>
      <c r="E63" s="21">
        <f>E56+E62</f>
        <v>14606.91</v>
      </c>
      <c r="F63" s="21">
        <f>F56+F62</f>
        <v>0</v>
      </c>
      <c r="G63" s="21">
        <f>G56+G62</f>
        <v>0</v>
      </c>
      <c r="H63" s="13">
        <f t="shared" si="3"/>
        <v>24970751.16</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8366833.8300000001</v>
      </c>
      <c r="D66" s="23" t="s">
        <v>288</v>
      </c>
      <c r="E66" s="23" t="s">
        <v>288</v>
      </c>
      <c r="F66" s="23" t="s">
        <v>288</v>
      </c>
      <c r="G66" s="23" t="s">
        <v>288</v>
      </c>
      <c r="H66" s="13">
        <f t="shared" ref="H66:H81" si="4">SUM(C66:G66)</f>
        <v>8366833.8300000001</v>
      </c>
      <c r="I66"/>
    </row>
    <row r="67" spans="1:9" x14ac:dyDescent="0.2">
      <c r="A67" s="1" t="s">
        <v>770</v>
      </c>
      <c r="B67" s="6">
        <v>3112</v>
      </c>
      <c r="C67" s="73">
        <f>'DOE25'!F118</f>
        <v>3288812</v>
      </c>
      <c r="D67" s="23"/>
      <c r="E67" s="23"/>
      <c r="F67" s="23"/>
      <c r="G67" s="23"/>
      <c r="H67" s="13">
        <f t="shared" si="4"/>
        <v>3288812</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227802.37</v>
      </c>
      <c r="D69" s="73">
        <f>'DOE25'!G120</f>
        <v>0</v>
      </c>
      <c r="E69" s="73">
        <f>'DOE25'!H120</f>
        <v>0</v>
      </c>
      <c r="F69" s="73">
        <f>'DOE25'!I120</f>
        <v>0</v>
      </c>
      <c r="G69" s="73">
        <f>'DOE25'!J120</f>
        <v>0</v>
      </c>
      <c r="H69" s="13">
        <f t="shared" si="4"/>
        <v>227802.37</v>
      </c>
      <c r="I69"/>
    </row>
    <row r="70" spans="1:9" ht="12" thickTop="1" x14ac:dyDescent="0.2">
      <c r="A70" s="28" t="s">
        <v>252</v>
      </c>
      <c r="B70" s="2"/>
      <c r="C70" s="97">
        <f>SUM(C66:C69)</f>
        <v>11883448.199999999</v>
      </c>
      <c r="D70" s="97">
        <f>D69</f>
        <v>0</v>
      </c>
      <c r="E70" s="97">
        <f>E69</f>
        <v>0</v>
      </c>
      <c r="F70" s="97">
        <f>F69</f>
        <v>0</v>
      </c>
      <c r="G70" s="97">
        <f>G69</f>
        <v>0</v>
      </c>
      <c r="H70" s="13">
        <f t="shared" si="4"/>
        <v>11883448.199999999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563629.03</v>
      </c>
      <c r="D72" s="23" t="s">
        <v>288</v>
      </c>
      <c r="E72" s="23" t="s">
        <v>288</v>
      </c>
      <c r="F72" s="73">
        <f>'DOE25'!I123</f>
        <v>0</v>
      </c>
      <c r="G72" s="23" t="s">
        <v>288</v>
      </c>
      <c r="H72" s="13">
        <f t="shared" si="4"/>
        <v>563629.03</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215840.66</v>
      </c>
      <c r="D75" s="23" t="s">
        <v>288</v>
      </c>
      <c r="E75" s="23" t="s">
        <v>288</v>
      </c>
      <c r="F75" s="23" t="s">
        <v>288</v>
      </c>
      <c r="G75" s="23" t="s">
        <v>288</v>
      </c>
      <c r="H75" s="13">
        <f t="shared" si="4"/>
        <v>215840.66</v>
      </c>
      <c r="I75"/>
    </row>
    <row r="76" spans="1:9" x14ac:dyDescent="0.2">
      <c r="A76" s="1" t="s">
        <v>257</v>
      </c>
      <c r="B76" s="6" t="s">
        <v>179</v>
      </c>
      <c r="C76" s="73">
        <f>SUM('DOE25'!F127:F130)</f>
        <v>943529.12</v>
      </c>
      <c r="D76" s="23" t="s">
        <v>288</v>
      </c>
      <c r="E76" s="73">
        <f>SUM('DOE25'!H127:H130)</f>
        <v>0</v>
      </c>
      <c r="F76" s="73">
        <f>SUM('DOE25'!I127:I130)</f>
        <v>0</v>
      </c>
      <c r="G76" s="23" t="s">
        <v>288</v>
      </c>
      <c r="H76" s="13">
        <f t="shared" si="4"/>
        <v>943529.12</v>
      </c>
      <c r="I76"/>
    </row>
    <row r="77" spans="1:9" ht="12" thickBot="1" x14ac:dyDescent="0.25">
      <c r="A77" s="1" t="s">
        <v>258</v>
      </c>
      <c r="B77" s="6" t="s">
        <v>180</v>
      </c>
      <c r="C77" s="73">
        <f>SUM('DOE25'!F131:F135)</f>
        <v>0</v>
      </c>
      <c r="D77" s="73">
        <f>SUM('DOE25'!G131:G135)</f>
        <v>137998.79</v>
      </c>
      <c r="E77" s="73">
        <f>SUM('DOE25'!H131:H135)</f>
        <v>0</v>
      </c>
      <c r="F77" s="73">
        <f>SUM('DOE25'!I131:I135)</f>
        <v>0</v>
      </c>
      <c r="G77" s="73">
        <f>SUM('DOE25'!J131:J135)</f>
        <v>0</v>
      </c>
      <c r="H77" s="13">
        <f t="shared" si="4"/>
        <v>137998.79</v>
      </c>
      <c r="I77"/>
    </row>
    <row r="78" spans="1:9" ht="12.75" thickTop="1" thickBot="1" x14ac:dyDescent="0.25">
      <c r="A78" s="28" t="s">
        <v>259</v>
      </c>
      <c r="B78" s="6"/>
      <c r="C78" s="93">
        <f>SUM(C72:C77)</f>
        <v>1722998.81</v>
      </c>
      <c r="D78" s="93">
        <f>SUM(D72:D77)</f>
        <v>137998.79</v>
      </c>
      <c r="E78" s="93">
        <f>SUM(E72:E77)</f>
        <v>0</v>
      </c>
      <c r="F78" s="93">
        <f>SUM(F72:F77)</f>
        <v>0</v>
      </c>
      <c r="G78" s="93">
        <f>SUM(G72:G77)</f>
        <v>0</v>
      </c>
      <c r="H78" s="13">
        <f t="shared" si="4"/>
        <v>1860997.6</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13606447.01</v>
      </c>
      <c r="D81" s="93">
        <f>SUM(D79:D80)+D78+D70</f>
        <v>137998.79</v>
      </c>
      <c r="E81" s="93">
        <f>SUM(E79:E80)+E78+E70</f>
        <v>0</v>
      </c>
      <c r="F81" s="93">
        <f>SUM(F79:F80)+F78+F70</f>
        <v>0</v>
      </c>
      <c r="G81" s="93">
        <f>SUM(G79:G80)+G78+G70</f>
        <v>0</v>
      </c>
      <c r="H81" s="93">
        <f t="shared" si="4"/>
        <v>13744445.799999999</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246483.44</v>
      </c>
      <c r="D88" s="253">
        <f>SUM('DOE25'!G153:G162)</f>
        <v>888368.69</v>
      </c>
      <c r="E88" s="253">
        <f>SUM('DOE25'!H153:H162)</f>
        <v>6729134.3499999996</v>
      </c>
      <c r="F88" s="253">
        <f>SUM('DOE25'!I153:I162)</f>
        <v>0</v>
      </c>
      <c r="G88" s="23" t="s">
        <v>288</v>
      </c>
      <c r="H88" s="13">
        <f t="shared" si="5"/>
        <v>7863986.4799999995</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246483.44</v>
      </c>
      <c r="D91" s="94">
        <f>SUM(D85:D90)</f>
        <v>888368.69</v>
      </c>
      <c r="E91" s="94">
        <f>SUM(E85:E90)</f>
        <v>6729134.3499999996</v>
      </c>
      <c r="F91" s="94">
        <f>SUM(F85:F90)</f>
        <v>0</v>
      </c>
      <c r="G91" s="23" t="s">
        <v>288</v>
      </c>
      <c r="H91" s="13">
        <f t="shared" si="5"/>
        <v>7863986.4799999995</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50267.88</v>
      </c>
      <c r="E96" s="73">
        <f>'DOE25'!H180</f>
        <v>0</v>
      </c>
      <c r="F96" s="73">
        <f>'DOE25'!I180</f>
        <v>0</v>
      </c>
      <c r="G96" s="73">
        <f>'DOE25'!J180</f>
        <v>1000000</v>
      </c>
      <c r="H96" s="13">
        <f t="shared" si="5"/>
        <v>1050267.8799999999</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50267.88</v>
      </c>
      <c r="E103" s="68">
        <f>SUM(E93:E102)</f>
        <v>0</v>
      </c>
      <c r="F103" s="68">
        <f>SUM(F93:F102)</f>
        <v>0</v>
      </c>
      <c r="G103" s="68">
        <f>SUM(G93:G102)</f>
        <v>1000000</v>
      </c>
      <c r="H103" s="68">
        <f t="shared" si="5"/>
        <v>1050267.8799999999</v>
      </c>
    </row>
    <row r="104" spans="1:8" ht="12.75" thickTop="1" thickBot="1" x14ac:dyDescent="0.25">
      <c r="A104" s="32" t="s">
        <v>761</v>
      </c>
      <c r="C104" s="68">
        <f>C63+C81+C91+C103</f>
        <v>38505342.409999996</v>
      </c>
      <c r="D104" s="68">
        <f>D63+D81+D91+D103</f>
        <v>1380367.65</v>
      </c>
      <c r="E104" s="68">
        <f>E63+E81+E91+E103</f>
        <v>6743741.2599999998</v>
      </c>
      <c r="F104" s="68">
        <f>F63+F81+F91+F103</f>
        <v>0</v>
      </c>
      <c r="G104" s="68">
        <f>G63+G81+G103</f>
        <v>1000000</v>
      </c>
      <c r="H104" s="68">
        <f t="shared" si="5"/>
        <v>47629451.319999993</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12975203.639999999</v>
      </c>
      <c r="D109" s="23" t="s">
        <v>288</v>
      </c>
      <c r="E109" s="73">
        <f>('DOE25'!L277)+('DOE25'!L296)+('DOE25'!L315)</f>
        <v>3329110.5999999996</v>
      </c>
      <c r="F109" s="23" t="s">
        <v>288</v>
      </c>
      <c r="G109" s="23" t="s">
        <v>288</v>
      </c>
      <c r="H109" s="13">
        <f t="shared" ref="H109:H115" si="6">SUM(C109:G109)</f>
        <v>16304314.239999998</v>
      </c>
    </row>
    <row r="110" spans="1:8" x14ac:dyDescent="0.2">
      <c r="A110" t="s">
        <v>198</v>
      </c>
      <c r="B110" s="31" t="s">
        <v>199</v>
      </c>
      <c r="C110" s="73">
        <f>('DOE25'!L199)+('DOE25'!L217)+('DOE25'!L235)</f>
        <v>7956734.0199999996</v>
      </c>
      <c r="D110" s="23" t="s">
        <v>288</v>
      </c>
      <c r="E110" s="73">
        <f>('DOE25'!L278)+('DOE25'!L297)+('DOE25'!L316)</f>
        <v>776869.96</v>
      </c>
      <c r="F110" s="23" t="s">
        <v>288</v>
      </c>
      <c r="G110" s="23" t="s">
        <v>288</v>
      </c>
      <c r="H110" s="13">
        <f t="shared" si="6"/>
        <v>8733603.9800000004</v>
      </c>
    </row>
    <row r="111" spans="1:8" x14ac:dyDescent="0.2">
      <c r="A111" t="s">
        <v>200</v>
      </c>
      <c r="B111" s="31" t="s">
        <v>165</v>
      </c>
      <c r="C111" s="73">
        <f>('DOE25'!L200)+('DOE25'!L218)+('DOE25'!L236)</f>
        <v>1326595.3999999999</v>
      </c>
      <c r="D111" s="23" t="s">
        <v>288</v>
      </c>
      <c r="E111" s="73">
        <f>('DOE25'!L279)+('DOE25'!L298)+('DOE25'!L317)</f>
        <v>246042.46999999997</v>
      </c>
      <c r="F111" s="23" t="s">
        <v>288</v>
      </c>
      <c r="G111" s="23" t="s">
        <v>288</v>
      </c>
      <c r="H111" s="13">
        <f t="shared" si="6"/>
        <v>1572637.8699999999</v>
      </c>
    </row>
    <row r="112" spans="1:8" x14ac:dyDescent="0.2">
      <c r="A112" t="s">
        <v>201</v>
      </c>
      <c r="B112" s="31" t="s">
        <v>167</v>
      </c>
      <c r="C112" s="73">
        <f>('DOE25'!L201)+('DOE25'!L219)+('DOE25'!L237)</f>
        <v>432497.95000000007</v>
      </c>
      <c r="D112" s="23" t="s">
        <v>288</v>
      </c>
      <c r="E112" s="73">
        <f>+('DOE25'!L280)+('DOE25'!L299)+('DOE25'!L318)</f>
        <v>9750</v>
      </c>
      <c r="F112" s="23" t="s">
        <v>288</v>
      </c>
      <c r="G112" s="23" t="s">
        <v>288</v>
      </c>
      <c r="H112" s="13">
        <f t="shared" si="6"/>
        <v>442247.95000000007</v>
      </c>
    </row>
    <row r="113" spans="1:8" x14ac:dyDescent="0.2">
      <c r="A113" t="s">
        <v>202</v>
      </c>
      <c r="B113" s="31" t="s">
        <v>169</v>
      </c>
      <c r="C113" s="73">
        <f>'DOE25'!L251</f>
        <v>0</v>
      </c>
      <c r="D113" s="23" t="s">
        <v>288</v>
      </c>
      <c r="E113" s="73">
        <f>+'DOE25'!L333</f>
        <v>93263.760000000009</v>
      </c>
      <c r="F113" s="23" t="s">
        <v>288</v>
      </c>
      <c r="G113" s="23" t="s">
        <v>288</v>
      </c>
      <c r="H113" s="13">
        <f t="shared" si="6"/>
        <v>93263.760000000009</v>
      </c>
    </row>
    <row r="114" spans="1:8" ht="12" thickBot="1" x14ac:dyDescent="0.25">
      <c r="A114" t="s">
        <v>203</v>
      </c>
      <c r="B114" s="31" t="s">
        <v>204</v>
      </c>
      <c r="C114" s="73">
        <f>SUM('DOE25'!L252:L254)</f>
        <v>402851.39</v>
      </c>
      <c r="D114" s="23" t="s">
        <v>288</v>
      </c>
      <c r="E114" s="73">
        <f>+ SUM('DOE25'!L334:L336)</f>
        <v>90628.04</v>
      </c>
      <c r="F114" s="23" t="s">
        <v>288</v>
      </c>
      <c r="G114" s="23" t="s">
        <v>288</v>
      </c>
      <c r="H114" s="13">
        <f t="shared" si="6"/>
        <v>493479.43</v>
      </c>
    </row>
    <row r="115" spans="1:8" ht="12.75" thickTop="1" thickBot="1" x14ac:dyDescent="0.25">
      <c r="A115" s="32" t="s">
        <v>205</v>
      </c>
      <c r="C115" s="68">
        <f>SUM(C109:C114)</f>
        <v>23093882.399999995</v>
      </c>
      <c r="D115" s="68">
        <f>SUM(D109:D114)</f>
        <v>0</v>
      </c>
      <c r="E115" s="68">
        <f>SUM(E109:E114)</f>
        <v>4545664.8299999991</v>
      </c>
      <c r="F115" s="68">
        <f>SUM(F109:F114)</f>
        <v>0</v>
      </c>
      <c r="G115" s="68">
        <f>SUM(G109:G114)</f>
        <v>0</v>
      </c>
      <c r="H115" s="68">
        <f t="shared" si="6"/>
        <v>27639547.229999993</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2248536.66</v>
      </c>
      <c r="D118" s="23" t="s">
        <v>288</v>
      </c>
      <c r="E118" s="73">
        <f>+('DOE25'!L282)+('DOE25'!L301)+('DOE25'!L320)</f>
        <v>423572.4</v>
      </c>
      <c r="F118" s="23" t="s">
        <v>288</v>
      </c>
      <c r="G118" s="23" t="s">
        <v>288</v>
      </c>
      <c r="H118" s="13">
        <f t="shared" ref="H118:H145" si="7">SUM(C118:G118)</f>
        <v>2672109.06</v>
      </c>
    </row>
    <row r="119" spans="1:8" x14ac:dyDescent="0.2">
      <c r="A119" t="s">
        <v>208</v>
      </c>
      <c r="B119" s="31" t="s">
        <v>209</v>
      </c>
      <c r="C119" s="73">
        <f>('DOE25'!L204)+('DOE25'!L222)+('DOE25'!L240)</f>
        <v>1769623.69</v>
      </c>
      <c r="D119" s="23" t="s">
        <v>288</v>
      </c>
      <c r="E119" s="73">
        <f>+('DOE25'!L283)+('DOE25'!L302)+('DOE25'!L321)</f>
        <v>937810.82</v>
      </c>
      <c r="F119" s="23" t="s">
        <v>288</v>
      </c>
      <c r="G119" s="23" t="s">
        <v>288</v>
      </c>
      <c r="H119" s="13">
        <f t="shared" si="7"/>
        <v>2707434.51</v>
      </c>
    </row>
    <row r="120" spans="1:8" x14ac:dyDescent="0.2">
      <c r="A120" t="s">
        <v>210</v>
      </c>
      <c r="B120" s="31" t="s">
        <v>211</v>
      </c>
      <c r="C120" s="73">
        <f>('DOE25'!L205)+('DOE25'!L223)+('DOE25'!L241)</f>
        <v>954010.21000000008</v>
      </c>
      <c r="D120" s="23" t="s">
        <v>288</v>
      </c>
      <c r="E120" s="73">
        <f>+('DOE25'!L284)+('DOE25'!L303)+('DOE25'!L322)</f>
        <v>125952.26000000001</v>
      </c>
      <c r="F120" s="23" t="s">
        <v>288</v>
      </c>
      <c r="G120" s="23" t="s">
        <v>288</v>
      </c>
      <c r="H120" s="13">
        <f t="shared" si="7"/>
        <v>1079962.4700000002</v>
      </c>
    </row>
    <row r="121" spans="1:8" x14ac:dyDescent="0.2">
      <c r="A121" t="s">
        <v>212</v>
      </c>
      <c r="B121" s="31" t="s">
        <v>213</v>
      </c>
      <c r="C121" s="73">
        <f>('DOE25'!L206)+('DOE25'!L224)+('DOE25'!L242)</f>
        <v>2377444.86</v>
      </c>
      <c r="D121" s="23" t="s">
        <v>288</v>
      </c>
      <c r="E121" s="73">
        <f>+('DOE25'!L285)+('DOE25'!L304)+('DOE25'!L323)</f>
        <v>0</v>
      </c>
      <c r="F121" s="23" t="s">
        <v>288</v>
      </c>
      <c r="G121" s="23" t="s">
        <v>288</v>
      </c>
      <c r="H121" s="13">
        <f t="shared" si="7"/>
        <v>2377444.86</v>
      </c>
    </row>
    <row r="122" spans="1:8" x14ac:dyDescent="0.2">
      <c r="A122" t="s">
        <v>214</v>
      </c>
      <c r="B122" s="31" t="s">
        <v>215</v>
      </c>
      <c r="C122" s="73">
        <f>('DOE25'!L207)+('DOE25'!L225)+('DOE25'!L243)</f>
        <v>454222.77999999997</v>
      </c>
      <c r="D122" s="23" t="s">
        <v>288</v>
      </c>
      <c r="E122" s="73">
        <f>+('DOE25'!L286)+('DOE25'!L305)+('DOE25'!L324)</f>
        <v>0</v>
      </c>
      <c r="F122" s="23" t="s">
        <v>288</v>
      </c>
      <c r="G122" s="23" t="s">
        <v>288</v>
      </c>
      <c r="H122" s="13">
        <f t="shared" si="7"/>
        <v>454222.77999999997</v>
      </c>
    </row>
    <row r="123" spans="1:8" x14ac:dyDescent="0.2">
      <c r="A123" t="s">
        <v>216</v>
      </c>
      <c r="B123" s="31" t="s">
        <v>217</v>
      </c>
      <c r="C123" s="73">
        <f>('DOE25'!L208)+('DOE25'!L226)+('DOE25'!L244)</f>
        <v>3275954.33</v>
      </c>
      <c r="D123" s="23" t="s">
        <v>288</v>
      </c>
      <c r="E123" s="73">
        <f>+('DOE25'!L287)+('DOE25'!L306)+('DOE25'!L325)</f>
        <v>171227.97999999998</v>
      </c>
      <c r="F123" s="23" t="s">
        <v>288</v>
      </c>
      <c r="G123" s="23" t="s">
        <v>288</v>
      </c>
      <c r="H123" s="13">
        <f t="shared" si="7"/>
        <v>3447182.31</v>
      </c>
    </row>
    <row r="124" spans="1:8" x14ac:dyDescent="0.2">
      <c r="A124" t="s">
        <v>218</v>
      </c>
      <c r="B124" s="31" t="s">
        <v>219</v>
      </c>
      <c r="C124" s="73">
        <f>('DOE25'!L209)+('DOE25'!L227)+('DOE25'!L245+'DOE25'!L255)</f>
        <v>962491.94</v>
      </c>
      <c r="D124" s="23" t="s">
        <v>288</v>
      </c>
      <c r="E124" s="73">
        <f>+('DOE25'!L288)+('DOE25'!L307)+('DOE25'!L326)</f>
        <v>65762.55</v>
      </c>
      <c r="F124" s="23" t="s">
        <v>288</v>
      </c>
      <c r="G124" s="23" t="s">
        <v>288</v>
      </c>
      <c r="H124" s="13">
        <f t="shared" si="7"/>
        <v>1028254.49</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1380367.6500000001</v>
      </c>
      <c r="E127" s="23" t="s">
        <v>288</v>
      </c>
      <c r="F127" s="23" t="s">
        <v>288</v>
      </c>
      <c r="G127" s="23" t="s">
        <v>288</v>
      </c>
      <c r="H127" s="13">
        <f t="shared" si="7"/>
        <v>1380367.6500000001</v>
      </c>
    </row>
    <row r="128" spans="1:8" ht="12.75" thickTop="1" thickBot="1" x14ac:dyDescent="0.25">
      <c r="A128" s="32" t="s">
        <v>226</v>
      </c>
      <c r="C128" s="68">
        <f>SUM(C118:C127)</f>
        <v>12042284.470000001</v>
      </c>
      <c r="D128" s="68">
        <f>SUM(D118:D127)</f>
        <v>1380367.6500000001</v>
      </c>
      <c r="E128" s="68">
        <f>SUM(E118:E127)</f>
        <v>1724326.01</v>
      </c>
      <c r="F128" s="68">
        <f>SUM(F118:F127)</f>
        <v>0</v>
      </c>
      <c r="G128" s="68">
        <f>SUM(G118:G127)</f>
        <v>0</v>
      </c>
      <c r="H128" s="68">
        <f t="shared" si="7"/>
        <v>15146978.130000001</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195394.95</v>
      </c>
      <c r="D130" s="23" t="s">
        <v>288</v>
      </c>
      <c r="E130" s="92">
        <f>'DOE25'!L337</f>
        <v>473750.42</v>
      </c>
      <c r="F130" s="92">
        <f>SUM('DOE25'!L375:'DOE25'!L381)</f>
        <v>0</v>
      </c>
      <c r="G130" s="23" t="s">
        <v>288</v>
      </c>
      <c r="H130" s="13">
        <f t="shared" si="7"/>
        <v>669145.37</v>
      </c>
    </row>
    <row r="131" spans="1:8" x14ac:dyDescent="0.2">
      <c r="A131" t="s">
        <v>229</v>
      </c>
      <c r="B131" s="31">
        <v>5110</v>
      </c>
      <c r="C131" s="73">
        <f>'DOE25'!L261</f>
        <v>1375082.13</v>
      </c>
      <c r="D131" s="23" t="s">
        <v>288</v>
      </c>
      <c r="E131" s="92">
        <f>'DOE25'!L342</f>
        <v>0</v>
      </c>
      <c r="F131" s="23" t="s">
        <v>288</v>
      </c>
      <c r="G131" s="23" t="s">
        <v>288</v>
      </c>
      <c r="H131" s="13">
        <f t="shared" si="7"/>
        <v>1375082.13</v>
      </c>
    </row>
    <row r="132" spans="1:8" x14ac:dyDescent="0.2">
      <c r="A132" t="s">
        <v>230</v>
      </c>
      <c r="B132" s="31">
        <v>5120</v>
      </c>
      <c r="C132" s="73">
        <f>'DOE25'!L262</f>
        <v>748430.58</v>
      </c>
      <c r="D132" s="23" t="s">
        <v>288</v>
      </c>
      <c r="E132" s="92">
        <f>'DOE25'!L343</f>
        <v>0</v>
      </c>
      <c r="F132" s="23" t="s">
        <v>288</v>
      </c>
      <c r="G132" s="23" t="s">
        <v>288</v>
      </c>
      <c r="H132" s="13">
        <f t="shared" si="7"/>
        <v>748430.58</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50267.88</v>
      </c>
      <c r="D135" s="23" t="s">
        <v>288</v>
      </c>
      <c r="E135" s="92">
        <f>'DOE25'!L346</f>
        <v>0</v>
      </c>
      <c r="F135" s="23" t="s">
        <v>288</v>
      </c>
      <c r="G135" s="23" t="s">
        <v>288</v>
      </c>
      <c r="H135" s="13">
        <f t="shared" si="7"/>
        <v>50267.88</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1000000</v>
      </c>
      <c r="D139" s="23" t="s">
        <v>288</v>
      </c>
      <c r="E139" s="23" t="s">
        <v>288</v>
      </c>
      <c r="F139" s="23" t="s">
        <v>288</v>
      </c>
      <c r="G139" s="23" t="s">
        <v>288</v>
      </c>
      <c r="H139" s="13">
        <f t="shared" si="7"/>
        <v>1000000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0</v>
      </c>
      <c r="D141" s="23" t="s">
        <v>288</v>
      </c>
      <c r="E141" s="23" t="s">
        <v>288</v>
      </c>
      <c r="F141" s="23" t="s">
        <v>288</v>
      </c>
      <c r="G141" s="23" t="s">
        <v>288</v>
      </c>
      <c r="H141" s="13">
        <f t="shared" si="7"/>
        <v>0</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3369175.5399999996</v>
      </c>
      <c r="D144" s="98">
        <f>SUM(D130:D143)</f>
        <v>0</v>
      </c>
      <c r="E144" s="98">
        <f>SUM(E130:E143)</f>
        <v>473750.42</v>
      </c>
      <c r="F144" s="98">
        <f>SUM(F130:F143)</f>
        <v>0</v>
      </c>
      <c r="G144" s="98">
        <f>SUM(G130:G143)</f>
        <v>0</v>
      </c>
      <c r="H144" s="98">
        <f t="shared" si="7"/>
        <v>3842925.9599999995</v>
      </c>
    </row>
    <row r="145" spans="1:9" ht="12.75" thickTop="1" thickBot="1" x14ac:dyDescent="0.25">
      <c r="A145" s="32" t="s">
        <v>244</v>
      </c>
      <c r="C145" s="68">
        <f>(C115+C128+C144)</f>
        <v>38505342.409999996</v>
      </c>
      <c r="D145" s="68">
        <f>(D115+D128+D144)</f>
        <v>1380367.6500000001</v>
      </c>
      <c r="E145" s="68">
        <f>(E115+E128+E144)</f>
        <v>6743741.2599999988</v>
      </c>
      <c r="F145" s="68">
        <f>(F115+F128+F144)</f>
        <v>0</v>
      </c>
      <c r="G145" s="68">
        <f>(G115+G128+G144)</f>
        <v>0</v>
      </c>
      <c r="H145" s="68">
        <f t="shared" si="7"/>
        <v>46629451.319999993</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opLeftCell="A10"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Laconia</v>
      </c>
    </row>
    <row r="3" spans="1:4" x14ac:dyDescent="0.2">
      <c r="B3" s="137" t="s">
        <v>1799</v>
      </c>
    </row>
    <row r="4" spans="1:4" x14ac:dyDescent="0.2">
      <c r="B4" t="s">
        <v>61</v>
      </c>
      <c r="C4" s="129">
        <f>IF('DOE25'!F666+'DOE25'!F671=0,0,ROUND('DOE25'!F673,0))</f>
        <v>22262</v>
      </c>
    </row>
    <row r="5" spans="1:4" x14ac:dyDescent="0.2">
      <c r="B5" t="s">
        <v>700</v>
      </c>
      <c r="C5" s="129">
        <f>IF('DOE25'!G666+'DOE25'!G671=0,0,ROUND('DOE25'!G673,0))</f>
        <v>20226</v>
      </c>
    </row>
    <row r="6" spans="1:4" x14ac:dyDescent="0.2">
      <c r="B6" t="s">
        <v>62</v>
      </c>
      <c r="C6" s="129">
        <f>IF('DOE25'!H666+'DOE25'!H671=0,0,ROUND('DOE25'!H673,0))</f>
        <v>19843</v>
      </c>
    </row>
    <row r="7" spans="1:4" x14ac:dyDescent="0.2">
      <c r="B7" t="s">
        <v>701</v>
      </c>
      <c r="C7" s="129">
        <f>IF('DOE25'!I666+'DOE25'!I671=0,0,ROUND('DOE25'!I673,0))</f>
        <v>20969</v>
      </c>
    </row>
    <row r="9" spans="1:4" x14ac:dyDescent="0.2">
      <c r="A9" s="136" t="s">
        <v>94</v>
      </c>
      <c r="B9" s="137" t="s">
        <v>1800</v>
      </c>
      <c r="C9" s="131" t="s">
        <v>720</v>
      </c>
      <c r="D9" s="131" t="s">
        <v>721</v>
      </c>
    </row>
    <row r="10" spans="1:4" x14ac:dyDescent="0.2">
      <c r="A10">
        <v>1100</v>
      </c>
      <c r="B10" t="s">
        <v>702</v>
      </c>
      <c r="C10" s="129">
        <f>ROUND('DOE25'!L198+'DOE25'!L216+'DOE25'!L234+'DOE25'!L277+'DOE25'!L296+'DOE25'!L315,0)</f>
        <v>16304314</v>
      </c>
      <c r="D10" s="132">
        <f>ROUND((C10/$C$28)*100,1)</f>
        <v>37.700000000000003</v>
      </c>
    </row>
    <row r="11" spans="1:4" x14ac:dyDescent="0.2">
      <c r="A11">
        <v>1200</v>
      </c>
      <c r="B11" t="s">
        <v>703</v>
      </c>
      <c r="C11" s="129">
        <f>ROUND('DOE25'!L199+'DOE25'!L217+'DOE25'!L235+'DOE25'!L278+'DOE25'!L297+'DOE25'!L316,0)</f>
        <v>8733604</v>
      </c>
      <c r="D11" s="132">
        <f>ROUND((C11/$C$28)*100,1)</f>
        <v>20.2</v>
      </c>
    </row>
    <row r="12" spans="1:4" x14ac:dyDescent="0.2">
      <c r="A12">
        <v>1300</v>
      </c>
      <c r="B12" t="s">
        <v>704</v>
      </c>
      <c r="C12" s="129">
        <f>ROUND('DOE25'!L200+'DOE25'!L218+'DOE25'!L236+'DOE25'!L279+'DOE25'!L298+'DOE25'!L317,0)</f>
        <v>1572638</v>
      </c>
      <c r="D12" s="132">
        <f>ROUND((C12/$C$28)*100,1)</f>
        <v>3.6</v>
      </c>
    </row>
    <row r="13" spans="1:4" x14ac:dyDescent="0.2">
      <c r="A13">
        <v>1400</v>
      </c>
      <c r="B13" t="s">
        <v>705</v>
      </c>
      <c r="C13" s="129">
        <f>ROUND('DOE25'!L201+'DOE25'!L219+'DOE25'!L237+'DOE25'!L280+'DOE25'!L299+'DOE25'!L318,0)</f>
        <v>442248</v>
      </c>
      <c r="D13" s="132">
        <f>ROUND((C13/$C$28)*100,1)</f>
        <v>1</v>
      </c>
    </row>
    <row r="14" spans="1:4" x14ac:dyDescent="0.2">
      <c r="D14" s="132"/>
    </row>
    <row r="15" spans="1:4" x14ac:dyDescent="0.2">
      <c r="A15">
        <v>2100</v>
      </c>
      <c r="B15" t="s">
        <v>706</v>
      </c>
      <c r="C15" s="129">
        <f>ROUND('DOE25'!L203+'DOE25'!L221+'DOE25'!L239+'DOE25'!L282+'DOE25'!L301+'DOE25'!L320,0)</f>
        <v>2672109</v>
      </c>
      <c r="D15" s="132">
        <f t="shared" ref="D15:D27" si="0">ROUND((C15/$C$28)*100,1)</f>
        <v>6.2</v>
      </c>
    </row>
    <row r="16" spans="1:4" x14ac:dyDescent="0.2">
      <c r="A16">
        <v>2200</v>
      </c>
      <c r="B16" t="s">
        <v>707</v>
      </c>
      <c r="C16" s="129">
        <f>ROUND('DOE25'!L204+'DOE25'!L222+'DOE25'!L240+'DOE25'!L283+'DOE25'!L302+'DOE25'!L321,0)</f>
        <v>2707435</v>
      </c>
      <c r="D16" s="132">
        <f t="shared" si="0"/>
        <v>6.3</v>
      </c>
    </row>
    <row r="17" spans="1:4" x14ac:dyDescent="0.2">
      <c r="A17" s="133" t="s">
        <v>723</v>
      </c>
      <c r="B17" t="s">
        <v>738</v>
      </c>
      <c r="C17" s="129">
        <f>ROUND('DOE25'!L205+'DOE25'!L210+'DOE25'!L223+'DOE25'!L228+'DOE25'!L241+'DOE25'!L246+'DOE25'!L284+'DOE25'!L289+'DOE25'!L303+'DOE25'!L308+'DOE25'!L322+'DOE25'!L327,0)</f>
        <v>1079962</v>
      </c>
      <c r="D17" s="132">
        <f t="shared" si="0"/>
        <v>2.5</v>
      </c>
    </row>
    <row r="18" spans="1:4" x14ac:dyDescent="0.2">
      <c r="A18">
        <v>2400</v>
      </c>
      <c r="B18" t="s">
        <v>711</v>
      </c>
      <c r="C18" s="129">
        <f>ROUND('DOE25'!L206+'DOE25'!L224+'DOE25'!L242+'DOE25'!L285+'DOE25'!L304+'DOE25'!L323,0)</f>
        <v>2377445</v>
      </c>
      <c r="D18" s="132">
        <f t="shared" si="0"/>
        <v>5.5</v>
      </c>
    </row>
    <row r="19" spans="1:4" x14ac:dyDescent="0.2">
      <c r="A19">
        <v>2500</v>
      </c>
      <c r="B19" t="s">
        <v>708</v>
      </c>
      <c r="C19" s="129">
        <f>ROUND('DOE25'!L207+'DOE25'!L225+'DOE25'!L243+'DOE25'!L286+'DOE25'!L305+'DOE25'!L324,0)</f>
        <v>454223</v>
      </c>
      <c r="D19" s="132">
        <f t="shared" si="0"/>
        <v>1.1000000000000001</v>
      </c>
    </row>
    <row r="20" spans="1:4" x14ac:dyDescent="0.2">
      <c r="A20">
        <v>2600</v>
      </c>
      <c r="B20" t="s">
        <v>709</v>
      </c>
      <c r="C20" s="129">
        <f>ROUND('DOE25'!L208+'DOE25'!L226+'DOE25'!L244+'DOE25'!L287+'DOE25'!L306+'DOE25'!L325,0)</f>
        <v>3447182</v>
      </c>
      <c r="D20" s="132">
        <f t="shared" si="0"/>
        <v>8</v>
      </c>
    </row>
    <row r="21" spans="1:4" x14ac:dyDescent="0.2">
      <c r="A21">
        <v>2700</v>
      </c>
      <c r="B21" t="s">
        <v>710</v>
      </c>
      <c r="C21" s="129">
        <f>ROUND('DOE25'!L209+'DOE25'!L227+'DOE25'!L245+'DOE25'!L288+'DOE25'!L307+'DOE25'!L326,0)</f>
        <v>987509</v>
      </c>
      <c r="D21" s="132">
        <f t="shared" si="0"/>
        <v>2.2999999999999998</v>
      </c>
    </row>
    <row r="22" spans="1:4" x14ac:dyDescent="0.2">
      <c r="A22">
        <v>2900</v>
      </c>
      <c r="B22" t="s">
        <v>712</v>
      </c>
      <c r="C22" s="129">
        <v>0</v>
      </c>
      <c r="D22" s="132">
        <f t="shared" si="0"/>
        <v>0</v>
      </c>
    </row>
    <row r="23" spans="1:4" x14ac:dyDescent="0.2">
      <c r="A23">
        <v>1500</v>
      </c>
      <c r="B23" t="s">
        <v>714</v>
      </c>
      <c r="C23" s="129">
        <f>ROUND('DOE25'!L251+'DOE25'!L333,0)</f>
        <v>93264</v>
      </c>
      <c r="D23" s="132">
        <f t="shared" si="0"/>
        <v>0.2</v>
      </c>
    </row>
    <row r="24" spans="1:4" x14ac:dyDescent="0.2">
      <c r="A24" s="133" t="s">
        <v>722</v>
      </c>
      <c r="B24" t="s">
        <v>715</v>
      </c>
      <c r="C24" s="129">
        <f>ROUND('DOE25'!L252+'DOE25'!L253+'DOE25'!L254+'DOE25'!L255+'DOE25'!L334+'DOE25'!L335+'DOE25'!L336,0)</f>
        <v>534225</v>
      </c>
      <c r="D24" s="132">
        <f t="shared" si="0"/>
        <v>1.2</v>
      </c>
    </row>
    <row r="25" spans="1:4" x14ac:dyDescent="0.2">
      <c r="A25">
        <v>5120</v>
      </c>
      <c r="B25" t="s">
        <v>716</v>
      </c>
      <c r="C25" s="129">
        <f>ROUND('DOE25'!L262+'DOE25'!L343,0)</f>
        <v>748431</v>
      </c>
      <c r="D25" s="132">
        <f t="shared" si="0"/>
        <v>1.7</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1076635.71</v>
      </c>
      <c r="D27" s="132">
        <f t="shared" si="0"/>
        <v>2.5</v>
      </c>
    </row>
    <row r="28" spans="1:4" x14ac:dyDescent="0.2">
      <c r="B28" s="136" t="s">
        <v>719</v>
      </c>
      <c r="C28" s="130">
        <f>SUM(C10:C27)</f>
        <v>43231224.710000001</v>
      </c>
      <c r="D28" s="134">
        <f>ROUND(SUM(D10:D27),0)</f>
        <v>100</v>
      </c>
    </row>
    <row r="29" spans="1:4" x14ac:dyDescent="0.2">
      <c r="A29">
        <v>4000</v>
      </c>
      <c r="B29" t="s">
        <v>724</v>
      </c>
      <c r="C29" s="129">
        <f>ROUND('DOE25'!L256+'DOE25'!L337+'DOE25'!L375+'DOE25'!L376+'DOE25'!L377+'DOE25'!L378+'DOE25'!L379+'DOE25'!L380+'DOE25'!L381,0)</f>
        <v>669145</v>
      </c>
    </row>
    <row r="30" spans="1:4" x14ac:dyDescent="0.2">
      <c r="B30" s="136" t="s">
        <v>725</v>
      </c>
      <c r="C30" s="130">
        <f>SUM(C28:C29)</f>
        <v>43900369.710000001</v>
      </c>
    </row>
    <row r="31" spans="1:4" x14ac:dyDescent="0.2">
      <c r="B31" s="32"/>
      <c r="C31" s="130"/>
    </row>
    <row r="32" spans="1:4" x14ac:dyDescent="0.2">
      <c r="A32">
        <v>5100</v>
      </c>
      <c r="B32" s="32" t="s">
        <v>726</v>
      </c>
      <c r="C32" s="130">
        <f>ROUND('DOE25'!L261+'DOE25'!L342,0)</f>
        <v>1375082</v>
      </c>
    </row>
    <row r="34" spans="1:4" x14ac:dyDescent="0.2">
      <c r="A34" s="136" t="s">
        <v>94</v>
      </c>
      <c r="B34" s="137" t="s">
        <v>1801</v>
      </c>
      <c r="C34" s="131" t="s">
        <v>720</v>
      </c>
      <c r="D34" s="131" t="s">
        <v>721</v>
      </c>
    </row>
    <row r="35" spans="1:4" x14ac:dyDescent="0.2">
      <c r="A35">
        <v>1100</v>
      </c>
      <c r="B35" s="71" t="s">
        <v>727</v>
      </c>
      <c r="C35" s="129">
        <f>ROUND('DOE25'!F60+'DOE25'!G60+'DOE25'!H60+'DOE25'!I60+'DOE25'!J60,0)</f>
        <v>23648059</v>
      </c>
      <c r="D35" s="132">
        <f t="shared" ref="D35:D40" si="1">ROUND((C35/$C$41)*100,1)</f>
        <v>51.1</v>
      </c>
    </row>
    <row r="36" spans="1:4" x14ac:dyDescent="0.2">
      <c r="B36" s="71" t="s">
        <v>739</v>
      </c>
      <c r="C36" s="129">
        <f>SUM('DOE25'!F112:J112)-SUM('DOE25'!G97:G110)+('DOE25'!F175+'DOE25'!F176+'DOE25'!I175+'DOE25'!I176)-C35</f>
        <v>1018959.870000001</v>
      </c>
      <c r="D36" s="132">
        <f t="shared" si="1"/>
        <v>2.2000000000000002</v>
      </c>
    </row>
    <row r="37" spans="1:4" x14ac:dyDescent="0.2">
      <c r="A37" s="133" t="s">
        <v>834</v>
      </c>
      <c r="B37" s="71" t="s">
        <v>728</v>
      </c>
      <c r="C37" s="129">
        <f>ROUND('DOE25'!F117+'DOE25'!F118,0)</f>
        <v>11655646</v>
      </c>
      <c r="D37" s="132">
        <f t="shared" si="1"/>
        <v>25.2</v>
      </c>
    </row>
    <row r="38" spans="1:4" x14ac:dyDescent="0.2">
      <c r="A38" s="133" t="s">
        <v>734</v>
      </c>
      <c r="B38" s="71" t="s">
        <v>729</v>
      </c>
      <c r="C38" s="129">
        <f>ROUND(SUM('DOE25'!F140:J140)-SUM('DOE25'!F117:F119),0)</f>
        <v>2088800</v>
      </c>
      <c r="D38" s="132">
        <f t="shared" si="1"/>
        <v>4.5</v>
      </c>
    </row>
    <row r="39" spans="1:4" x14ac:dyDescent="0.2">
      <c r="A39">
        <v>4000</v>
      </c>
      <c r="B39" s="71" t="s">
        <v>730</v>
      </c>
      <c r="C39" s="129">
        <f>ROUND('DOE25'!F170+'DOE25'!G170+'DOE25'!H170+'DOE25'!I170,0)</f>
        <v>7863986</v>
      </c>
      <c r="D39" s="132">
        <f t="shared" si="1"/>
        <v>17</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46275450.870000005</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Laconia</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c r="B4" s="150"/>
      <c r="C4" s="327"/>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77</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36</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41</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f>IFERROR(SMALL($I$4:$I$325,ROWS($I$4:I5)),"")</f>
        <v>243</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f>IFERROR(SMALL($I$4:$I$325,ROWS($I$4:I6)),"")</f>
        <v>320</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f>IF('School Level Expenditures'!$B$2='School Tables'!L39,'School Tables'!S39,"")</f>
        <v>36</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f>IF('School Level Expenditures'!$B$2='School Tables'!W44,'School Tables'!AD44,"")</f>
        <v>41</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f>IF('School Level Expenditures'!$B$2=A80,'School Tables'!H80,"")</f>
        <v>77</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f>IF('School Level Expenditures'!$B$2=A246,'School Tables'!H246,"")</f>
        <v>243</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f>IF('School Level Expenditures'!$B$2=A323,'School Tables'!H323,"")</f>
        <v>320</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2023-12-28T18:54:08Z</dcterms:modified>
</cp:coreProperties>
</file>