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B579D97-57CB-456F-980D-F4843DB31B8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66" i="1" l="1"/>
  <c r="H583" i="1"/>
  <c r="G583" i="1"/>
  <c r="F583" i="1"/>
  <c r="F120" i="1" l="1"/>
  <c r="H209" i="1" l="1"/>
  <c r="H245" i="1"/>
  <c r="J605" i="1" l="1"/>
  <c r="I605" i="1"/>
  <c r="H605" i="1"/>
  <c r="J592" i="1"/>
  <c r="J596" i="1"/>
  <c r="J595" i="1"/>
  <c r="J594" i="1"/>
  <c r="J593" i="1"/>
  <c r="I596" i="1"/>
  <c r="I595" i="1"/>
  <c r="I593" i="1"/>
  <c r="I592" i="1"/>
  <c r="H596" i="1"/>
  <c r="H593" i="1"/>
  <c r="H592" i="1"/>
  <c r="H544" i="1"/>
  <c r="H543" i="1"/>
  <c r="H542" i="1"/>
  <c r="H524" i="1"/>
  <c r="G524" i="1"/>
  <c r="F524" i="1"/>
  <c r="H523" i="1"/>
  <c r="G523" i="1"/>
  <c r="F523" i="1"/>
  <c r="H522" i="1"/>
  <c r="G522" i="1"/>
  <c r="F522" i="1"/>
  <c r="H159" i="1"/>
  <c r="H135" i="1"/>
  <c r="F57" i="1"/>
  <c r="F118" i="1"/>
  <c r="F278" i="1"/>
  <c r="K303" i="1"/>
  <c r="K284" i="1"/>
  <c r="H282" i="1"/>
  <c r="G282" i="1"/>
  <c r="F282" i="1"/>
  <c r="H278" i="1"/>
  <c r="G278" i="1"/>
  <c r="I277" i="1"/>
  <c r="G277" i="1"/>
  <c r="F277" i="1"/>
  <c r="H241" i="1"/>
  <c r="H205" i="1"/>
  <c r="H223" i="1"/>
  <c r="F223" i="1"/>
  <c r="H221" i="1"/>
  <c r="F245" i="1"/>
  <c r="F241" i="1"/>
  <c r="H234" i="1"/>
  <c r="G234" i="1"/>
  <c r="F234" i="1"/>
  <c r="H227" i="1"/>
  <c r="F227" i="1"/>
  <c r="G216" i="1"/>
  <c r="F216" i="1"/>
  <c r="F209" i="1"/>
  <c r="G198" i="1"/>
  <c r="F198" i="1"/>
  <c r="H246" i="1"/>
  <c r="I245" i="1"/>
  <c r="I244" i="1"/>
  <c r="H244" i="1"/>
  <c r="K242" i="1"/>
  <c r="G242" i="1"/>
  <c r="F242" i="1"/>
  <c r="G240" i="1"/>
  <c r="H239" i="1"/>
  <c r="F237" i="1"/>
  <c r="I236" i="1"/>
  <c r="F235" i="1"/>
  <c r="J199" i="1"/>
  <c r="I199" i="1"/>
  <c r="H199" i="1"/>
  <c r="G199" i="1"/>
  <c r="F199" i="1"/>
  <c r="J198" i="1"/>
  <c r="I198" i="1"/>
  <c r="H369" i="1" l="1"/>
  <c r="G369" i="1"/>
  <c r="F369" i="1"/>
  <c r="I361" i="1"/>
  <c r="I360" i="1"/>
  <c r="I359" i="1"/>
  <c r="G30" i="1"/>
  <c r="G13"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I121" i="1"/>
  <c r="I136" i="1"/>
  <c r="J121" i="1"/>
  <c r="J136" i="1"/>
  <c r="J140" i="1" s="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H653" i="1"/>
  <c r="G654" i="1"/>
  <c r="H654" i="1"/>
  <c r="H655" i="1"/>
  <c r="H656" i="1"/>
  <c r="H135" i="2" l="1"/>
  <c r="H93" i="2"/>
  <c r="H72" i="2"/>
  <c r="H99" i="2"/>
  <c r="H79" i="2"/>
  <c r="H58" i="2"/>
  <c r="E125" i="2"/>
  <c r="F85" i="2"/>
  <c r="F91" i="2" s="1"/>
  <c r="G663" i="1"/>
  <c r="H102" i="2"/>
  <c r="H100" i="2"/>
  <c r="H73" i="2"/>
  <c r="H80" i="2"/>
  <c r="H29" i="2"/>
  <c r="G646" i="1"/>
  <c r="J646" i="1" s="1"/>
  <c r="D144" i="2"/>
  <c r="H97" i="2"/>
  <c r="H94" i="2"/>
  <c r="H69" i="2"/>
  <c r="H61" i="2"/>
  <c r="H25" i="2"/>
  <c r="H17" i="2"/>
  <c r="H8" i="2"/>
  <c r="H132" i="2"/>
  <c r="H36" i="2"/>
  <c r="H43" i="2"/>
  <c r="H48" i="2"/>
  <c r="G409" i="1"/>
  <c r="H646" i="1" s="1"/>
  <c r="I409" i="1"/>
  <c r="H101" i="2"/>
  <c r="H98" i="2"/>
  <c r="H89" i="2"/>
  <c r="H76" i="2"/>
  <c r="H22" i="2"/>
  <c r="H9" i="2"/>
  <c r="H143" i="2"/>
  <c r="D18" i="13"/>
  <c r="C18" i="13" s="1"/>
  <c r="H30" i="2"/>
  <c r="H27" i="2"/>
  <c r="H47" i="2"/>
  <c r="H87" i="2"/>
  <c r="H35" i="2"/>
  <c r="H34" i="2"/>
  <c r="H15" i="2"/>
  <c r="H140" i="1"/>
  <c r="J112" i="1"/>
  <c r="E121" i="2"/>
  <c r="H477" i="1"/>
  <c r="H625" i="1" s="1"/>
  <c r="J625" i="1" s="1"/>
  <c r="G477" i="1"/>
  <c r="H96" i="2"/>
  <c r="H28" i="2"/>
  <c r="H26" i="2"/>
  <c r="H24" i="2"/>
  <c r="H38" i="2"/>
  <c r="H44" i="2"/>
  <c r="H23" i="2"/>
  <c r="H12" i="2"/>
  <c r="J652" i="1"/>
  <c r="H59" i="2"/>
  <c r="H112" i="2"/>
  <c r="G651" i="1"/>
  <c r="C125" i="2"/>
  <c r="C13" i="10"/>
  <c r="D15" i="13"/>
  <c r="C15" i="13" s="1"/>
  <c r="N2" i="14"/>
  <c r="N3" i="14" s="1"/>
  <c r="C120" i="2"/>
  <c r="H120" i="2" s="1"/>
  <c r="M2" i="14"/>
  <c r="M3" i="14" s="1"/>
  <c r="A40" i="12"/>
  <c r="C12" i="10"/>
  <c r="C110" i="2"/>
  <c r="C121" i="2"/>
  <c r="H121" i="2" s="1"/>
  <c r="C119" i="2"/>
  <c r="D6" i="13"/>
  <c r="C6" i="13" s="1"/>
  <c r="L2" i="14"/>
  <c r="L3" i="14" s="1"/>
  <c r="K2" i="14"/>
  <c r="K3" i="14" s="1"/>
  <c r="H13" i="2"/>
  <c r="G62" i="2"/>
  <c r="H11" i="2"/>
  <c r="G662" i="1"/>
  <c r="D29" i="13"/>
  <c r="C29" i="13" s="1"/>
  <c r="D78" i="2"/>
  <c r="H77"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25" i="2" l="1"/>
  <c r="H123" i="2"/>
  <c r="H114" i="2"/>
  <c r="H21" i="2"/>
  <c r="H103" i="2"/>
  <c r="H16" i="2"/>
  <c r="L572" i="1"/>
  <c r="H119" i="2"/>
  <c r="H134" i="2"/>
  <c r="H85" i="2"/>
  <c r="H57" i="2"/>
  <c r="H91" i="2"/>
  <c r="H78" i="2"/>
  <c r="F194" i="1"/>
  <c r="G628" i="1" s="1"/>
  <c r="J628" i="1" s="1"/>
  <c r="C81" i="2"/>
  <c r="H81" i="2" s="1"/>
  <c r="E128" i="2"/>
  <c r="G24" i="14"/>
  <c r="H24" i="14" s="1"/>
  <c r="I24" i="14" s="1"/>
  <c r="H118" i="2"/>
  <c r="H110" i="2"/>
  <c r="I663" i="1"/>
  <c r="G50" i="2"/>
  <c r="H50" i="2" s="1"/>
  <c r="H42" i="2"/>
  <c r="H18" i="2"/>
  <c r="I662" i="1"/>
  <c r="D128" i="2"/>
  <c r="H127" i="2"/>
  <c r="D63" i="2"/>
  <c r="H62" i="2"/>
  <c r="D51" i="2"/>
  <c r="H31"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63" i="2"/>
  <c r="D104" i="2"/>
  <c r="M24" i="14"/>
  <c r="H104" i="2"/>
  <c r="H51" i="2"/>
  <c r="C144" i="2"/>
  <c r="H144" i="2" s="1"/>
  <c r="H141"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<sst xmlns="http://schemas.openxmlformats.org/spreadsheetml/2006/main" count="6579" uniqueCount="1818">
  <si>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</si>
  <si>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</si>
  <si>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</si>
  <si>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</si>
  <si>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</si>
  <si>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</si>
  <si>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</si>
  <si>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</si>
  <si>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</si>
  <si>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</si>
  <si>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</si>
  <si>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</si>
  <si>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</si>
  <si>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</si>
  <si>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</si>
  <si>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</si>
  <si>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</si>
  <si>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</si>
  <si>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</si>
  <si>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</si>
  <si>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</si>
  <si>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</si>
  <si>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</si>
  <si>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</si>
  <si>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</si>
  <si>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</si>
  <si>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</si>
  <si>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</si>
  <si>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</si>
  <si>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</si>
  <si>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</si>
  <si>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</si>
  <si>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</si>
  <si>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</si>
  <si>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</si>
  <si>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</si>
  <si>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</si>
  <si>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</si>
  <si>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</si>
  <si>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</si>
  <si>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</si>
  <si>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</si>
  <si>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</si>
  <si>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</si>
  <si>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</si>
  <si>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</si>
  <si>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</si>
  <si>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</si>
  <si>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</si>
  <si>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</si>
  <si>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</si>
  <si>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</si>
  <si>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</si>
  <si>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</si>
  <si>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</si>
  <si>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</si>
  <si>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</si>
  <si>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</si>
  <si>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</si>
  <si>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</si>
  <si>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</si>
  <si>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</si>
  <si>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</si>
  <si>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</si>
  <si>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</si>
  <si>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</si>
  <si>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</si>
  <si>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</si>
  <si>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</si>
  <si>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</si>
  <si>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</si>
  <si>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</si>
  <si>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</si>
  <si>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</si>
  <si>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</si>
  <si>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</si>
  <si>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</si>
  <si>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</si>
  <si>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</si>
  <si>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</si>
  <si>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</si>
  <si>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</si>
  <si>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</si>
  <si>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</si>
  <si>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</si>
  <si>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</si>
  <si>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</si>
  <si>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</si>
  <si>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</si>
  <si>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</si>
  <si>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</si>
  <si>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</si>
  <si>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</si>
  <si>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</si>
  <si>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</si>
  <si>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</si>
  <si>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</si>
  <si>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</si>
  <si>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</si>
  <si>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</si>
  <si>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</si>
  <si>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</si>
  <si>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</si>
  <si>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</si>
  <si>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</si>
  <si>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</si>
  <si>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</si>
  <si>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</si>
  <si>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</si>
  <si>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</si>
  <si>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</si>
  <si>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</si>
  <si>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</si>
  <si>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</si>
  <si>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</si>
  <si>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</si>
  <si>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</si>
  <si>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</si>
  <si>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</si>
  <si>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</si>
  <si>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</si>
  <si>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</si>
  <si>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</si>
  <si>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</si>
  <si>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</si>
  <si>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</si>
  <si>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</si>
  <si>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</si>
  <si>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</si>
  <si>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</si>
  <si>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</si>
  <si>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</si>
  <si>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</si>
  <si>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</si>
  <si>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</si>
  <si>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</si>
  <si>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</si>
  <si>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</si>
  <si>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</si>
  <si>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</si>
  <si>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</si>
  <si>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</si>
  <si>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</si>
  <si>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</si>
  <si>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</si>
  <si>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</si>
  <si>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</si>
  <si>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</si>
  <si>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</si>
  <si>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</si>
  <si>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</si>
  <si>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</si>
  <si>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</si>
  <si>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</si>
  <si>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</si>
  <si>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</si>
  <si>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</si>
  <si>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</si>
  <si>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</si>
  <si>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</si>
  <si>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</si>
  <si>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</si>
  <si>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</si>
  <si>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</si>
  <si>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</si>
  <si>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</si>
  <si>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</si>
  <si>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</si>
  <si>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</si>
  <si>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</si>
  <si>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</si>
  <si>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</si>
  <si>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</si>
  <si>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</si>
  <si>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</si>
  <si>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</si>
  <si>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</si>
  <si>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</si>
  <si>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</si>
  <si>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</si>
  <si>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</si>
  <si>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</si>
  <si>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</si>
  <si>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</si>
  <si>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</si>
  <si>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</si>
  <si>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</si>
  <si>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</si>
  <si>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</si>
  <si>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</si>
  <si>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</si>
  <si>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</si>
  <si>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</si>
  <si>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</si>
  <si>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</si>
  <si>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</si>
  <si>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</si>
  <si>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</si>
  <si>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</si>
  <si>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</si>
  <si>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</si>
  <si>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</si>
  <si>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</si>
  <si>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</si>
  <si>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</si>
  <si>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</si>
  <si>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</si>
  <si>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</si>
  <si>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</si>
  <si>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</si>
  <si>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</si>
  <si>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</si>
  <si>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</si>
  <si>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</si>
  <si>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</si>
  <si>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</si>
  <si>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</si>
  <si>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</si>
  <si>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</si>
  <si>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</si>
  <si>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</si>
  <si>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</si>
  <si>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</si>
  <si>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</si>
  <si>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</si>
  <si>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</si>
  <si>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</si>
  <si>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</si>
  <si>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</si>
  <si>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</si>
  <si>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</si>
  <si>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</si>
  <si>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</si>
  <si>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</si>
  <si>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</si>
  <si>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</si>
  <si>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</si>
  <si>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</si>
  <si>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</si>
  <si>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</si>
  <si>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</si>
  <si>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</si>
  <si>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</si>
  <si>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</si>
  <si>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</si>
  <si>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</si>
  <si>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</si>
  <si>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</si>
  <si>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</si>
  <si>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</si>
  <si>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</si>
  <si>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</si>
  <si>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</si>
  <si>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</si>
  <si>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</si>
  <si>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</si>
  <si>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</si>
  <si>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</si>
  <si>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</si>
  <si>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</si>
  <si>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</si>
  <si>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</si>
  <si>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</si>
  <si>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</si>
  <si>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</si>
  <si>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</si>
  <si>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</si>
  <si>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</si>
  <si>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</si>
  <si>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</si>
  <si>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</si>
  <si>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</si>
  <si>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</si>
  <si>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</si>
  <si>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</si>
  <si>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</si>
  <si>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</si>
  <si>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</si>
  <si>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</si>
  <si>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</si>
  <si>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</si>
  <si>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</si>
  <si>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</si>
  <si>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</si>
  <si>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</si>
  <si>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</si>
  <si>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</si>
  <si>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</si>
  <si>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</si>
  <si>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</si>
  <si>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</si>
  <si>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</si>
  <si>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</si>
  <si>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</si>
  <si>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</si>
  <si>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</si>
  <si>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</si>
  <si>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</si>
  <si>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</si>
  <si>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</si>
  <si>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</si>
  <si>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</si>
  <si>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</si>
  <si>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</si>
  <si>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</si>
  <si>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</si>
  <si>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</si>
  <si>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</si>
  <si>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</si>
  <si>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</si>
  <si>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</si>
  <si>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</si>
  <si>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</si>
  <si>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</si>
  <si>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</si>
  <si>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</si>
  <si>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</si>
  <si>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</si>
  <si>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</si>
  <si>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</si>
  <si>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</si>
  <si>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</si>
  <si>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</si>
  <si>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</si>
  <si>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</si>
  <si>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</si>
  <si>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</si>
  <si>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</si>
  <si>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</si>
  <si>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</si>
  <si>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</si>
  <si>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</si>
  <si>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</si>
  <si>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</si>
  <si>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</si>
  <si>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</si>
  <si>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</si>
  <si>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</si>
  <si>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</si>
  <si>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</si>
  <si>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</si>
  <si>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</si>
  <si>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</si>
  <si>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</si>
  <si>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</si>
  <si>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</si>
  <si>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</si>
  <si>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</si>
  <si>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</si>
  <si>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</si>
  <si>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</si>
  <si>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</si>
  <si>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</si>
  <si>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</si>
  <si>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</si>
  <si>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</si>
  <si>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</si>
  <si>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</si>
  <si>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</si>
  <si>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</si>
  <si>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</si>
  <si>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</si>
  <si>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</si>
  <si>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</si>
  <si>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</si>
  <si>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</si>
  <si>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</si>
  <si>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</si>
  <si>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</si>
  <si>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</si>
  <si>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</si>
  <si>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</si>
  <si>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</si>
  <si>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</si>
  <si>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</si>
  <si>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</si>
  <si>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</si>
  <si>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</si>
  <si>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</si>
  <si>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</si>
  <si>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</si>
  <si>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</si>
  <si>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</si>
  <si>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</si>
  <si>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</si>
  <si>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</si>
  <si>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</si>
  <si>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</si>
  <si>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</si>
  <si>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</si>
  <si>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</si>
  <si>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</si>
  <si>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</si>
  <si>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</si>
  <si>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</si>
  <si>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</si>
  <si>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</si>
  <si>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</si>
  <si>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</si>
  <si>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</si>
  <si>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</si>
  <si>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</si>
  <si>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</si>
  <si>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</si>
  <si>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</si>
  <si>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</si>
  <si>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</si>
  <si>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</si>
  <si>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</si>
  <si>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</si>
  <si>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</si>
  <si>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</si>
  <si>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</si>
  <si>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</si>
  <si>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</si>
  <si>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</si>
  <si>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</si>
  <si>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</si>
  <si>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</si>
  <si>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</si>
  <si>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</si>
  <si>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</si>
  <si>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</si>
  <si>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</si>
  <si>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</si>
  <si>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</si>
  <si>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</si>
  <si>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</si>
  <si>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</si>
  <si>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</si>
  <si>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</si>
  <si>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</si>
  <si>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</si>
  <si>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</si>
  <si>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</si>
  <si>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</si>
  <si>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</si>
  <si>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</si>
  <si>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</si>
  <si>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</si>
  <si>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</si>
  <si>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</si>
  <si>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</si>
  <si>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</si>
  <si>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</si>
  <si>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</si>
  <si>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</si>
  <si>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</si>
  <si>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</si>
  <si>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</si>
  <si>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</si>
  <si>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</si>
  <si>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</si>
  <si>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</si>
  <si>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</si>
  <si>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</si>
  <si>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</si>
  <si>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</si>
  <si>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</si>
  <si>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</si>
  <si>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</si>
  <si>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</si>
  <si>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</si>
  <si>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</si>
  <si>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</si>
  <si>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</si>
  <si>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</si>
  <si>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</si>
  <si>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</si>
  <si>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</si>
  <si>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</si>
  <si>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</si>
  <si>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</si>
  <si>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</si>
  <si>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</si>
  <si>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</si>
  <si>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</si>
  <si>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</si>
  <si>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</si>
  <si>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</si>
  <si>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</si>
  <si>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</si>
  <si>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</si>
  <si>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</si>
  <si>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</si>
  <si>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</si>
  <si>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</si>
  <si>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</si>
  <si>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</si>
  <si>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</si>
  <si>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</si>
  <si>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</si>
  <si>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</si>
  <si>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</si>
  <si>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</si>
  <si>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</si>
  <si>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</si>
  <si>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</si>
  <si>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</si>
  <si>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</si>
  <si>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</si>
  <si>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</si>
  <si>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</si>
  <si>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</si>
  <si>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</si>
  <si>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</si>
  <si>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</si>
  <si>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</si>
  <si>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</si>
  <si>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</si>
  <si>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</si>
  <si>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</si>
  <si>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</si>
  <si>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</si>
  <si>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</si>
  <si>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</si>
  <si>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</si>
  <si>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</si>
  <si>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</si>
  <si>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</si>
  <si>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</si>
  <si>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</si>
  <si>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</si>
  <si>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</si>
  <si>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</si>
  <si>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</si>
  <si>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</si>
  <si>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</si>
  <si>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</si>
  <si>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</si>
  <si>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</si>
  <si>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</si>
  <si>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</si>
  <si>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</si>
  <si>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</si>
  <si>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</si>
  <si>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</si>
  <si>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</si>
  <si>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</si>
  <si>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</si>
  <si>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</si>
  <si>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</si>
  <si>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</si>
  <si>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</si>
  <si>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</si>
  <si>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</si>
  <si>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</si>
  <si>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</si>
  <si>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</si>
  <si>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</si>
  <si>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</si>
  <si>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</si>
  <si>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</si>
  <si>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</si>
  <si>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</si>
  <si>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</si>
  <si>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</si>
  <si>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</si>
  <si>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</si>
  <si>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</si>
  <si>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</si>
  <si>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</si>
  <si>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</si>
  <si>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</si>
  <si>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</si>
  <si>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</si>
  <si>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</si>
  <si>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</si>
  <si>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</si>
  <si>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</si>
  <si>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</si>
  <si>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</si>
  <si>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</si>
  <si>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</si>
  <si>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</si>
  <si>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</si>
  <si>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</si>
  <si>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</si>
  <si>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</si>
  <si>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</si>
  <si>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</si>
  <si>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</si>
  <si>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</si>
  <si>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</si>
  <si>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</si>
  <si>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</si>
  <si>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</si>
  <si>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</si>
  <si>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</si>
  <si>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</si>
  <si>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</si>
  <si>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</si>
  <si>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</si>
  <si>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</si>
  <si>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</si>
  <si>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</si>
  <si>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</si>
  <si>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</si>
  <si>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</si>
  <si>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</si>
  <si>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</si>
  <si>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</si>
  <si>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</si>
  <si>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</si>
  <si>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</si>
  <si>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</si>
  <si>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</si>
  <si>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</si>
  <si>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</si>
  <si>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</si>
  <si>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</si>
  <si>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</si>
  <si>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</si>
  <si>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</si>
  <si>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</si>
  <si>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</si>
  <si>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</si>
  <si>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</si>
  <si>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</si>
  <si>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</si>
  <si>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</si>
  <si>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</si>
  <si>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</si>
  <si>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</si>
  <si>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</si>
  <si>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</si>
  <si>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</si>
  <si>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</si>
  <si>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</si>
  <si>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</si>
  <si>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</si>
  <si>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</si>
  <si>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</si>
  <si>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</si>
  <si>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</si>
  <si>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</si>
  <si>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</si>
  <si>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</si>
  <si>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</si>
  <si>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</si>
  <si>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</si>
  <si>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</si>
  <si>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</si>
  <si>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</si>
  <si>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</si>
  <si>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</si>
  <si>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</si>
  <si>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</si>
  <si>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</si>
  <si>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</si>
  <si>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</si>
  <si>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</si>
  <si>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</si>
  <si>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</si>
  <si>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</si>
  <si>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</si>
  <si>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</si>
  <si>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</si>
  <si>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</si>
  <si>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</si>
  <si>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</si>
  <si>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</si>
  <si>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</si>
  <si>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</si>
  <si>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</si>
  <si>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</si>
  <si>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</si>
  <si>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</si>
  <si>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</si>
  <si>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</si>
  <si>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</si>
  <si>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</si>
  <si>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</si>
  <si>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</si>
  <si>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</si>
  <si>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</si>
  <si>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</si>
  <si>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</si>
  <si>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</si>
  <si>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</si>
  <si>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</si>
  <si>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</si>
  <si>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</si>
  <si>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</si>
  <si>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</si>
  <si>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</si>
  <si>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</si>
  <si>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</si>
  <si>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</si>
  <si>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</si>
  <si>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</si>
  <si>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</si>
  <si>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</si>
  <si>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</si>
  <si>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</si>
  <si>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</si>
  <si>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</si>
  <si>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</si>
  <si>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</si>
  <si>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</si>
  <si>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</si>
  <si>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</si>
  <si>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</si>
  <si>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</si>
  <si>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</si>
  <si>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</si>
  <si>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</si>
  <si>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</si>
  <si>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</si>
  <si>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</si>
  <si>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</si>
  <si>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</si>
  <si>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</si>
  <si>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</si>
  <si>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</si>
  <si>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</si>
  <si>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</si>
  <si>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</si>
  <si>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</si>
  <si>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</si>
  <si>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</si>
  <si>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</si>
  <si>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</si>
  <si>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</si>
  <si>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</si>
  <si>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</si>
  <si>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</si>
  <si>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</si>
  <si>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</si>
  <si>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</si>
  <si>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</si>
  <si>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</si>
  <si>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</si>
  <si>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</si>
  <si>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</si>
  <si>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</si>
  <si>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</si>
  <si>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</si>
  <si>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</si>
  <si>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</si>
  <si>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</si>
  <si>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</si>
  <si>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</si>
  <si>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</si>
  <si>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</si>
  <si>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</si>
  <si>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</si>
  <si>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</si>
  <si>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</si>
  <si>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</si>
  <si>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</si>
  <si>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</si>
  <si>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</si>
  <si>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</si>
  <si>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</si>
  <si>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</si>
  <si>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</si>
  <si>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</si>
  <si>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</si>
  <si>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</si>
  <si>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</si>
  <si>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</si>
  <si>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</si>
  <si>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</si>
  <si>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</si>
  <si>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</si>
  <si>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</si>
  <si>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</si>
  <si>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</si>
  <si>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</si>
  <si>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</si>
  <si>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</si>
  <si>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</si>
  <si>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</si>
  <si>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</si>
  <si>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</si>
  <si>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</si>
  <si>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</si>
  <si>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</si>
  <si>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</si>
  <si>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</si>
  <si>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</si>
  <si>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</si>
  <si>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</si>
  <si>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</si>
  <si>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</si>
  <si>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</si>
  <si>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</si>
  <si>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</si>
  <si>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</si>
  <si>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</si>
  <si>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</si>
  <si>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</si>
  <si>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</si>
  <si>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</si>
  <si>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</si>
  <si>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</si>
  <si>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</si>
  <si>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</si>
  <si>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</si>
  <si>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</si>
  <si>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</si>
  <si>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</si>
  <si>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</si>
  <si>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</si>
  <si>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</si>
  <si>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</si>
  <si>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</si>
  <si>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</si>
  <si>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</si>
  <si>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</si>
  <si>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</si>
  <si>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</si>
  <si>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</si>
  <si>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</si>
  <si>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</si>
  <si>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</si>
  <si>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</si>
  <si>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</si>
  <si>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</si>
  <si>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</si>
  <si>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</si>
  <si>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</si>
  <si>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</si>
  <si>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</si>
  <si>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</si>
  <si>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</si>
  <si>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</si>
  <si>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</si>
  <si>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</si>
  <si>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</si>
  <si>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</si>
  <si>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</si>
  <si>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</si>
  <si>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</si>
  <si>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</si>
  <si>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</si>
  <si>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</si>
  <si>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</si>
  <si>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</si>
  <si>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</si>
  <si>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</si>
  <si>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</si>
  <si>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</si>
  <si>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</si>
  <si>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</si>
  <si>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</si>
  <si>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</si>
  <si>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</si>
  <si>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</si>
  <si>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</si>
  <si>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</si>
  <si>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</si>
  <si>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</si>
  <si>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</si>
  <si>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</si>
  <si>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</si>
  <si>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</si>
  <si>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</si>
  <si>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</si>
  <si>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</si>
  <si>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</si>
  <si>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</si>
  <si>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</si>
  <si>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</si>
  <si>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</si>
  <si>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</si>
  <si>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</si>
  <si>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</si>
  <si>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</si>
  <si>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</si>
  <si>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</si>
  <si>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</si>
  <si>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</si>
  <si>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</si>
  <si>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</si>
  <si>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</si>
  <si>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</si>
  <si>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</si>
  <si>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</si>
  <si>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</si>
  <si>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</si>
  <si>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</si>
  <si>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</si>
  <si>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</si>
  <si>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</si>
  <si>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</si>
  <si>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</si>
  <si>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</si>
  <si>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</si>
  <si>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</si>
  <si>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</si>
  <si>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</si>
  <si>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</si>
  <si>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</si>
  <si>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</si>
  <si>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</si>
  <si>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</si>
  <si>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</si>
  <si>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</si>
  <si>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</si>
  <si>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</si>
  <si>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</si>
  <si>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</si>
  <si>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</si>
  <si>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</si>
  <si>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</si>
  <si>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</si>
  <si>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</si>
  <si>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</si>
  <si>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</si>
  <si>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</si>
  <si>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</si>
  <si>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</si>
  <si>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</si>
  <si>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</si>
  <si>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</si>
  <si>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</si>
  <si>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</si>
  <si>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</si>
  <si>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</si>
  <si>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</si>
  <si>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</si>
  <si>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</si>
  <si>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</si>
  <si>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</si>
  <si>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</si>
  <si>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</si>
  <si>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</si>
  <si>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</si>
  <si>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</si>
  <si>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</si>
  <si>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</si>
  <si>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</si>
  <si>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</si>
  <si>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</si>
  <si>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</si>
  <si>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</si>
  <si>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</si>
  <si>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</si>
  <si>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</si>
  <si>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</si>
  <si>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</si>
  <si>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</si>
  <si>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</si>
  <si>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</si>
  <si>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</si>
  <si>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</si>
  <si>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</si>
  <si>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</si>
  <si>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</si>
  <si>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</si>
  <si>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</si>
  <si>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</si>
  <si>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</si>
  <si>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</si>
  <si>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</si>
  <si>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</si>
  <si>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</si>
  <si>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</si>
  <si>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</si>
  <si>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</si>
  <si>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</si>
  <si>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</si>
  <si>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</si>
  <si>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</si>
  <si>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</si>
  <si>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</si>
  <si>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</si>
  <si>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</si>
  <si>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</si>
  <si>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</si>
  <si>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</si>
  <si>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</si>
  <si>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</si>
  <si>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</si>
  <si>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</si>
  <si>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</si>
  <si>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</si>
  <si>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</si>
  <si>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</si>
  <si>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</si>
  <si>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</si>
  <si>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</si>
  <si>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</si>
  <si>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</si>
  <si>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</si>
  <si>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</si>
  <si>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</si>
  <si>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</si>
  <si>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</si>
  <si>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</si>
  <si>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</si>
  <si>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</si>
  <si>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</si>
  <si>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</si>
  <si>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</si>
  <si>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</si>
  <si>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</si>
  <si>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</si>
  <si>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</si>
  <si>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</si>
  <si>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</si>
  <si>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</si>
  <si>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</si>
  <si>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</si>
  <si>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</si>
  <si>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</si>
  <si>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</si>
  <si>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</si>
  <si>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</si>
  <si>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</si>
  <si>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</si>
  <si>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</si>
  <si>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</si>
  <si>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</si>
  <si>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</si>
  <si>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</si>
  <si>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</si>
  <si>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</si>
  <si>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</si>
  <si>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</si>
  <si>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</si>
  <si>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</si>
  <si>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</si>
  <si>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</si>
  <si>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</si>
  <si>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</si>
  <si>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</si>
  <si>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</si>
  <si>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</si>
  <si>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</si>
  <si>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</si>
  <si>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</si>
  <si>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</si>
  <si>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</si>
  <si>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</si>
  <si>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</si>
  <si>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</si>
  <si>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</si>
  <si>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</si>
  <si>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</si>
  <si>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</si>
  <si>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</si>
  <si>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</si>
  <si>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</si>
  <si>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</si>
  <si>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</si>
  <si>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</si>
  <si>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</si>
  <si>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</si>
  <si>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</si>
  <si>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</si>
  <si>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</si>
  <si>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</si>
  <si>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</si>
  <si>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</si>
  <si>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</si>
  <si>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</si>
  <si>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</si>
  <si>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</si>
  <si>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</si>
  <si>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</si>
  <si>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</si>
  <si>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</si>
  <si>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</si>
  <si>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</si>
  <si>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</si>
  <si>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</si>
  <si>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</si>
  <si>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</si>
  <si>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</si>
  <si>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</si>
  <si>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</si>
  <si>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</si>
  <si>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</si>
  <si>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</si>
  <si>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</si>
  <si>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</si>
  <si>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</si>
  <si>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</si>
  <si>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</si>
  <si>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</si>
  <si>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</si>
  <si>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</si>
  <si>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</si>
  <si>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</si>
  <si>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</si>
  <si>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</si>
  <si>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</si>
  <si>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</si>
  <si>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</si>
  <si>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</si>
  <si>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</si>
  <si>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</si>
  <si>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</si>
  <si>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</si>
  <si>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</si>
  <si>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</si>
  <si>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</si>
  <si>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</si>
  <si>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</si>
  <si>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</si>
  <si>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</si>
  <si>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</si>
  <si>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</si>
  <si>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</si>
  <si>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</si>
  <si>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</si>
  <si>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</si>
  <si>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</si>
  <si>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</si>
  <si>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</si>
  <si>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</si>
  <si>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</si>
  <si>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</si>
  <si>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</si>
  <si>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</si>
  <si>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</si>
  <si>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</si>
  <si>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</si>
  <si>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</si>
  <si>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</si>
  <si>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</si>
  <si>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</si>
  <si>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</si>
  <si>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</si>
  <si>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</si>
  <si>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</si>
  <si>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</si>
  <si>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</si>
  <si>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</si>
  <si>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</si>
  <si>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</si>
  <si>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</si>
  <si>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</si>
  <si>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</si>
  <si>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</si>
  <si>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</si>
  <si>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</si>
  <si>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</si>
  <si>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</si>
  <si>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</si>
  <si>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</si>
  <si>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</si>
  <si>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</si>
  <si>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</si>
  <si>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</si>
  <si>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</si>
  <si>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</si>
  <si>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</si>
  <si>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</si>
  <si>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</si>
  <si>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</si>
  <si>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</si>
  <si>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</si>
  <si>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</si>
  <si>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</si>
  <si>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</si>
  <si>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</si>
  <si>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</si>
  <si>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</si>
  <si>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</si>
  <si>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</si>
  <si>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</si>
  <si>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</si>
  <si>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</si>
  <si>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</si>
  <si>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</si>
  <si>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</si>
  <si>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</si>
  <si>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</si>
  <si>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</si>
  <si>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</si>
  <si>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</si>
  <si>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</si>
  <si>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</si>
  <si>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</si>
  <si>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</si>
  <si>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</si>
  <si>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</si>
  <si>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</si>
  <si>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</si>
  <si>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</si>
  <si>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</si>
  <si>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</si>
  <si>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</si>
  <si>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</si>
  <si>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</si>
  <si>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</si>
  <si>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</si>
  <si>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</si>
  <si>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</si>
  <si>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</si>
  <si>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</si>
  <si>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</si>
  <si>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</si>
  <si>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</si>
  <si>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</si>
  <si>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</si>
  <si>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</si>
  <si>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</si>
  <si>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</si>
  <si>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</si>
  <si>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</si>
  <si>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</si>
  <si>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</si>
  <si>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</si>
  <si>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</si>
  <si>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</si>
  <si>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</si>
  <si>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</si>
  <si>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</si>
  <si>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</si>
  <si>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</si>
  <si>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</si>
  <si>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</si>
  <si>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</si>
  <si>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</si>
  <si>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</si>
  <si>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</si>
  <si>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</si>
  <si>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</si>
  <si>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</si>
  <si>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</si>
  <si>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</si>
  <si>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</si>
  <si>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</si>
  <si>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</si>
  <si>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</si>
  <si>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</si>
  <si>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</si>
  <si>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</si>
  <si>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</si>
  <si>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</si>
  <si>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</si>
  <si>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</si>
  <si>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</si>
  <si>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</si>
  <si>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</si>
  <si>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</si>
  <si>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</si>
  <si>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</si>
  <si>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</si>
  <si>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</si>
  <si>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</si>
  <si>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</si>
  <si>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</si>
  <si>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</si>
  <si>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</si>
  <si>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</si>
  <si>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</si>
  <si>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</si>
  <si>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</si>
  <si>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</si>
  <si>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</si>
  <si>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</si>
  <si>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</si>
  <si>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</si>
  <si>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</si>
  <si>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</si>
  <si>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</si>
  <si>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</si>
  <si>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</si>
  <si>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</si>
  <si>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</si>
  <si>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</si>
  <si>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</si>
  <si>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</si>
  <si>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</si>
  <si>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</si>
  <si>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</si>
  <si>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</si>
  <si>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</si>
  <si>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</si>
  <si>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</si>
  <si>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</si>
  <si>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</si>
  <si>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</si>
  <si>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</si>
  <si>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</si>
  <si>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</si>
  <si>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</si>
  <si>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</si>
  <si>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</si>
  <si>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</si>
  <si>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</si>
  <si>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</si>
  <si>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</si>
  <si>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</si>
  <si>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</si>
  <si>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</si>
  <si>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</si>
  <si>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</si>
  <si>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</si>
  <si>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</si>
  <si>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</si>
  <si>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</si>
  <si>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</si>
  <si>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</si>
  <si>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</si>
  <si>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</si>
  <si>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</si>
  <si>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</si>
  <si>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</si>
  <si>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</si>
  <si>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</si>
  <si>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</si>
  <si>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</si>
  <si>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</si>
  <si>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</si>
  <si>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</si>
  <si>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</si>
  <si>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</si>
  <si>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</si>
  <si>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</si>
  <si>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</si>
  <si>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</si>
  <si>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</si>
  <si>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</si>
  <si>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</si>
  <si>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</si>
  <si>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</si>
  <si>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</si>
  <si>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</si>
  <si>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</si>
  <si>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</si>
  <si>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</si>
  <si>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</si>
  <si>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</si>
  <si>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</si>
  <si>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</si>
  <si>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</si>
  <si>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</si>
  <si>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</si>
  <si>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</si>
  <si>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</si>
  <si>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</si>
  <si>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</si>
  <si>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</si>
  <si>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</si>
  <si>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</si>
  <si>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</si>
  <si>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</si>
  <si>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</si>
  <si>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</si>
  <si>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</si>
  <si>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</si>
  <si>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</si>
  <si>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</si>
  <si>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</si>
  <si>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</si>
  <si>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</si>
  <si>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</si>
  <si>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</si>
  <si>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</si>
  <si>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</si>
  <si>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</si>
  <si>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</si>
  <si>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</si>
  <si>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</si>
  <si>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</si>
  <si>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</si>
  <si>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</si>
  <si>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</si>
  <si>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</si>
  <si>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</si>
  <si>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</si>
  <si>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</si>
  <si>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</si>
  <si>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</si>
  <si>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</si>
  <si>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</si>
  <si>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</si>
  <si>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</si>
  <si>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</si>
  <si>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</si>
  <si>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</si>
  <si>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</si>
  <si>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</si>
  <si>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</si>
  <si>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</si>
  <si>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</si>
  <si>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</si>
  <si>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</si>
  <si>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</si>
  <si>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</si>
  <si>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</si>
  <si>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</si>
  <si>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</si>
  <si>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</si>
  <si>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</si>
  <si>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</si>
  <si>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</si>
  <si>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</si>
  <si>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</si>
  <si>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</si>
  <si>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</si>
  <si>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</si>
  <si>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</si>
  <si>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</si>
  <si>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</si>
  <si>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</si>
  <si>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</si>
  <si>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</si>
  <si>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</si>
  <si>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</si>
  <si>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</si>
  <si>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</si>
  <si>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</si>
  <si>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</si>
  <si>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</si>
  <si>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</si>
  <si>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</si>
  <si>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</si>
  <si>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</si>
  <si>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</si>
  <si>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</si>
  <si>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</si>
  <si>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</si>
  <si>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</si>
  <si>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</si>
  <si>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</si>
  <si>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</si>
  <si>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</si>
  <si>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</si>
  <si>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</si>
  <si>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</si>
  <si>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</si>
  <si>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</si>
  <si>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</si>
  <si>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</si>
  <si>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</si>
  <si>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</si>
  <si>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</si>
  <si>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</si>
  <si>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</si>
  <si>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</si>
  <si>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</si>
  <si>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</si>
  <si>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</si>
  <si>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</si>
  <si>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</si>
  <si>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</si>
  <si>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</si>
  <si>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</si>
  <si>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</si>
  <si>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</si>
  <si>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</si>
  <si>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</si>
  <si>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</si>
  <si>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</si>
  <si>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</si>
  <si>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</si>
  <si>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</si>
  <si>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</si>
  <si>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</si>
  <si>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</si>
  <si>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</si>
  <si>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</si>
  <si>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</si>
  <si>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</si>
  <si>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</si>
  <si>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</si>
  <si>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</si>
  <si>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</si>
  <si>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</si>
  <si>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</si>
  <si>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</si>
  <si>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</si>
  <si>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</si>
  <si>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</si>
  <si>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</si>
  <si>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</si>
  <si>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</si>
  <si>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</si>
  <si>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</si>
  <si>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</si>
  <si>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</si>
  <si>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</si>
  <si>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</si>
  <si>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</si>
  <si>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</si>
  <si>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</si>
  <si>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</si>
  <si>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</si>
  <si>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</si>
  <si>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</si>
  <si>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</si>
  <si>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</si>
  <si>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</si>
  <si>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</si>
  <si>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</si>
  <si>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</si>
  <si>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</si>
  <si>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</si>
  <si>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</si>
  <si>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</si>
  <si>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</si>
  <si>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</si>
  <si>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</si>
  <si>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</si>
  <si>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</si>
  <si>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</si>
  <si>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</si>
  <si>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</si>
  <si>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</si>
  <si>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</si>
  <si>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</si>
  <si>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</si>
  <si>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</si>
  <si>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</si>
  <si>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</si>
  <si>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</si>
  <si>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</si>
  <si>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</si>
  <si>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</si>
  <si>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</si>
  <si>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</si>
  <si>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</si>
  <si>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</si>
  <si>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</si>
  <si>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</si>
  <si>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</si>
  <si>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</si>
  <si>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</si>
  <si>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</si>
  <si>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</si>
  <si>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</si>
  <si>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</si>
  <si>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</si>
  <si>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</si>
  <si>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</si>
  <si>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</si>
  <si>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</si>
  <si>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</si>
  <si>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</si>
  <si>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</si>
  <si>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</si>
  <si>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</si>
  <si>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</si>
  <si>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</si>
  <si>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</si>
  <si>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</si>
  <si>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</si>
  <si>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</si>
  <si>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</si>
  <si>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</si>
  <si>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</si>
  <si>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</si>
  <si>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</si>
  <si>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</si>
  <si>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</si>
  <si>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</si>
  <si>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</si>
  <si>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</si>
  <si>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</si>
  <si>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</si>
  <si>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</si>
  <si>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</si>
  <si>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</si>
  <si>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</si>
  <si>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</si>
  <si>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</si>
  <si>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</si>
  <si>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</si>
  <si>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</si>
  <si>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</si>
  <si>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</si>
  <si>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</si>
  <si>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</si>
  <si>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</si>
  <si>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</si>
  <si>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</si>
  <si>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</si>
  <si>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</si>
  <si>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</si>
  <si>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</si>
  <si>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</si>
  <si>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</si>
  <si>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</si>
  <si>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</si>
  <si>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</si>
  <si>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</si>
  <si>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</si>
  <si>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</si>
  <si>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</si>
  <si>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</si>
  <si>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</si>
  <si>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</si>
  <si>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</si>
  <si>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</si>
  <si>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</si>
  <si>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</si>
  <si>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</si>
  <si>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</si>
  <si>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</si>
  <si>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</si>
  <si>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</si>
  <si>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</si>
  <si>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</si>
  <si>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</si>
  <si>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</si>
  <si>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</si>
  <si>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</si>
  <si>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</si>
  <si>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</si>
  <si>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</si>
  <si>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</si>
  <si>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</si>
  <si>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</si>
  <si>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</si>
  <si>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</si>
  <si>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</si>
  <si>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</si>
  <si>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</si>
  <si>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</si>
  <si>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</si>
  <si>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</si>
  <si>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</si>
  <si>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</si>
  <si>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</si>
  <si>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</si>
  <si>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</si>
  <si>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</si>
  <si>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</si>
  <si>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</si>
  <si>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</si>
  <si>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</si>
  <si>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</si>
  <si>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</si>
  <si>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</si>
  <si>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</si>
  <si>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</si>
  <si>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</si>
  <si>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</si>
  <si>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</si>
  <si>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</si>
  <si>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</si>
  <si>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</si>
  <si>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</si>
  <si>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</si>
  <si>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</si>
  <si>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</si>
  <si>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</si>
  <si>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</si>
  <si>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</si>
  <si>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</si>
  <si>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</si>
  <si>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</si>
  <si>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</si>
  <si>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</si>
  <si>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</si>
  <si>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</si>
  <si>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</si>
  <si>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</si>
  <si>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</si>
  <si>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</si>
  <si>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</si>
  <si>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</si>
  <si>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</si>
  <si>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</si>
  <si>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</si>
  <si>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</si>
  <si>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</si>
  <si>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</si>
  <si>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</si>
  <si>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</si>
  <si>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</si>
  <si>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</si>
  <si>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</si>
  <si>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</si>
  <si>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</si>
  <si>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</si>
  <si>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</si>
  <si>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</si>
  <si>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</si>
  <si>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</si>
  <si>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</si>
  <si>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</si>
  <si>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</si>
  <si>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</si>
  <si>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</si>
  <si>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</si>
  <si>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</si>
  <si>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</si>
  <si>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</si>
  <si>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</si>
  <si>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</si>
  <si>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</si>
  <si>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</si>
  <si>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</si>
  <si>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</si>
  <si>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</si>
  <si>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</si>
  <si>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</si>
  <si>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</si>
  <si>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</si>
  <si>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</si>
  <si>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</si>
  <si>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</si>
  <si>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</si>
  <si>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</si>
  <si>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</si>
  <si>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</si>
  <si>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</si>
  <si>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</si>
  <si>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</si>
  <si>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</si>
  <si>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</si>
  <si>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</si>
  <si>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</si>
  <si>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</si>
  <si>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</si>
  <si>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</si>
  <si>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</si>
  <si>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</si>
  <si>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</si>
  <si>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</si>
  <si>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</si>
  <si>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</si>
  <si>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</si>
  <si>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</si>
  <si>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</si>
  <si>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</si>
  <si>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</si>
  <si>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</si>
  <si>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</si>
  <si>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</si>
  <si>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</si>
  <si>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</si>
  <si>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</si>
  <si>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</si>
  <si>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</si>
  <si>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</si>
  <si>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</si>
  <si>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</si>
  <si>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</si>
  <si>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</si>
  <si>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</si>
  <si>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</si>
  <si>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</si>
  <si>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</si>
  <si>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</si>
  <si>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</si>
  <si>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</si>
  <si>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</si>
  <si>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</si>
  <si>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</si>
  <si>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</si>
  <si>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</si>
  <si>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</si>
  <si>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</si>
  <si>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</si>
  <si>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</si>
  <si>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</si>
  <si>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</si>
  <si>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</si>
  <si>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</si>
  <si>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</si>
  <si>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</si>
  <si>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</si>
  <si>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</si>
  <si>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</si>
  <si>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</si>
  <si>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</si>
  <si>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</si>
  <si>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</si>
  <si>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</si>
  <si>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</si>
  <si>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</si>
  <si>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</si>
  <si>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</si>
  <si>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</si>
  <si>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</si>
  <si>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</si>
  <si>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</si>
  <si>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</si>
  <si>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</si>
  <si>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</si>
  <si>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</si>
  <si>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</si>
  <si>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</si>
  <si>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</si>
  <si>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</si>
  <si>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</si>
  <si>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</si>
  <si>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</si>
  <si>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</si>
  <si>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</si>
  <si>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</si>
  <si>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</si>
  <si>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</si>
  <si>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</si>
  <si>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</si>
  <si>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</si>
  <si>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</si>
  <si>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</si>
  <si>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</si>
  <si>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</si>
  <si>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</si>
  <si>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</si>
  <si>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</si>
  <si>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</si>
  <si>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</si>
  <si>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</si>
  <si>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</si>
  <si>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</si>
  <si>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</si>
  <si>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</si>
  <si>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</si>
  <si>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</si>
  <si>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01/18</t>
  </si>
  <si>
    <t>01/29</t>
  </si>
  <si>
    <t>04/18</t>
  </si>
  <si>
    <t>04/30</t>
  </si>
  <si>
    <t>The beginning fund balnce was adjusted by $241,964.73</t>
  </si>
  <si>
    <t>To match the opening fund balance at 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</si>
</sst>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sz val="8"/>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1179</v>
      </c>
      <c r="B2">
        <f>INDEX('School Tables'!$AH$3:$AH$209,MATCH('DOE25'!A2,'School Tables'!$AJ$3:$AJ$209,0))</f>
        <v>306</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536857.56999999995</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0</v>
      </c>
      <c r="G12" s="18">
        <v>86839.2</v>
      </c>
      <c r="H12" s="18">
        <v>78765.89</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f>110.04+14168.31</f>
        <v>14278.35</v>
      </c>
      <c r="H13" s="18">
        <v>57446.6</v>
      </c>
      <c r="I13" s="18"/>
      <c r="J13" s="13">
        <f>SUM(I443)</f>
        <v>407275.13</v>
      </c>
      <c r="K13" s="23" t="s">
        <v>288</v>
      </c>
      <c r="L13" s="23" t="s">
        <v>288</v>
      </c>
      <c r="M13" s="8"/>
      <c r="N13" s="165"/>
    </row>
    <row r="14" spans="1:14" s="3" customFormat="1" ht="12.2" customHeight="1" x14ac:dyDescent="0.15">
      <c r="A14" s="1" t="s">
        <v>565</v>
      </c>
      <c r="B14" s="2" t="s">
        <v>289</v>
      </c>
      <c r="C14" s="6">
        <v>6</v>
      </c>
      <c r="D14" s="2" t="s">
        <v>428</v>
      </c>
      <c r="E14" s="6">
        <v>150</v>
      </c>
      <c r="F14" s="18">
        <v>249.88</v>
      </c>
      <c r="G14" s="18">
        <v>1324.46</v>
      </c>
      <c r="H14" s="18">
        <v>4175.4399999999996</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v>14570.01</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537107.44999999995</v>
      </c>
      <c r="G19" s="38">
        <f>SUM(G9:G18)</f>
        <v>102442.01000000001</v>
      </c>
      <c r="H19" s="38">
        <f>SUM(H9:H18)</f>
        <v>154957.94</v>
      </c>
      <c r="I19" s="38">
        <f>SUM(I9:I18)</f>
        <v>0</v>
      </c>
      <c r="J19" s="38">
        <f>SUM(J9:J18)</f>
        <v>407275.13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111696.35</v>
      </c>
      <c r="G22" s="18"/>
      <c r="H22" s="18">
        <v>53908.74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v>7661.28</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14015.43</v>
      </c>
      <c r="G24" s="18"/>
      <c r="H24" s="18">
        <v>3537.86</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f>2198.62+9174.68</f>
        <v>11373.3</v>
      </c>
      <c r="H30" s="18">
        <v>82941.33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125711.78</v>
      </c>
      <c r="G32" s="38">
        <f>SUM(G22:G31)</f>
        <v>19034.579999999998</v>
      </c>
      <c r="H32" s="38">
        <f>SUM(H22:H31)</f>
        <v>140387.93</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v>14570.01</v>
      </c>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83407.429999999993</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407275.13</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85000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t="s">
        <v>286</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326395.67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411395.67</v>
      </c>
      <c r="G51" s="38">
        <f>SUM(G35:G50)</f>
        <v>83407.429999999993</v>
      </c>
      <c r="H51" s="38">
        <f>SUM(H35:H50)</f>
        <v>14570.01</v>
      </c>
      <c r="I51" s="38">
        <f>SUM(I35:I50)</f>
        <v>0</v>
      </c>
      <c r="J51" s="38">
        <f>SUM(J35:J50)</f>
        <v>407275.13</v>
      </c>
      <c r="K51" s="42" t="s">
        <v>288</v>
      </c>
      <c r="L51" s="42" t="s">
        <v>288</v>
      </c>
      <c r="N51" s="131"/>
    </row>
    <row r="52" spans="1:14" s="3" customFormat="1" ht="12.2" customHeight="1" thickTop="1" x14ac:dyDescent="0.15">
      <c r="A52" s="35" t="s">
        <v>455</v>
      </c>
      <c r="B52" s="36" t="s">
        <v>289</v>
      </c>
      <c r="C52" s="6">
        <v>37</v>
      </c>
      <c r="D52" s="36" t="s">
        <v>653</v>
      </c>
      <c r="E52" s="36"/>
      <c r="F52" s="38">
        <f>F51+F32</f>
        <v>537107.44999999995</v>
      </c>
      <c r="G52" s="38">
        <f>G51+G32</f>
        <v>102442.01</v>
      </c>
      <c r="H52" s="38">
        <f>H51+H32</f>
        <v>154957.94</v>
      </c>
      <c r="I52" s="38">
        <f>I51+I32</f>
        <v>0</v>
      </c>
      <c r="J52" s="38">
        <f>J51+J32</f>
        <v>407275.13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2359412+834639</f>
        <v>3194051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3194051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436400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436400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4200</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4200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9114.19</v>
      </c>
      <c r="G96" s="18"/>
      <c r="H96" s="18"/>
      <c r="I96" s="18"/>
      <c r="J96" s="18">
        <v>509.76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49672.34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1100</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11453.13</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6915.83</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28583.15</v>
      </c>
      <c r="G111" s="38">
        <f>SUM(G96:G110)</f>
        <v>49672.34</v>
      </c>
      <c r="H111" s="38">
        <f>SUM(H96:H110)</f>
        <v>0</v>
      </c>
      <c r="I111" s="38">
        <f>SUM(I96:I110)</f>
        <v>0</v>
      </c>
      <c r="J111" s="38">
        <f>SUM(J96:J110)</f>
        <v>509.76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3663234.15</v>
      </c>
      <c r="G112" s="38">
        <f>G60+G111</f>
        <v>49672.34</v>
      </c>
      <c r="H112" s="38">
        <f>H60+H79+H94+H111</f>
        <v>0</v>
      </c>
      <c r="I112" s="38">
        <f>I60+I111</f>
        <v>0</v>
      </c>
      <c r="J112" s="38">
        <f>J60+J111</f>
        <v>509.76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2298846.09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160586+91678</f>
        <v>252264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38382.14+1035.46</f>
        <v>39417.599999999999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2590527.69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t="s">
        <v>286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8797.7999999999993</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2360.77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320</v>
      </c>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f>30888.89+9914.52+99801.88</f>
        <v>140605.29</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9117.7999999999993</v>
      </c>
      <c r="G136" s="38">
        <f>SUM(G123:G135)</f>
        <v>2360.77</v>
      </c>
      <c r="H136" s="38">
        <f>SUM(H123:H135)</f>
        <v>140605.29</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2599645.4899999998</v>
      </c>
      <c r="G140" s="38">
        <f>G121+SUM(G136:G137)</f>
        <v>2360.77</v>
      </c>
      <c r="H140" s="38">
        <f>H121+SUM(H136:H139)</f>
        <v>140605.29</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7213.72</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261859.39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43446.12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78541.11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92889.58+19889.1</f>
        <v>112778.68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38807.68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10390.209999999999</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284130.08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38807.68</v>
      </c>
      <c r="G163" s="38">
        <f>SUM(G150:G162)</f>
        <v>88931.32</v>
      </c>
      <c r="H163" s="38">
        <f>SUM(H150:H162)</f>
        <v>709427.99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608.36</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39416.04</v>
      </c>
      <c r="G170" s="38">
        <f>G147+G163+SUM(G164:G169)</f>
        <v>88931.32</v>
      </c>
      <c r="H170" s="38">
        <f>H147+H163+SUM(H164:H169)</f>
        <v>709427.99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6302295.6799999997</v>
      </c>
      <c r="G194" s="38">
        <f>G112+G140+G170+G193</f>
        <v>140964.43</v>
      </c>
      <c r="H194" s="38">
        <f>H112+H140+H170+H193</f>
        <v>850033.28</v>
      </c>
      <c r="I194" s="38">
        <f>I112+I140+I170+I193</f>
        <v>0</v>
      </c>
      <c r="J194" s="38">
        <f>J112+J140+J193</f>
        <v>509.76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585382.75+8997.75</f>
        <v>594380.5</v>
      </c>
      <c r="G198" s="18">
        <f>345396.06+1996.54</f>
        <v>347392.6</v>
      </c>
      <c r="H198" s="18">
        <v>135</v>
      </c>
      <c r="I198" s="18">
        <f>12724.29</f>
        <v>12724.29</v>
      </c>
      <c r="J198" s="18">
        <f>2553.75</f>
        <v>2553.75</v>
      </c>
      <c r="K198" s="18"/>
      <c r="L198" s="13">
        <f>SUM(F198:K198)</f>
        <v>957186.14</v>
      </c>
      <c r="M198" s="8"/>
      <c r="N198" s="165"/>
    </row>
    <row r="199" spans="1:14" s="3" customFormat="1" ht="12.2" customHeight="1" x14ac:dyDescent="0.15">
      <c r="A199" s="1" t="s">
        <v>439</v>
      </c>
      <c r="B199" s="2" t="s">
        <v>341</v>
      </c>
      <c r="C199" s="2" t="s">
        <v>291</v>
      </c>
      <c r="D199" s="2" t="s">
        <v>431</v>
      </c>
      <c r="E199" s="6">
        <v>1200</v>
      </c>
      <c r="F199" s="18">
        <f>286086.86</f>
        <v>286086.86</v>
      </c>
      <c r="G199" s="18">
        <f>158694.75</f>
        <v>158694.75</v>
      </c>
      <c r="H199" s="18">
        <f>42551.5</f>
        <v>42551.5</v>
      </c>
      <c r="I199" s="18">
        <f>161.12</f>
        <v>161.12</v>
      </c>
      <c r="J199" s="18">
        <f>18.69</f>
        <v>18.690000000000001</v>
      </c>
      <c r="K199" s="18"/>
      <c r="L199" s="13">
        <f>SUM(F199:K199)</f>
        <v>487512.92</v>
      </c>
      <c r="M199" s="8"/>
      <c r="N199" s="165"/>
    </row>
    <row r="200" spans="1:14" s="3" customFormat="1" ht="12.2" customHeight="1" x14ac:dyDescent="0.15">
      <c r="A200" s="1" t="s">
        <v>440</v>
      </c>
      <c r="B200" s="2" t="s">
        <v>341</v>
      </c>
      <c r="C200" s="2" t="s">
        <v>292</v>
      </c>
      <c r="D200" s="2" t="s">
        <v>431</v>
      </c>
      <c r="E200" s="6">
        <v>1300</v>
      </c>
      <c r="F200" s="18"/>
      <c r="G200" s="18"/>
      <c r="H200" s="18">
        <v>1463</v>
      </c>
      <c r="I200" s="18">
        <v>1523.76</v>
      </c>
      <c r="J200" s="18"/>
      <c r="K200" s="18"/>
      <c r="L200" s="13">
        <f>SUM(F200:K200)</f>
        <v>2986.76</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92134.25</v>
      </c>
      <c r="G203" s="18">
        <v>58704.54</v>
      </c>
      <c r="H203" s="18">
        <v>84684.6</v>
      </c>
      <c r="I203" s="18">
        <v>1994.61</v>
      </c>
      <c r="J203" s="18">
        <v>282.35000000000002</v>
      </c>
      <c r="K203" s="18"/>
      <c r="L203" s="13">
        <f t="shared" ref="L203:L209" si="0">SUM(F203:K203)</f>
        <v>237800.35</v>
      </c>
      <c r="M203" s="8"/>
      <c r="N203" s="165"/>
    </row>
    <row r="204" spans="1:14" s="3" customFormat="1" ht="12.2" customHeight="1" x14ac:dyDescent="0.15">
      <c r="A204" s="1" t="s">
        <v>443</v>
      </c>
      <c r="B204" s="2" t="s">
        <v>341</v>
      </c>
      <c r="C204" s="2" t="s">
        <v>295</v>
      </c>
      <c r="D204" s="2" t="s">
        <v>431</v>
      </c>
      <c r="E204" s="6">
        <v>2200</v>
      </c>
      <c r="F204" s="18">
        <v>32644.6</v>
      </c>
      <c r="G204" s="18">
        <v>20804</v>
      </c>
      <c r="H204" s="18">
        <v>3037.5</v>
      </c>
      <c r="I204" s="18">
        <v>219.77</v>
      </c>
      <c r="J204" s="18"/>
      <c r="K204" s="18">
        <v>8558.34</v>
      </c>
      <c r="L204" s="13">
        <f t="shared" si="0"/>
        <v>65264.209999999992</v>
      </c>
      <c r="M204" s="8"/>
      <c r="N204" s="165"/>
    </row>
    <row r="205" spans="1:14" s="3" customFormat="1" ht="12.2" customHeight="1" x14ac:dyDescent="0.15">
      <c r="A205" s="1" t="s">
        <v>444</v>
      </c>
      <c r="B205" s="2" t="s">
        <v>341</v>
      </c>
      <c r="C205" s="2" t="s">
        <v>296</v>
      </c>
      <c r="D205" s="2" t="s">
        <v>431</v>
      </c>
      <c r="E205" s="6">
        <v>2300</v>
      </c>
      <c r="F205" s="18">
        <v>6847.34</v>
      </c>
      <c r="G205" s="18">
        <v>530.20000000000005</v>
      </c>
      <c r="H205" s="18">
        <f>148803.64+322.79</f>
        <v>149126.43000000002</v>
      </c>
      <c r="I205" s="18"/>
      <c r="J205" s="18"/>
      <c r="K205" s="18">
        <v>9827.9599999999991</v>
      </c>
      <c r="L205" s="13">
        <f t="shared" si="0"/>
        <v>166331.93000000002</v>
      </c>
      <c r="M205" s="8"/>
      <c r="N205" s="165"/>
    </row>
    <row r="206" spans="1:14" s="3" customFormat="1" ht="12.2" customHeight="1" x14ac:dyDescent="0.15">
      <c r="A206" s="1" t="s">
        <v>445</v>
      </c>
      <c r="B206" s="2" t="s">
        <v>341</v>
      </c>
      <c r="C206" s="2" t="s">
        <v>297</v>
      </c>
      <c r="D206" s="2" t="s">
        <v>431</v>
      </c>
      <c r="E206" s="6">
        <v>2400</v>
      </c>
      <c r="F206" s="18">
        <v>67839.53</v>
      </c>
      <c r="G206" s="18">
        <v>34498.74</v>
      </c>
      <c r="H206" s="18">
        <v>12347.13</v>
      </c>
      <c r="I206" s="18">
        <v>8438.43</v>
      </c>
      <c r="J206" s="18">
        <v>107.95</v>
      </c>
      <c r="K206" s="18">
        <v>773.92</v>
      </c>
      <c r="L206" s="13">
        <f t="shared" si="0"/>
        <v>124005.69999999998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23570.85</v>
      </c>
      <c r="G208" s="18">
        <v>8869.99</v>
      </c>
      <c r="H208" s="18">
        <v>114025.71</v>
      </c>
      <c r="I208" s="18">
        <v>67402.429999999993</v>
      </c>
      <c r="J208" s="18">
        <v>8163.73</v>
      </c>
      <c r="K208" s="18"/>
      <c r="L208" s="13">
        <f t="shared" si="0"/>
        <v>222032.71</v>
      </c>
      <c r="M208" s="8"/>
      <c r="N208" s="165"/>
    </row>
    <row r="209" spans="1:14" s="3" customFormat="1" ht="12.2" customHeight="1" x14ac:dyDescent="0.15">
      <c r="A209" s="1" t="s">
        <v>448</v>
      </c>
      <c r="B209" s="2" t="s">
        <v>341</v>
      </c>
      <c r="C209" s="2" t="s">
        <v>300</v>
      </c>
      <c r="D209" s="2" t="s">
        <v>431</v>
      </c>
      <c r="E209" s="6">
        <v>2700</v>
      </c>
      <c r="F209" s="18">
        <f>268.14</f>
        <v>268.14</v>
      </c>
      <c r="G209" s="18">
        <v>425.58</v>
      </c>
      <c r="H209" s="18">
        <f>76109.91+825.42+1285.5+3332.01</f>
        <v>81552.84</v>
      </c>
      <c r="I209" s="18">
        <v>979.34</v>
      </c>
      <c r="J209" s="18"/>
      <c r="K209" s="18"/>
      <c r="L209" s="13">
        <f t="shared" si="0"/>
        <v>83225.899999999994</v>
      </c>
      <c r="M209" s="8"/>
      <c r="N209" s="165"/>
    </row>
    <row r="210" spans="1:14" s="3" customFormat="1" ht="12.2" customHeight="1" x14ac:dyDescent="0.15">
      <c r="A210" s="1" t="s">
        <v>449</v>
      </c>
      <c r="B210" s="2" t="s">
        <v>341</v>
      </c>
      <c r="C210" s="2" t="s">
        <v>343</v>
      </c>
      <c r="D210" s="2" t="s">
        <v>431</v>
      </c>
      <c r="E210" s="6">
        <v>2800</v>
      </c>
      <c r="F210" s="18">
        <v>25608.19</v>
      </c>
      <c r="G210" s="18">
        <v>7001.34</v>
      </c>
      <c r="H210" s="18">
        <v>3771.87</v>
      </c>
      <c r="I210" s="18">
        <v>5175.58</v>
      </c>
      <c r="J210" s="18">
        <v>1375.92</v>
      </c>
      <c r="K210" s="18"/>
      <c r="L210" s="13">
        <f>SUM(F210:K210)</f>
        <v>42932.9</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1129380.2599999998</v>
      </c>
      <c r="G212" s="38">
        <f t="shared" si="1"/>
        <v>636921.73999999987</v>
      </c>
      <c r="H212" s="38">
        <f t="shared" si="1"/>
        <v>492695.58000000007</v>
      </c>
      <c r="I212" s="38">
        <f t="shared" si="1"/>
        <v>98619.33</v>
      </c>
      <c r="J212" s="38">
        <f t="shared" si="1"/>
        <v>12502.39</v>
      </c>
      <c r="K212" s="38">
        <f t="shared" si="1"/>
        <v>19160.219999999998</v>
      </c>
      <c r="L212" s="38">
        <f t="shared" si="1"/>
        <v>2389279.52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377513.07+2666</f>
        <v>380179.07</v>
      </c>
      <c r="G216" s="18">
        <f>211069.77+591.57</f>
        <v>211661.34</v>
      </c>
      <c r="H216" s="18">
        <v>25266.37</v>
      </c>
      <c r="I216" s="18">
        <v>3243.55</v>
      </c>
      <c r="J216" s="18">
        <v>167.61</v>
      </c>
      <c r="K216" s="18"/>
      <c r="L216" s="13">
        <f>SUM(F216:K216)</f>
        <v>620517.94000000006</v>
      </c>
      <c r="M216" s="8"/>
      <c r="N216" s="165"/>
    </row>
    <row r="217" spans="1:14" s="3" customFormat="1" ht="12.2" customHeight="1" x14ac:dyDescent="0.15">
      <c r="A217" s="1" t="s">
        <v>439</v>
      </c>
      <c r="B217" s="2" t="s">
        <v>346</v>
      </c>
      <c r="C217" s="2" t="s">
        <v>291</v>
      </c>
      <c r="D217" s="2" t="s">
        <v>431</v>
      </c>
      <c r="E217" s="6">
        <v>1200</v>
      </c>
      <c r="F217" s="18">
        <v>146165.96</v>
      </c>
      <c r="G217" s="18">
        <v>74502.59</v>
      </c>
      <c r="H217" s="18">
        <v>48544.33</v>
      </c>
      <c r="I217" s="18"/>
      <c r="J217" s="18"/>
      <c r="K217" s="18"/>
      <c r="L217" s="13">
        <f>SUM(F217:K217)</f>
        <v>269212.88</v>
      </c>
      <c r="M217" s="8"/>
      <c r="N217" s="165"/>
    </row>
    <row r="218" spans="1:14" s="3" customFormat="1" ht="12.2" customHeight="1" x14ac:dyDescent="0.15">
      <c r="A218" s="1" t="s">
        <v>440</v>
      </c>
      <c r="B218" s="2" t="s">
        <v>346</v>
      </c>
      <c r="C218" s="2" t="s">
        <v>292</v>
      </c>
      <c r="D218" s="2" t="s">
        <v>431</v>
      </c>
      <c r="E218" s="6">
        <v>1300</v>
      </c>
      <c r="F218" s="18">
        <v>28987.1</v>
      </c>
      <c r="G218" s="18">
        <v>10252.11</v>
      </c>
      <c r="H218" s="18">
        <v>437</v>
      </c>
      <c r="I218" s="18">
        <v>847.82</v>
      </c>
      <c r="J218" s="18"/>
      <c r="K218" s="18"/>
      <c r="L218" s="13">
        <f>SUM(F218:K218)</f>
        <v>40524.03</v>
      </c>
      <c r="M218" s="8"/>
      <c r="N218" s="165"/>
    </row>
    <row r="219" spans="1:14" s="3" customFormat="1" ht="12.2" customHeight="1" x14ac:dyDescent="0.15">
      <c r="A219" s="1" t="s">
        <v>441</v>
      </c>
      <c r="B219" s="2" t="s">
        <v>346</v>
      </c>
      <c r="C219" s="2" t="s">
        <v>293</v>
      </c>
      <c r="D219" s="2" t="s">
        <v>431</v>
      </c>
      <c r="E219" s="6">
        <v>1400</v>
      </c>
      <c r="F219" s="18">
        <v>9680</v>
      </c>
      <c r="G219" s="18">
        <v>2324.08</v>
      </c>
      <c r="H219" s="18">
        <v>3440</v>
      </c>
      <c r="I219" s="18">
        <v>2196</v>
      </c>
      <c r="J219" s="18">
        <v>1589.78</v>
      </c>
      <c r="K219" s="18">
        <v>873</v>
      </c>
      <c r="L219" s="13">
        <f>SUM(F219:K219)</f>
        <v>20102.86</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25236.04</v>
      </c>
      <c r="G221" s="18">
        <v>15694.54</v>
      </c>
      <c r="H221" s="18">
        <f>28171.51+112.31</f>
        <v>28283.82</v>
      </c>
      <c r="I221" s="18">
        <v>589.25</v>
      </c>
      <c r="J221" s="18">
        <v>83.66</v>
      </c>
      <c r="K221" s="18"/>
      <c r="L221" s="13">
        <f t="shared" ref="L221:L227" si="2">SUM(F221:K221)</f>
        <v>69887.31</v>
      </c>
      <c r="M221" s="8"/>
      <c r="N221" s="165"/>
    </row>
    <row r="222" spans="1:14" s="3" customFormat="1" ht="12.2" customHeight="1" x14ac:dyDescent="0.15">
      <c r="A222" s="1" t="s">
        <v>443</v>
      </c>
      <c r="B222" s="2" t="s">
        <v>346</v>
      </c>
      <c r="C222" s="2" t="s">
        <v>295</v>
      </c>
      <c r="D222" s="2" t="s">
        <v>431</v>
      </c>
      <c r="E222" s="6">
        <v>2200</v>
      </c>
      <c r="F222" s="18">
        <v>19586.84</v>
      </c>
      <c r="G222" s="18">
        <v>12482.23</v>
      </c>
      <c r="H222" s="18"/>
      <c r="I222" s="18">
        <v>65.12</v>
      </c>
      <c r="J222" s="18"/>
      <c r="K222" s="18">
        <v>648.57000000000005</v>
      </c>
      <c r="L222" s="13">
        <f t="shared" si="2"/>
        <v>32782.76</v>
      </c>
      <c r="M222" s="8"/>
      <c r="N222" s="165"/>
    </row>
    <row r="223" spans="1:14" s="3" customFormat="1" ht="12.2" customHeight="1" x14ac:dyDescent="0.15">
      <c r="A223" s="1" t="s">
        <v>444</v>
      </c>
      <c r="B223" s="2" t="s">
        <v>346</v>
      </c>
      <c r="C223" s="2" t="s">
        <v>296</v>
      </c>
      <c r="D223" s="2" t="s">
        <v>431</v>
      </c>
      <c r="E223" s="6">
        <v>2300</v>
      </c>
      <c r="F223" s="18">
        <f>2028.44</f>
        <v>2028.44</v>
      </c>
      <c r="G223" s="18">
        <v>157.1</v>
      </c>
      <c r="H223" s="18">
        <f>51486.79+95.78</f>
        <v>51582.57</v>
      </c>
      <c r="I223" s="18"/>
      <c r="J223" s="18"/>
      <c r="K223" s="18">
        <v>3444.61</v>
      </c>
      <c r="L223" s="13">
        <f t="shared" si="2"/>
        <v>57212.72</v>
      </c>
      <c r="M223" s="8"/>
      <c r="N223" s="165"/>
    </row>
    <row r="224" spans="1:14" s="3" customFormat="1" ht="12.2" customHeight="1" x14ac:dyDescent="0.15">
      <c r="A224" s="1" t="s">
        <v>445</v>
      </c>
      <c r="B224" s="2" t="s">
        <v>346</v>
      </c>
      <c r="C224" s="2" t="s">
        <v>297</v>
      </c>
      <c r="D224" s="2" t="s">
        <v>431</v>
      </c>
      <c r="E224" s="6">
        <v>2400</v>
      </c>
      <c r="F224" s="18">
        <v>45363.85</v>
      </c>
      <c r="G224" s="18">
        <v>22972.15</v>
      </c>
      <c r="H224" s="18">
        <v>4469.3999999999996</v>
      </c>
      <c r="I224" s="18">
        <v>2708.59</v>
      </c>
      <c r="J224" s="18">
        <v>31.98</v>
      </c>
      <c r="K224" s="18">
        <v>630.71</v>
      </c>
      <c r="L224" s="13">
        <f t="shared" si="2"/>
        <v>76176.679999999993</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14374.53</v>
      </c>
      <c r="G226" s="18">
        <v>5438.83</v>
      </c>
      <c r="H226" s="18">
        <v>34632.92</v>
      </c>
      <c r="I226" s="18">
        <v>22313.74</v>
      </c>
      <c r="J226" s="18">
        <v>2418.88</v>
      </c>
      <c r="K226" s="18"/>
      <c r="L226" s="13">
        <f t="shared" si="2"/>
        <v>79178.900000000009</v>
      </c>
      <c r="M226" s="8"/>
      <c r="N226" s="165"/>
    </row>
    <row r="227" spans="1:14" s="3" customFormat="1" ht="12.2" customHeight="1" x14ac:dyDescent="0.15">
      <c r="A227" s="1" t="s">
        <v>448</v>
      </c>
      <c r="B227" s="2" t="s">
        <v>346</v>
      </c>
      <c r="C227" s="2" t="s">
        <v>300</v>
      </c>
      <c r="D227" s="2" t="s">
        <v>431</v>
      </c>
      <c r="E227" s="6">
        <v>2700</v>
      </c>
      <c r="F227" s="18">
        <f>79.45</f>
        <v>79.45</v>
      </c>
      <c r="G227" s="18">
        <v>126.1</v>
      </c>
      <c r="H227" s="18">
        <f>30507.8+987.26</f>
        <v>31495.059999999998</v>
      </c>
      <c r="I227" s="18">
        <v>290.18</v>
      </c>
      <c r="J227" s="18"/>
      <c r="K227" s="18"/>
      <c r="L227" s="13">
        <f t="shared" si="2"/>
        <v>31990.789999999997</v>
      </c>
      <c r="M227" s="8"/>
      <c r="N227" s="165"/>
    </row>
    <row r="228" spans="1:14" s="3" customFormat="1" ht="12.2" customHeight="1" x14ac:dyDescent="0.15">
      <c r="A228" s="1" t="s">
        <v>449</v>
      </c>
      <c r="B228" s="2" t="s">
        <v>346</v>
      </c>
      <c r="C228" s="2" t="s">
        <v>343</v>
      </c>
      <c r="D228" s="2" t="s">
        <v>431</v>
      </c>
      <c r="E228" s="6">
        <v>2800</v>
      </c>
      <c r="F228" s="18">
        <v>16096.44</v>
      </c>
      <c r="G228" s="18">
        <v>4491.92</v>
      </c>
      <c r="H228" s="18">
        <v>1497.24</v>
      </c>
      <c r="I228" s="18">
        <v>1812.63</v>
      </c>
      <c r="J228" s="18">
        <v>407.68</v>
      </c>
      <c r="K228" s="18"/>
      <c r="L228" s="13">
        <f>SUM(F228:K228)</f>
        <v>24305.910000000003</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687777.71999999986</v>
      </c>
      <c r="G230" s="38">
        <f>SUM(G216:G229)</f>
        <v>360102.98999999993</v>
      </c>
      <c r="H230" s="38">
        <f>SUM(H216:H229)</f>
        <v>229648.70999999996</v>
      </c>
      <c r="I230" s="38">
        <f>SUM(I216:I229)</f>
        <v>34066.880000000005</v>
      </c>
      <c r="J230" s="38">
        <f>SUM(J216:J229)</f>
        <v>4699.59</v>
      </c>
      <c r="K230" s="38">
        <f t="shared" si="3"/>
        <v>5596.89</v>
      </c>
      <c r="L230" s="38">
        <f t="shared" si="3"/>
        <v>1321892.7799999998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569655.31+30948.72+4998.75</f>
        <v>605602.78</v>
      </c>
      <c r="G234" s="18">
        <f>281820.42+1109.19</f>
        <v>282929.61</v>
      </c>
      <c r="H234" s="18">
        <f>291.2+75</f>
        <v>366.2</v>
      </c>
      <c r="I234" s="18">
        <v>22717.97</v>
      </c>
      <c r="J234" s="18">
        <v>2758.81</v>
      </c>
      <c r="K234" s="18"/>
      <c r="L234" s="13">
        <f>SUM(F234:K234)</f>
        <v>914375.37</v>
      </c>
      <c r="M234" s="8"/>
      <c r="N234" s="165"/>
    </row>
    <row r="235" spans="1:14" s="3" customFormat="1" ht="12.2" customHeight="1" x14ac:dyDescent="0.15">
      <c r="A235" s="1" t="s">
        <v>439</v>
      </c>
      <c r="B235" s="2" t="s">
        <v>350</v>
      </c>
      <c r="C235" s="2" t="s">
        <v>291</v>
      </c>
      <c r="D235" s="2" t="s">
        <v>431</v>
      </c>
      <c r="E235" s="6">
        <v>1200</v>
      </c>
      <c r="F235" s="18">
        <f>80837.19+32661.53</f>
        <v>113498.72</v>
      </c>
      <c r="G235" s="18">
        <v>61367.02</v>
      </c>
      <c r="H235" s="18">
        <v>452830.18</v>
      </c>
      <c r="I235" s="18"/>
      <c r="J235" s="18"/>
      <c r="K235" s="18"/>
      <c r="L235" s="13">
        <f>SUM(F235:K235)</f>
        <v>627695.91999999993</v>
      </c>
      <c r="M235" s="8"/>
      <c r="N235" s="165"/>
    </row>
    <row r="236" spans="1:14" s="3" customFormat="1" ht="12.2" customHeight="1" x14ac:dyDescent="0.15">
      <c r="A236" s="1" t="s">
        <v>440</v>
      </c>
      <c r="B236" s="2" t="s">
        <v>350</v>
      </c>
      <c r="C236" s="2" t="s">
        <v>292</v>
      </c>
      <c r="D236" s="2" t="s">
        <v>431</v>
      </c>
      <c r="E236" s="6">
        <v>1300</v>
      </c>
      <c r="F236" s="18">
        <v>138920.4</v>
      </c>
      <c r="G236" s="18">
        <v>50404.53</v>
      </c>
      <c r="H236" s="18">
        <v>29628.3</v>
      </c>
      <c r="I236" s="18">
        <f>591.62+1202.24</f>
        <v>1793.8600000000001</v>
      </c>
      <c r="J236" s="18">
        <v>607.04999999999995</v>
      </c>
      <c r="K236" s="18"/>
      <c r="L236" s="13">
        <f>SUM(F236:K236)</f>
        <v>221354.13999999996</v>
      </c>
      <c r="M236" s="8"/>
      <c r="N236" s="165"/>
    </row>
    <row r="237" spans="1:14" s="3" customFormat="1" ht="12.2" customHeight="1" x14ac:dyDescent="0.15">
      <c r="A237" s="1" t="s">
        <v>441</v>
      </c>
      <c r="B237" s="2" t="s">
        <v>350</v>
      </c>
      <c r="C237" s="2" t="s">
        <v>293</v>
      </c>
      <c r="D237" s="2" t="s">
        <v>431</v>
      </c>
      <c r="E237" s="6">
        <v>1400</v>
      </c>
      <c r="F237" s="18">
        <f>41043.6+3760</f>
        <v>44803.6</v>
      </c>
      <c r="G237" s="18">
        <v>9605.66</v>
      </c>
      <c r="H237" s="18">
        <v>14265</v>
      </c>
      <c r="I237" s="18">
        <v>3904</v>
      </c>
      <c r="J237" s="18">
        <v>2836.79</v>
      </c>
      <c r="K237" s="18">
        <v>1552</v>
      </c>
      <c r="L237" s="13">
        <f>SUM(F237:K237)</f>
        <v>76967.049999999988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34480.730000000003</v>
      </c>
      <c r="G239" s="18">
        <v>11083.41</v>
      </c>
      <c r="H239" s="18">
        <f>210.58+8995.43+18712.6+12886.94+15098.27</f>
        <v>55903.820000000007</v>
      </c>
      <c r="I239" s="18">
        <v>1104.8499999999999</v>
      </c>
      <c r="J239" s="18">
        <v>156.86000000000001</v>
      </c>
      <c r="K239" s="18"/>
      <c r="L239" s="13">
        <f t="shared" ref="L239:L245" si="4">SUM(F239:K239)</f>
        <v>102729.67000000001</v>
      </c>
      <c r="M239" s="8"/>
      <c r="N239" s="165"/>
    </row>
    <row r="240" spans="1:14" s="3" customFormat="1" ht="12.2" customHeight="1" x14ac:dyDescent="0.15">
      <c r="A240" s="1" t="s">
        <v>443</v>
      </c>
      <c r="B240" s="2" t="s">
        <v>350</v>
      </c>
      <c r="C240" s="2" t="s">
        <v>295</v>
      </c>
      <c r="D240" s="2" t="s">
        <v>431</v>
      </c>
      <c r="E240" s="6">
        <v>2200</v>
      </c>
      <c r="F240" s="18">
        <v>13057.56</v>
      </c>
      <c r="G240" s="18">
        <f>8321.57</f>
        <v>8321.57</v>
      </c>
      <c r="H240" s="18">
        <v>226.8</v>
      </c>
      <c r="I240" s="18">
        <v>122.1</v>
      </c>
      <c r="J240" s="18"/>
      <c r="K240" s="18">
        <v>1702.51</v>
      </c>
      <c r="L240" s="13">
        <f t="shared" si="4"/>
        <v>23430.539999999994</v>
      </c>
      <c r="M240" s="8"/>
      <c r="N240" s="165"/>
    </row>
    <row r="241" spans="1:14" s="3" customFormat="1" ht="12.2" customHeight="1" x14ac:dyDescent="0.15">
      <c r="A241" s="1" t="s">
        <v>444</v>
      </c>
      <c r="B241" s="2" t="s">
        <v>350</v>
      </c>
      <c r="C241" s="2" t="s">
        <v>296</v>
      </c>
      <c r="D241" s="2" t="s">
        <v>431</v>
      </c>
      <c r="E241" s="6">
        <v>2300</v>
      </c>
      <c r="F241" s="18">
        <f>3804.08</f>
        <v>3804.08</v>
      </c>
      <c r="G241" s="18">
        <v>294.56</v>
      </c>
      <c r="H241" s="18">
        <f>7370.51+79173.59+179.56</f>
        <v>86723.659999999989</v>
      </c>
      <c r="I241" s="18"/>
      <c r="J241" s="18"/>
      <c r="K241" s="18">
        <v>6517.04</v>
      </c>
      <c r="L241" s="13">
        <f t="shared" si="4"/>
        <v>97339.339999999982</v>
      </c>
      <c r="M241" s="8"/>
      <c r="N241" s="165"/>
    </row>
    <row r="242" spans="1:14" s="3" customFormat="1" ht="12.2" customHeight="1" x14ac:dyDescent="0.15">
      <c r="A242" s="1" t="s">
        <v>445</v>
      </c>
      <c r="B242" s="2" t="s">
        <v>350</v>
      </c>
      <c r="C242" s="2" t="s">
        <v>297</v>
      </c>
      <c r="D242" s="2" t="s">
        <v>431</v>
      </c>
      <c r="E242" s="6">
        <v>2400</v>
      </c>
      <c r="F242" s="18">
        <f>56871.09+24485.09</f>
        <v>81356.179999999993</v>
      </c>
      <c r="G242" s="18">
        <f>30251.56+11190.3</f>
        <v>41441.86</v>
      </c>
      <c r="H242" s="18">
        <v>8265.15</v>
      </c>
      <c r="I242" s="18">
        <v>4473.54</v>
      </c>
      <c r="J242" s="18">
        <v>59.97</v>
      </c>
      <c r="K242" s="18">
        <f>1143.56+1599.05</f>
        <v>2742.6099999999997</v>
      </c>
      <c r="L242" s="13">
        <f t="shared" si="4"/>
        <v>138339.30999999997</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27782.94</v>
      </c>
      <c r="G244" s="18">
        <v>10551.18</v>
      </c>
      <c r="H244" s="18">
        <f>64022.03+665</f>
        <v>64687.03</v>
      </c>
      <c r="I244" s="18">
        <f>37721.77+720.23</f>
        <v>38442</v>
      </c>
      <c r="J244" s="18">
        <v>4535.3999999999996</v>
      </c>
      <c r="K244" s="18"/>
      <c r="L244" s="13">
        <f t="shared" si="4"/>
        <v>145998.54999999999</v>
      </c>
      <c r="M244" s="8"/>
      <c r="N244" s="165"/>
    </row>
    <row r="245" spans="1:14" s="3" customFormat="1" ht="12.2" customHeight="1" x14ac:dyDescent="0.15">
      <c r="A245" s="1" t="s">
        <v>448</v>
      </c>
      <c r="B245" s="2" t="s">
        <v>350</v>
      </c>
      <c r="C245" s="2" t="s">
        <v>300</v>
      </c>
      <c r="D245" s="2" t="s">
        <v>431</v>
      </c>
      <c r="E245" s="6">
        <v>2700</v>
      </c>
      <c r="F245" s="18">
        <f>148.97</f>
        <v>148.97</v>
      </c>
      <c r="G245" s="18">
        <v>236.43</v>
      </c>
      <c r="H245" s="18">
        <f>42741.78+48261.99+1851.11</f>
        <v>92854.87999999999</v>
      </c>
      <c r="I245" s="18">
        <f>544.09</f>
        <v>544.09</v>
      </c>
      <c r="J245" s="18"/>
      <c r="K245" s="18"/>
      <c r="L245" s="13">
        <f t="shared" si="4"/>
        <v>93784.369999999981</v>
      </c>
      <c r="M245" s="8"/>
      <c r="N245" s="165"/>
    </row>
    <row r="246" spans="1:14" s="3" customFormat="1" ht="12.2" customHeight="1" x14ac:dyDescent="0.15">
      <c r="A246" s="1" t="s">
        <v>449</v>
      </c>
      <c r="B246" s="2" t="s">
        <v>350</v>
      </c>
      <c r="C246" s="2" t="s">
        <v>343</v>
      </c>
      <c r="D246" s="2" t="s">
        <v>431</v>
      </c>
      <c r="E246" s="6">
        <v>2800</v>
      </c>
      <c r="F246" s="18">
        <v>31461.360000000001</v>
      </c>
      <c r="G246" s="18">
        <v>8780.17</v>
      </c>
      <c r="H246" s="18">
        <f>2258.28</f>
        <v>2258.2800000000002</v>
      </c>
      <c r="I246" s="18">
        <v>3112.62</v>
      </c>
      <c r="J246" s="18">
        <v>764.4</v>
      </c>
      <c r="K246" s="18"/>
      <c r="L246" s="13">
        <f>SUM(F246:K246)</f>
        <v>46376.83</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1094917.32</v>
      </c>
      <c r="G248" s="38">
        <f t="shared" si="5"/>
        <v>485015.99999999994</v>
      </c>
      <c r="H248" s="38">
        <f t="shared" si="5"/>
        <v>808009.30000000016</v>
      </c>
      <c r="I248" s="38">
        <f t="shared" si="5"/>
        <v>76215.03</v>
      </c>
      <c r="J248" s="38">
        <f t="shared" si="5"/>
        <v>11719.279999999999</v>
      </c>
      <c r="K248" s="38">
        <f t="shared" si="5"/>
        <v>12514.16</v>
      </c>
      <c r="L248" s="38">
        <f t="shared" si="5"/>
        <v>2488391.09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2912075.3</v>
      </c>
      <c r="G258" s="38">
        <f t="shared" si="8"/>
        <v>1482040.7299999997</v>
      </c>
      <c r="H258" s="38">
        <f t="shared" si="8"/>
        <v>1530353.5900000003</v>
      </c>
      <c r="I258" s="38">
        <f t="shared" si="8"/>
        <v>208901.24000000002</v>
      </c>
      <c r="J258" s="38">
        <f t="shared" si="8"/>
        <v>28921.26</v>
      </c>
      <c r="K258" s="38">
        <f t="shared" si="8"/>
        <v>37271.269999999997</v>
      </c>
      <c r="L258" s="38">
        <f t="shared" si="8"/>
        <v>6199563.3899999997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57720.01</v>
      </c>
      <c r="L261" s="13">
        <f>SUM(F261:K261)</f>
        <v>57720.01</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12649.49</v>
      </c>
      <c r="L262" s="13">
        <f>SUM(F262:K262)</f>
        <v>12649.49</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70369.5</v>
      </c>
      <c r="L271" s="38">
        <f t="shared" si="9"/>
        <v>70369.5</v>
      </c>
      <c r="M271" s="8"/>
      <c r="N271" s="165"/>
    </row>
    <row r="272" spans="1:14" s="33" customFormat="1" ht="12.2" customHeight="1" thickTop="1" x14ac:dyDescent="0.2">
      <c r="A272" s="40" t="s">
        <v>464</v>
      </c>
      <c r="B272" s="37">
        <v>10</v>
      </c>
      <c r="C272" s="37">
        <v>18</v>
      </c>
      <c r="D272" s="36" t="s">
        <v>431</v>
      </c>
      <c r="E272" s="37"/>
      <c r="F272" s="39">
        <f t="shared" ref="F272:L272" si="11">F258+F271</f>
        <v>2912075.3</v>
      </c>
      <c r="G272" s="39">
        <f t="shared" si="11"/>
        <v>1482040.7299999997</v>
      </c>
      <c r="H272" s="39">
        <f t="shared" si="11"/>
        <v>1530353.5900000003</v>
      </c>
      <c r="I272" s="39">
        <f t="shared" si="11"/>
        <v>208901.24000000002</v>
      </c>
      <c r="J272" s="39">
        <f t="shared" si="11"/>
        <v>28921.26</v>
      </c>
      <c r="K272" s="39">
        <f t="shared" si="11"/>
        <v>107640.76999999999</v>
      </c>
      <c r="L272" s="39">
        <f t="shared" si="11"/>
        <v>6269932.8899999997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192328+30766.5</f>
        <v>223094.5</v>
      </c>
      <c r="G277" s="18">
        <f>4610.78+14900.2</f>
        <v>19510.98</v>
      </c>
      <c r="H277" s="18">
        <v>25241.23</v>
      </c>
      <c r="I277" s="18">
        <f>84241.85+16579.34</f>
        <v>100821.19</v>
      </c>
      <c r="J277" s="18">
        <v>22360.32</v>
      </c>
      <c r="K277" s="18"/>
      <c r="L277" s="13">
        <f>SUM(F277:K277)</f>
        <v>391028.22000000003</v>
      </c>
      <c r="M277" s="8"/>
      <c r="N277" s="165"/>
    </row>
    <row r="278" spans="1:14" s="3" customFormat="1" ht="12.2" customHeight="1" x14ac:dyDescent="0.15">
      <c r="A278" s="1" t="s">
        <v>439</v>
      </c>
      <c r="B278" s="2" t="s">
        <v>357</v>
      </c>
      <c r="C278" s="2" t="s">
        <v>291</v>
      </c>
      <c r="D278" s="2" t="s">
        <v>431</v>
      </c>
      <c r="E278" s="6">
        <v>1200</v>
      </c>
      <c r="F278" s="18">
        <f>19493.88+10138.89</f>
        <v>29632.77</v>
      </c>
      <c r="G278" s="18">
        <f>5524.67+2243.6</f>
        <v>7768.27</v>
      </c>
      <c r="H278" s="18">
        <f>29000+10740.11</f>
        <v>39740.11</v>
      </c>
      <c r="I278" s="18">
        <v>1594.8</v>
      </c>
      <c r="J278" s="18">
        <v>583.14</v>
      </c>
      <c r="K278" s="18"/>
      <c r="L278" s="13">
        <f>SUM(F278:K278)</f>
        <v>79319.09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17226.32</v>
      </c>
      <c r="G280" s="18">
        <v>4108.59</v>
      </c>
      <c r="H280" s="18"/>
      <c r="I280" s="18">
        <v>9914.52</v>
      </c>
      <c r="J280" s="18"/>
      <c r="K280" s="18"/>
      <c r="L280" s="13">
        <f>SUM(F280:K280)</f>
        <v>31249.43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568.6+4217.4</f>
        <v>4786</v>
      </c>
      <c r="G282" s="18">
        <f>43.49+450.35</f>
        <v>493.84000000000003</v>
      </c>
      <c r="H282" s="18">
        <f>30000+15122.57</f>
        <v>45122.57</v>
      </c>
      <c r="I282" s="18"/>
      <c r="J282" s="18"/>
      <c r="K282" s="18"/>
      <c r="L282" s="13">
        <f t="shared" ref="L282:L288" si="12">SUM(F282:K282)</f>
        <v>50402.41</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f>18197.08+550.83</f>
        <v>18747.910000000003</v>
      </c>
      <c r="L284" s="13">
        <f t="shared" si="12"/>
        <v>18747.910000000003</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52283.88</v>
      </c>
      <c r="I287" s="18">
        <v>45.9</v>
      </c>
      <c r="J287" s="18">
        <v>1144.8</v>
      </c>
      <c r="K287" s="18"/>
      <c r="L287" s="13">
        <f t="shared" si="12"/>
        <v>53474.58</v>
      </c>
      <c r="M287" s="8"/>
      <c r="N287" s="165"/>
    </row>
    <row r="288" spans="1:14" s="3" customFormat="1" ht="12.2" customHeight="1" x14ac:dyDescent="0.15">
      <c r="A288" s="1" t="s">
        <v>448</v>
      </c>
      <c r="B288" s="2" t="s">
        <v>357</v>
      </c>
      <c r="C288" s="2" t="s">
        <v>300</v>
      </c>
      <c r="D288" s="2" t="s">
        <v>431</v>
      </c>
      <c r="E288" s="6">
        <v>2700</v>
      </c>
      <c r="F288" s="18"/>
      <c r="G288" s="18"/>
      <c r="H288" s="18">
        <v>3480.32</v>
      </c>
      <c r="I288" s="18"/>
      <c r="J288" s="18"/>
      <c r="K288" s="18"/>
      <c r="L288" s="13">
        <f t="shared" si="12"/>
        <v>3480.32</v>
      </c>
      <c r="M288" s="8"/>
      <c r="N288" s="165"/>
    </row>
    <row r="289" spans="1:14" s="3" customFormat="1" ht="12.2" customHeight="1" x14ac:dyDescent="0.15">
      <c r="A289" s="1" t="s">
        <v>449</v>
      </c>
      <c r="B289" s="2" t="s">
        <v>357</v>
      </c>
      <c r="C289" s="2" t="s">
        <v>343</v>
      </c>
      <c r="D289" s="2" t="s">
        <v>431</v>
      </c>
      <c r="E289" s="6">
        <v>2800</v>
      </c>
      <c r="F289" s="18"/>
      <c r="G289" s="18"/>
      <c r="H289" s="18"/>
      <c r="I289" s="18"/>
      <c r="J289" s="18">
        <v>3236.63</v>
      </c>
      <c r="K289" s="18"/>
      <c r="L289" s="13">
        <f>SUM(F289:K289)</f>
        <v>3236.63</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274739.58999999997</v>
      </c>
      <c r="G291" s="39">
        <f t="shared" si="13"/>
        <v>31881.68</v>
      </c>
      <c r="H291" s="39">
        <f t="shared" si="13"/>
        <v>165868.11000000002</v>
      </c>
      <c r="I291" s="39">
        <f t="shared" si="13"/>
        <v>112376.41</v>
      </c>
      <c r="J291" s="39">
        <f t="shared" si="13"/>
        <v>27324.89</v>
      </c>
      <c r="K291" s="39">
        <f t="shared" si="13"/>
        <v>18747.910000000003</v>
      </c>
      <c r="L291" s="38">
        <f t="shared" si="13"/>
        <v>630938.59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9116</v>
      </c>
      <c r="G296" s="18">
        <v>4414.88</v>
      </c>
      <c r="H296" s="18">
        <v>7478.88</v>
      </c>
      <c r="I296" s="18">
        <v>4912.3999999999996</v>
      </c>
      <c r="J296" s="18">
        <v>6625.28</v>
      </c>
      <c r="K296" s="18"/>
      <c r="L296" s="13">
        <f>SUM(F296:K296)</f>
        <v>32547.440000000002</v>
      </c>
      <c r="M296" s="8"/>
      <c r="N296" s="165"/>
    </row>
    <row r="297" spans="1:14" s="3" customFormat="1" ht="12.2" customHeight="1" x14ac:dyDescent="0.15">
      <c r="A297" s="1" t="s">
        <v>439</v>
      </c>
      <c r="B297" s="2" t="s">
        <v>358</v>
      </c>
      <c r="C297" s="2" t="s">
        <v>291</v>
      </c>
      <c r="D297" s="2" t="s">
        <v>431</v>
      </c>
      <c r="E297" s="6">
        <v>1200</v>
      </c>
      <c r="F297" s="18">
        <v>3004.12</v>
      </c>
      <c r="G297" s="18">
        <v>664.77</v>
      </c>
      <c r="H297" s="18">
        <v>3182.26</v>
      </c>
      <c r="I297" s="18"/>
      <c r="J297" s="18"/>
      <c r="K297" s="18"/>
      <c r="L297" s="13">
        <f>SUM(F297:K297)</f>
        <v>6851.15</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5104.1000000000004</v>
      </c>
      <c r="G299" s="18">
        <v>1217.3599999999999</v>
      </c>
      <c r="H299" s="18"/>
      <c r="I299" s="18"/>
      <c r="J299" s="18"/>
      <c r="K299" s="18"/>
      <c r="L299" s="13">
        <f>SUM(F299:K299)</f>
        <v>6321.46</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1249.5999999999999</v>
      </c>
      <c r="G301" s="18">
        <v>133.44</v>
      </c>
      <c r="H301" s="18">
        <v>4480.76</v>
      </c>
      <c r="I301" s="18"/>
      <c r="J301" s="18"/>
      <c r="K301" s="18"/>
      <c r="L301" s="13">
        <f t="shared" ref="L301:L307" si="14">SUM(F301:K301)</f>
        <v>5863.8</v>
      </c>
      <c r="M301" s="8"/>
      <c r="N301" s="165"/>
    </row>
    <row r="302" spans="1:14" s="3" customFormat="1" ht="12.2" customHeight="1" x14ac:dyDescent="0.15">
      <c r="A302" s="1" t="s">
        <v>443</v>
      </c>
      <c r="B302" s="2" t="s">
        <v>358</v>
      </c>
      <c r="C302" s="2" t="s">
        <v>295</v>
      </c>
      <c r="D302" s="2" t="s">
        <v>431</v>
      </c>
      <c r="E302" s="6">
        <v>2200</v>
      </c>
      <c r="F302" s="18" t="s">
        <v>286</v>
      </c>
      <c r="G302" s="18" t="s">
        <v>286</v>
      </c>
      <c r="H302" s="18" t="s">
        <v>286</v>
      </c>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f>228.63+163.21</f>
        <v>391.84000000000003</v>
      </c>
      <c r="L303" s="13">
        <f t="shared" si="14"/>
        <v>391.84000000000003</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15491.52</v>
      </c>
      <c r="I306" s="18">
        <v>13.6</v>
      </c>
      <c r="J306" s="18">
        <v>339.2</v>
      </c>
      <c r="K306" s="18"/>
      <c r="L306" s="13">
        <f t="shared" si="14"/>
        <v>15844.320000000002</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v>959</v>
      </c>
      <c r="K308" s="18"/>
      <c r="L308" s="13">
        <f>SUM(F308:K308)</f>
        <v>959</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18473.82</v>
      </c>
      <c r="G310" s="39">
        <f t="shared" si="15"/>
        <v>6430.4499999999989</v>
      </c>
      <c r="H310" s="39">
        <f t="shared" si="15"/>
        <v>30633.42</v>
      </c>
      <c r="I310" s="39">
        <f t="shared" si="15"/>
        <v>4926</v>
      </c>
      <c r="J310" s="39">
        <f t="shared" si="15"/>
        <v>7923.48</v>
      </c>
      <c r="K310" s="39">
        <f t="shared" si="15"/>
        <v>391.84000000000003</v>
      </c>
      <c r="L310" s="38">
        <f t="shared" si="15"/>
        <v>68779.010000000009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17092.5</v>
      </c>
      <c r="G315" s="18">
        <v>8277.89</v>
      </c>
      <c r="H315" s="18">
        <v>14022.91</v>
      </c>
      <c r="I315" s="18">
        <v>9210.74</v>
      </c>
      <c r="J315" s="18">
        <v>12422.39</v>
      </c>
      <c r="K315" s="18"/>
      <c r="L315" s="13">
        <f>SUM(F315:K315)</f>
        <v>61026.43</v>
      </c>
      <c r="M315" s="8"/>
      <c r="N315" s="165"/>
    </row>
    <row r="316" spans="1:14" s="3" customFormat="1" ht="12.2" customHeight="1" x14ac:dyDescent="0.15">
      <c r="A316" s="1" t="s">
        <v>439</v>
      </c>
      <c r="B316" s="2" t="s">
        <v>359</v>
      </c>
      <c r="C316" s="2" t="s">
        <v>291</v>
      </c>
      <c r="D316" s="2" t="s">
        <v>431</v>
      </c>
      <c r="E316" s="6">
        <v>1200</v>
      </c>
      <c r="F316" s="18">
        <v>5632.73</v>
      </c>
      <c r="G316" s="18">
        <v>1246.45</v>
      </c>
      <c r="H316" s="18">
        <v>5966.73</v>
      </c>
      <c r="I316" s="18"/>
      <c r="J316" s="18"/>
      <c r="K316" s="18"/>
      <c r="L316" s="13">
        <f>SUM(F316:K316)</f>
        <v>12845.91</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9570.18</v>
      </c>
      <c r="G318" s="18">
        <v>2282.5500000000002</v>
      </c>
      <c r="H318" s="18"/>
      <c r="I318" s="18"/>
      <c r="J318" s="18"/>
      <c r="K318" s="18"/>
      <c r="L318" s="13">
        <f>SUM(F318:K318)</f>
        <v>11852.73</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2343</v>
      </c>
      <c r="G320" s="18">
        <v>250.2</v>
      </c>
      <c r="H320" s="18">
        <v>8401.43</v>
      </c>
      <c r="I320" s="18"/>
      <c r="J320" s="18"/>
      <c r="K320" s="18"/>
      <c r="L320" s="13">
        <f t="shared" ref="L320:L326" si="16">SUM(F320:K320)</f>
        <v>10994.630000000001</v>
      </c>
      <c r="M320" s="8"/>
      <c r="N320" s="165"/>
    </row>
    <row r="321" spans="1:14" s="3" customFormat="1" ht="12.2" customHeight="1" x14ac:dyDescent="0.15">
      <c r="A321" s="1" t="s">
        <v>443</v>
      </c>
      <c r="B321" s="2" t="s">
        <v>359</v>
      </c>
      <c r="C321" s="2" t="s">
        <v>295</v>
      </c>
      <c r="D321" s="2" t="s">
        <v>431</v>
      </c>
      <c r="E321" s="6">
        <v>2200</v>
      </c>
      <c r="F321" s="18">
        <v>3125</v>
      </c>
      <c r="G321" s="18">
        <v>872.72</v>
      </c>
      <c r="H321" s="18">
        <v>3216</v>
      </c>
      <c r="I321" s="18"/>
      <c r="J321" s="18"/>
      <c r="K321" s="18"/>
      <c r="L321" s="13">
        <f t="shared" si="16"/>
        <v>7213.72</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v>306.02</v>
      </c>
      <c r="L322" s="13">
        <f t="shared" si="16"/>
        <v>306.02</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29046.6</v>
      </c>
      <c r="I325" s="18">
        <v>25.5</v>
      </c>
      <c r="J325" s="18">
        <v>636</v>
      </c>
      <c r="K325" s="18"/>
      <c r="L325" s="13">
        <f t="shared" si="16"/>
        <v>29708.1</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v>1798.13</v>
      </c>
      <c r="K327" s="18"/>
      <c r="L327" s="13">
        <f>SUM(F327:K327)</f>
        <v>1798.13</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37763.410000000003</v>
      </c>
      <c r="G329" s="39">
        <f t="shared" si="17"/>
        <v>12929.81</v>
      </c>
      <c r="H329" s="39">
        <f t="shared" si="17"/>
        <v>60653.67</v>
      </c>
      <c r="I329" s="39">
        <f t="shared" si="17"/>
        <v>9236.24</v>
      </c>
      <c r="J329" s="39">
        <f t="shared" si="17"/>
        <v>14856.52</v>
      </c>
      <c r="K329" s="39">
        <f t="shared" si="17"/>
        <v>306.02</v>
      </c>
      <c r="L329" s="38">
        <f t="shared" si="17"/>
        <v>135745.67000000001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330976.81999999995</v>
      </c>
      <c r="G339" s="38">
        <f t="shared" si="20"/>
        <v>51241.939999999995</v>
      </c>
      <c r="H339" s="38">
        <f t="shared" si="20"/>
        <v>257155.20000000001</v>
      </c>
      <c r="I339" s="38">
        <f t="shared" si="20"/>
        <v>126538.65000000001</v>
      </c>
      <c r="J339" s="38">
        <f t="shared" si="20"/>
        <v>50104.89</v>
      </c>
      <c r="K339" s="38">
        <f t="shared" si="20"/>
        <v>19445.770000000004</v>
      </c>
      <c r="L339" s="38">
        <f t="shared" si="20"/>
        <v>835463.27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330976.81999999995</v>
      </c>
      <c r="G353" s="38">
        <f>G339</f>
        <v>51241.939999999995</v>
      </c>
      <c r="H353" s="38">
        <f>H339</f>
        <v>257155.20000000001</v>
      </c>
      <c r="I353" s="38">
        <f>I339</f>
        <v>126538.65000000001</v>
      </c>
      <c r="J353" s="38">
        <f>J339</f>
        <v>50104.89</v>
      </c>
      <c r="K353" s="38">
        <f>K339+K352</f>
        <v>19445.770000000004</v>
      </c>
      <c r="L353" s="38">
        <f>L339+L352</f>
        <v>835463.27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38445.85</v>
      </c>
      <c r="I359" s="18">
        <f>23043.66+665.73</f>
        <v>23709.39</v>
      </c>
      <c r="J359" s="18">
        <v>1672.7</v>
      </c>
      <c r="K359" s="18"/>
      <c r="L359" s="13">
        <f>SUM(F359:K359)</f>
        <v>63827.939999999995</v>
      </c>
      <c r="M359" s="8"/>
      <c r="N359" s="165"/>
    </row>
    <row r="360" spans="1:22" s="3" customFormat="1" ht="12.2" customHeight="1" x14ac:dyDescent="0.15">
      <c r="A360" s="1" t="s">
        <v>542</v>
      </c>
      <c r="B360" s="2" t="s">
        <v>366</v>
      </c>
      <c r="C360" s="6">
        <v>2</v>
      </c>
      <c r="D360" s="2" t="s">
        <v>431</v>
      </c>
      <c r="E360" s="6"/>
      <c r="F360" s="18"/>
      <c r="G360" s="18"/>
      <c r="H360" s="18">
        <v>11384.48</v>
      </c>
      <c r="I360" s="18">
        <f>6827.75+197.25</f>
        <v>7025</v>
      </c>
      <c r="J360" s="18">
        <v>495.61</v>
      </c>
      <c r="K360" s="18"/>
      <c r="L360" s="13">
        <f>SUM(F360:K360)</f>
        <v>18905.09</v>
      </c>
      <c r="M360" s="8"/>
      <c r="N360" s="165"/>
    </row>
    <row r="361" spans="1:22" s="3" customFormat="1" ht="12.2" customHeight="1" x14ac:dyDescent="0.15">
      <c r="A361" s="3" t="s">
        <v>543</v>
      </c>
      <c r="B361" s="2" t="s">
        <v>366</v>
      </c>
      <c r="C361" s="6">
        <v>3</v>
      </c>
      <c r="D361" s="2" t="s">
        <v>431</v>
      </c>
      <c r="E361" s="6"/>
      <c r="F361" s="18"/>
      <c r="G361" s="18"/>
      <c r="H361" s="18">
        <v>21345.89</v>
      </c>
      <c r="I361" s="18">
        <f>12802.04+369.85</f>
        <v>13171.890000000001</v>
      </c>
      <c r="J361" s="18">
        <v>929.28</v>
      </c>
      <c r="K361" s="18"/>
      <c r="L361" s="13">
        <f>SUM(F361:K361)</f>
        <v>35447.06</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71176.22</v>
      </c>
      <c r="I363" s="38">
        <f t="shared" si="22"/>
        <v>43906.28</v>
      </c>
      <c r="J363" s="38">
        <f t="shared" si="22"/>
        <v>3097.59</v>
      </c>
      <c r="K363" s="38">
        <f t="shared" si="22"/>
        <v>0</v>
      </c>
      <c r="L363" s="38">
        <f t="shared" si="22"/>
        <v>118180.09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22284.06</v>
      </c>
      <c r="G368" s="18">
        <v>6602.69</v>
      </c>
      <c r="H368" s="18">
        <v>12380.04</v>
      </c>
      <c r="I368" s="13">
        <f>SUM(F368:H368)</f>
        <v>41266.79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759.6+665.73</f>
        <v>1425.33</v>
      </c>
      <c r="G369" s="53">
        <f>225.06+197.25</f>
        <v>422.31</v>
      </c>
      <c r="H369" s="53">
        <f>422+369.85</f>
        <v>791.85</v>
      </c>
      <c r="I369" s="13">
        <f>SUM(F369:H369)</f>
        <v>2639.49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23709.39</v>
      </c>
      <c r="G370" s="38">
        <f>SUM(G368:G369)</f>
        <v>7025</v>
      </c>
      <c r="H370" s="38">
        <f>SUM(H368:H369)</f>
        <v>13171.890000000001</v>
      </c>
      <c r="I370" s="38">
        <f>SUM(I368:I369)</f>
        <v>43906.28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478.35</v>
      </c>
      <c r="I397" s="18"/>
      <c r="J397" s="23" t="s">
        <v>288</v>
      </c>
      <c r="K397" s="23" t="s">
        <v>288</v>
      </c>
      <c r="L397" s="13">
        <f t="shared" si="26"/>
        <v>478.35</v>
      </c>
      <c r="M397" s="8"/>
      <c r="N397" s="165"/>
    </row>
    <row r="398" spans="1:14" s="3" customFormat="1" ht="12.2" customHeight="1" x14ac:dyDescent="0.15">
      <c r="A398" s="62" t="s">
        <v>515</v>
      </c>
      <c r="B398" s="2" t="s">
        <v>381</v>
      </c>
      <c r="C398" s="6">
        <v>10</v>
      </c>
      <c r="D398" s="2" t="s">
        <v>432</v>
      </c>
      <c r="E398" s="6"/>
      <c r="F398" s="18"/>
      <c r="G398" s="18"/>
      <c r="H398" s="18">
        <v>31.41</v>
      </c>
      <c r="I398" s="18"/>
      <c r="J398" s="23" t="s">
        <v>288</v>
      </c>
      <c r="K398" s="23" t="s">
        <v>288</v>
      </c>
      <c r="L398" s="13">
        <f t="shared" si="26"/>
        <v>31.41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509.76000000000005</v>
      </c>
      <c r="I402" s="38">
        <f>SUM(I396:I401)</f>
        <v>0</v>
      </c>
      <c r="J402" s="42" t="s">
        <v>288</v>
      </c>
      <c r="K402" s="42" t="s">
        <v>288</v>
      </c>
      <c r="L402" s="38">
        <f>SUM(L396:L401)</f>
        <v>509.76000000000005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509.76000000000005</v>
      </c>
      <c r="I409" s="38">
        <f>I394+I402+I408</f>
        <v>0</v>
      </c>
      <c r="J409" s="23" t="s">
        <v>288</v>
      </c>
      <c r="K409" s="23" t="s">
        <v>288</v>
      </c>
      <c r="L409" s="38">
        <f>L394+L402+L408</f>
        <v>509.76000000000005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v>104600</v>
      </c>
      <c r="K423" s="18"/>
      <c r="L423" s="13">
        <f t="shared" si="29"/>
        <v>104600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104600</v>
      </c>
      <c r="K428" s="38">
        <f t="shared" si="30"/>
        <v>0</v>
      </c>
      <c r="L428" s="38">
        <f t="shared" si="30"/>
        <v>104600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104600</v>
      </c>
      <c r="K435" s="38">
        <f t="shared" si="32"/>
        <v>0</v>
      </c>
      <c r="L435" s="38">
        <f t="shared" si="32"/>
        <v>104600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t="s">
        <v>286</v>
      </c>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407275.13</v>
      </c>
      <c r="H443" s="18"/>
      <c r="I443" s="13">
        <f t="shared" si="33"/>
        <v>407275.13</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407275.13</v>
      </c>
      <c r="H447" s="13">
        <f>SUM(H440:H446)</f>
        <v>0</v>
      </c>
      <c r="I447" s="13">
        <f>SUM(I440:I446)</f>
        <v>407275.13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407275.13</v>
      </c>
      <c r="H457" s="18"/>
      <c r="I457" s="13">
        <f t="shared" si="34"/>
        <v>407275.13</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407275.13</v>
      </c>
      <c r="H461" s="65">
        <f>SUM(H455:H460)</f>
        <v>0</v>
      </c>
      <c r="I461" s="65">
        <f>SUM(I455:I460)</f>
        <v>407275.13</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407275.13</v>
      </c>
      <c r="H462" s="39">
        <f>H453+H461</f>
        <v>0</v>
      </c>
      <c r="I462" s="39">
        <f>I453+I461</f>
        <v>407275.13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620997.61-241964.73</f>
        <v>379032.88</v>
      </c>
      <c r="G466" s="18">
        <v>60623.09</v>
      </c>
      <c r="H466" s="18"/>
      <c r="I466" s="18"/>
      <c r="J466" s="18">
        <v>511365.37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6302295.6799999997</v>
      </c>
      <c r="G469" s="18">
        <v>140964.43</v>
      </c>
      <c r="H469" s="18">
        <v>850033.28</v>
      </c>
      <c r="I469" s="18"/>
      <c r="J469" s="18">
        <v>509.76</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6302295.6799999997</v>
      </c>
      <c r="G471" s="19">
        <f>SUM(G469:G470)</f>
        <v>140964.43</v>
      </c>
      <c r="H471" s="19">
        <f>SUM(H469:H470)</f>
        <v>850033.28</v>
      </c>
      <c r="I471" s="19">
        <f>SUM(I469:I470)</f>
        <v>0</v>
      </c>
      <c r="J471" s="19">
        <f>SUM(J469:J470)</f>
        <v>509.76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6269932.8899999997</v>
      </c>
      <c r="G473" s="18">
        <v>118180.09</v>
      </c>
      <c r="H473" s="18">
        <v>835463.27</v>
      </c>
      <c r="I473" s="18"/>
      <c r="J473" s="18">
        <v>104600</v>
      </c>
      <c r="K473" s="23" t="s">
        <v>288</v>
      </c>
      <c r="L473" s="23" t="s">
        <v>288</v>
      </c>
      <c r="N473" s="131"/>
    </row>
    <row r="474" spans="1:14" ht="12.2" customHeight="1" x14ac:dyDescent="0.2">
      <c r="A474" s="71" t="s">
        <v>613</v>
      </c>
      <c r="B474" s="22">
        <v>19</v>
      </c>
      <c r="C474" s="31">
        <v>6</v>
      </c>
      <c r="D474" s="2" t="s">
        <v>432</v>
      </c>
      <c r="E474" s="31"/>
      <c r="F474" s="18" t="s">
        <v>286</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6269932.8899999997</v>
      </c>
      <c r="G475" s="19">
        <f>SUM(G473:G474)</f>
        <v>118180.09</v>
      </c>
      <c r="H475" s="19">
        <f>SUM(H473:H474)</f>
        <v>835463.27</v>
      </c>
      <c r="I475" s="19">
        <f>SUM(I473:I474)</f>
        <v>0</v>
      </c>
      <c r="J475" s="19">
        <f>SUM(J473:J474)</f>
        <v>104600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411395.66999999993</v>
      </c>
      <c r="G477" s="19">
        <f>(G466+G471)- G475</f>
        <v>83407.429999999993</v>
      </c>
      <c r="H477" s="19">
        <f>(H466+H471)- H475</f>
        <v>14570.010000000009</v>
      </c>
      <c r="I477" s="19">
        <f>(I466+I471)- I475</f>
        <v>0</v>
      </c>
      <c r="J477" s="19">
        <f>(J466+J471)- J475</f>
        <v>407275.13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1816</v>
      </c>
      <c r="B484" s="73"/>
      <c r="C484" s="73"/>
      <c r="D484" s="73"/>
      <c r="E484" s="73"/>
      <c r="F484" s="73"/>
      <c r="G484" s="73"/>
      <c r="H484" s="73"/>
      <c r="I484" s="73" t="s">
        <v>18</v>
      </c>
      <c r="J484" s="73"/>
      <c r="K484" s="73"/>
      <c r="L484" s="73"/>
      <c r="N484" s="131"/>
    </row>
    <row r="485" spans="1:14" ht="12.2" customHeight="1" x14ac:dyDescent="0.2">
      <c r="A485" s="55" t="s">
        <v>1817</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v>12</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1815</v>
      </c>
      <c r="H493" s="111"/>
      <c r="I493" s="111"/>
      <c r="J493" s="111"/>
      <c r="K493" s="23" t="s">
        <v>288</v>
      </c>
      <c r="L493" s="23" t="s">
        <v>288</v>
      </c>
      <c r="N493" s="131"/>
    </row>
    <row r="494" spans="1:14" ht="12.2" customHeight="1" x14ac:dyDescent="0.2">
      <c r="A494" s="21" t="s">
        <v>617</v>
      </c>
      <c r="B494" s="22">
        <v>20</v>
      </c>
      <c r="C494" s="22">
        <v>4</v>
      </c>
      <c r="D494" s="2" t="s">
        <v>432</v>
      </c>
      <c r="E494" s="22"/>
      <c r="F494" s="18">
        <v>393150</v>
      </c>
      <c r="G494" s="18">
        <v>263640</v>
      </c>
      <c r="H494" s="18"/>
      <c r="I494" s="18"/>
      <c r="J494" s="18"/>
      <c r="K494" s="23" t="s">
        <v>288</v>
      </c>
      <c r="L494" s="23" t="s">
        <v>288</v>
      </c>
      <c r="N494" s="131"/>
    </row>
    <row r="495" spans="1:14" ht="12.2" customHeight="1" x14ac:dyDescent="0.2">
      <c r="A495" s="21" t="s">
        <v>618</v>
      </c>
      <c r="B495" s="22">
        <v>20</v>
      </c>
      <c r="C495" s="22">
        <v>5</v>
      </c>
      <c r="D495" s="2" t="s">
        <v>432</v>
      </c>
      <c r="E495" s="22"/>
      <c r="F495" s="18">
        <v>3</v>
      </c>
      <c r="G495" s="18">
        <v>2.65</v>
      </c>
      <c r="H495" s="18"/>
      <c r="I495" s="18"/>
      <c r="J495" s="18"/>
      <c r="K495" s="23" t="s">
        <v>288</v>
      </c>
      <c r="L495" s="23" t="s">
        <v>288</v>
      </c>
      <c r="N495" s="131"/>
    </row>
    <row r="496" spans="1:14" ht="12.2" customHeight="1" x14ac:dyDescent="0.2">
      <c r="A496" s="21" t="s">
        <v>619</v>
      </c>
      <c r="B496" s="22">
        <v>20</v>
      </c>
      <c r="C496" s="22">
        <v>6</v>
      </c>
      <c r="D496" s="2" t="s">
        <v>432</v>
      </c>
      <c r="E496" s="22"/>
      <c r="F496" s="18">
        <v>264967</v>
      </c>
      <c r="G496" s="18">
        <v>184548</v>
      </c>
      <c r="H496" s="18"/>
      <c r="I496" s="18"/>
      <c r="J496" s="18"/>
      <c r="K496" s="19">
        <f>SUM(F496:J496)</f>
        <v>449515</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31356</v>
      </c>
      <c r="G498" s="18">
        <v>26364</v>
      </c>
      <c r="H498" s="18"/>
      <c r="I498" s="18"/>
      <c r="J498" s="18"/>
      <c r="K498" s="19">
        <f t="shared" si="35"/>
        <v>57720</v>
      </c>
      <c r="L498" s="23" t="s">
        <v>288</v>
      </c>
      <c r="N498" s="131"/>
    </row>
    <row r="499" spans="1:14" ht="12.2" customHeight="1" x14ac:dyDescent="0.2">
      <c r="A499" s="144" t="s">
        <v>622</v>
      </c>
      <c r="B499" s="145">
        <v>20</v>
      </c>
      <c r="C499" s="145">
        <v>9</v>
      </c>
      <c r="D499" s="146" t="s">
        <v>432</v>
      </c>
      <c r="E499" s="145"/>
      <c r="F499" s="147">
        <v>264967</v>
      </c>
      <c r="G499" s="147">
        <v>158184</v>
      </c>
      <c r="H499" s="147"/>
      <c r="I499" s="147"/>
      <c r="J499" s="147"/>
      <c r="K499" s="148">
        <f t="shared" si="35"/>
        <v>423151</v>
      </c>
      <c r="L499" s="149" t="s">
        <v>288</v>
      </c>
      <c r="N499" s="131"/>
    </row>
    <row r="500" spans="1:14" ht="12.2" customHeight="1" thickBot="1" x14ac:dyDescent="0.25">
      <c r="A500" s="21" t="s">
        <v>623</v>
      </c>
      <c r="B500" s="22">
        <v>20</v>
      </c>
      <c r="C500" s="22">
        <v>10</v>
      </c>
      <c r="D500" s="2" t="s">
        <v>432</v>
      </c>
      <c r="E500" s="22"/>
      <c r="F500" s="18">
        <v>25635</v>
      </c>
      <c r="G500" s="18">
        <v>15724</v>
      </c>
      <c r="H500" s="18"/>
      <c r="I500" s="18"/>
      <c r="J500" s="18"/>
      <c r="K500" s="19">
        <f t="shared" si="35"/>
        <v>41359</v>
      </c>
      <c r="L500" s="23" t="s">
        <v>288</v>
      </c>
      <c r="N500" s="131"/>
    </row>
    <row r="501" spans="1:14" ht="12.2" customHeight="1" thickTop="1" x14ac:dyDescent="0.2">
      <c r="A501" s="97" t="s">
        <v>624</v>
      </c>
      <c r="B501" s="41">
        <v>20</v>
      </c>
      <c r="C501" s="41">
        <v>11</v>
      </c>
      <c r="D501" s="36" t="s">
        <v>432</v>
      </c>
      <c r="E501" s="41"/>
      <c r="F501" s="39">
        <f>SUM(F499:F500)</f>
        <v>290602</v>
      </c>
      <c r="G501" s="39">
        <f>SUM(G499:G500)</f>
        <v>173908</v>
      </c>
      <c r="H501" s="39">
        <f>SUM(H499:H500)</f>
        <v>0</v>
      </c>
      <c r="I501" s="39">
        <f>SUM(I499:I500)</f>
        <v>0</v>
      </c>
      <c r="J501" s="39">
        <f>SUM(J499:J500)</f>
        <v>0</v>
      </c>
      <c r="K501" s="39">
        <f t="shared" si="35"/>
        <v>464510</v>
      </c>
      <c r="L501" s="42" t="s">
        <v>288</v>
      </c>
      <c r="N501" s="131"/>
    </row>
    <row r="502" spans="1:14" ht="12.2" customHeight="1" x14ac:dyDescent="0.2">
      <c r="A502" s="144" t="s">
        <v>651</v>
      </c>
      <c r="B502" s="145">
        <v>20</v>
      </c>
      <c r="C502" s="145">
        <v>12</v>
      </c>
      <c r="D502" s="146" t="s">
        <v>432</v>
      </c>
      <c r="E502" s="145"/>
      <c r="F502" s="147">
        <v>33476</v>
      </c>
      <c r="G502" s="147">
        <v>26364</v>
      </c>
      <c r="H502" s="147"/>
      <c r="I502" s="147"/>
      <c r="J502" s="147"/>
      <c r="K502" s="148">
        <f t="shared" si="35"/>
        <v>59840</v>
      </c>
      <c r="L502" s="149" t="s">
        <v>288</v>
      </c>
      <c r="N502" s="131"/>
    </row>
    <row r="503" spans="1:14" ht="12.2" customHeight="1" thickBot="1" x14ac:dyDescent="0.25">
      <c r="A503" s="21" t="s">
        <v>625</v>
      </c>
      <c r="B503" s="22">
        <v>20</v>
      </c>
      <c r="C503" s="22">
        <v>13</v>
      </c>
      <c r="D503" s="2" t="s">
        <v>432</v>
      </c>
      <c r="E503" s="22"/>
      <c r="F503" s="18">
        <v>7008</v>
      </c>
      <c r="G503" s="18">
        <v>4365</v>
      </c>
      <c r="H503" s="18"/>
      <c r="I503" s="18"/>
      <c r="J503" s="18"/>
      <c r="K503" s="19">
        <f t="shared" si="35"/>
        <v>11373</v>
      </c>
      <c r="L503" s="23" t="s">
        <v>288</v>
      </c>
      <c r="N503" s="131"/>
    </row>
    <row r="504" spans="1:14" ht="12.2" customHeight="1" thickTop="1" x14ac:dyDescent="0.2">
      <c r="A504" s="97" t="s">
        <v>626</v>
      </c>
      <c r="B504" s="41">
        <v>20</v>
      </c>
      <c r="C504" s="41">
        <v>14</v>
      </c>
      <c r="D504" s="36" t="s">
        <v>432</v>
      </c>
      <c r="E504" s="41"/>
      <c r="F504" s="39">
        <f>SUM(F502:F503)</f>
        <v>40484</v>
      </c>
      <c r="G504" s="39">
        <f>SUM(G502:G503)</f>
        <v>30729</v>
      </c>
      <c r="H504" s="39">
        <f>SUM(H502:H503)</f>
        <v>0</v>
      </c>
      <c r="I504" s="39">
        <f>SUM(I502:I503)</f>
        <v>0</v>
      </c>
      <c r="J504" s="39">
        <f>SUM(J502:J503)</f>
        <v>0</v>
      </c>
      <c r="K504" s="39">
        <f t="shared" si="35"/>
        <v>71213</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305580.74+10138.91</f>
        <v>315719.64999999997</v>
      </c>
      <c r="G522" s="18">
        <f>164219.42+2243.6</f>
        <v>166463.02000000002</v>
      </c>
      <c r="H522" s="18">
        <f>71551.5+10740.11</f>
        <v>82291.61</v>
      </c>
      <c r="I522" s="18">
        <v>1755.92</v>
      </c>
      <c r="J522" s="18">
        <v>363.84</v>
      </c>
      <c r="K522" s="18"/>
      <c r="L522" s="69">
        <f>SUM(F522:K522)</f>
        <v>566594.04</v>
      </c>
      <c r="N522" s="131"/>
    </row>
    <row r="523" spans="1:14" ht="12.2" customHeight="1" x14ac:dyDescent="0.2">
      <c r="A523" s="21" t="s">
        <v>634</v>
      </c>
      <c r="B523" s="22">
        <v>21</v>
      </c>
      <c r="C523" s="22">
        <v>2</v>
      </c>
      <c r="D523" s="2" t="s">
        <v>432</v>
      </c>
      <c r="E523" s="22"/>
      <c r="F523" s="18">
        <f>3004.12+146165.96</f>
        <v>149170.07999999999</v>
      </c>
      <c r="G523" s="18">
        <f>664.77+74502.59</f>
        <v>75167.360000000001</v>
      </c>
      <c r="H523" s="18">
        <f>3182.26+120+48424.33</f>
        <v>51726.590000000004</v>
      </c>
      <c r="I523" s="18"/>
      <c r="J523" s="18"/>
      <c r="K523" s="18"/>
      <c r="L523" s="69">
        <f>SUM(F523:K523)</f>
        <v>276064.03000000003</v>
      </c>
      <c r="N523" s="131"/>
    </row>
    <row r="524" spans="1:14" ht="12.2" customHeight="1" thickBot="1" x14ac:dyDescent="0.25">
      <c r="A524" s="21" t="s">
        <v>635</v>
      </c>
      <c r="B524" s="22">
        <v>21</v>
      </c>
      <c r="C524" s="22">
        <v>3</v>
      </c>
      <c r="D524" s="2" t="s">
        <v>432</v>
      </c>
      <c r="E524" s="22"/>
      <c r="F524" s="18">
        <f>5632.73+113498.72</f>
        <v>119131.45</v>
      </c>
      <c r="G524" s="18">
        <f>1246.45+61367.02</f>
        <v>62613.469999999994</v>
      </c>
      <c r="H524" s="18">
        <f>5966.73+113498.72+452830.18</f>
        <v>572295.63</v>
      </c>
      <c r="I524" s="18"/>
      <c r="J524" s="18"/>
      <c r="K524" s="18"/>
      <c r="L524" s="69">
        <f>SUM(F524:K524)</f>
        <v>754040.55</v>
      </c>
      <c r="N524" s="131"/>
    </row>
    <row r="525" spans="1:14" ht="12.2" customHeight="1" thickTop="1" x14ac:dyDescent="0.2">
      <c r="A525" s="97" t="s">
        <v>63</v>
      </c>
      <c r="B525" s="41">
        <v>21</v>
      </c>
      <c r="C525" s="41">
        <v>4</v>
      </c>
      <c r="D525" s="115" t="s">
        <v>432</v>
      </c>
      <c r="E525" s="41"/>
      <c r="F525" s="81">
        <f>SUM(F522:F524)</f>
        <v>584021.17999999993</v>
      </c>
      <c r="G525" s="81">
        <f t="shared" ref="G525:L525" si="36">SUM(G522:G524)</f>
        <v>304243.84999999998</v>
      </c>
      <c r="H525" s="81">
        <f t="shared" si="36"/>
        <v>706313.83000000007</v>
      </c>
      <c r="I525" s="81">
        <f t="shared" si="36"/>
        <v>1755.92</v>
      </c>
      <c r="J525" s="81">
        <f t="shared" si="36"/>
        <v>363.84</v>
      </c>
      <c r="K525" s="81">
        <f t="shared" si="36"/>
        <v>0</v>
      </c>
      <c r="L525" s="70">
        <f t="shared" si="36"/>
        <v>1596698.62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92134.25</v>
      </c>
      <c r="G527" s="18">
        <v>58704.54</v>
      </c>
      <c r="H527" s="18">
        <v>84684.6</v>
      </c>
      <c r="I527" s="18">
        <v>1994.61</v>
      </c>
      <c r="J527" s="18">
        <v>282.35000000000002</v>
      </c>
      <c r="K527" s="18"/>
      <c r="L527" s="69">
        <f>SUM(F527:K527)</f>
        <v>237800.35</v>
      </c>
      <c r="M527" s="8"/>
      <c r="N527" s="165"/>
    </row>
    <row r="528" spans="1:14" s="3" customFormat="1" ht="12.2" customHeight="1" x14ac:dyDescent="0.15">
      <c r="A528" s="21" t="s">
        <v>634</v>
      </c>
      <c r="B528" s="22">
        <v>21</v>
      </c>
      <c r="C528" s="22">
        <v>6</v>
      </c>
      <c r="D528" s="2" t="s">
        <v>432</v>
      </c>
      <c r="E528" s="22"/>
      <c r="F528" s="18">
        <v>25326.04</v>
      </c>
      <c r="G528" s="18">
        <v>15694054</v>
      </c>
      <c r="H528" s="18">
        <v>28283.82</v>
      </c>
      <c r="I528" s="18">
        <v>589.25</v>
      </c>
      <c r="J528" s="18">
        <v>83.66</v>
      </c>
      <c r="K528" s="18"/>
      <c r="L528" s="69">
        <f>SUM(F528:K528)</f>
        <v>15748336.77</v>
      </c>
      <c r="M528" s="8"/>
      <c r="N528" s="165"/>
    </row>
    <row r="529" spans="1:14" s="3" customFormat="1" ht="12.2" customHeight="1" thickBot="1" x14ac:dyDescent="0.2">
      <c r="A529" s="21" t="s">
        <v>635</v>
      </c>
      <c r="B529" s="22">
        <v>21</v>
      </c>
      <c r="C529" s="22">
        <v>7</v>
      </c>
      <c r="D529" s="2" t="s">
        <v>432</v>
      </c>
      <c r="E529" s="22"/>
      <c r="F529" s="18">
        <v>34480.730000000003</v>
      </c>
      <c r="G529" s="18">
        <v>11083.41</v>
      </c>
      <c r="H529" s="18">
        <v>55903.82</v>
      </c>
      <c r="I529" s="18">
        <v>1104.8499999999999</v>
      </c>
      <c r="J529" s="18">
        <v>156.86000000000001</v>
      </c>
      <c r="K529" s="18"/>
      <c r="L529" s="69">
        <f>SUM(F529:K529)</f>
        <v>102729.67</v>
      </c>
      <c r="M529" s="8"/>
      <c r="N529" s="165"/>
    </row>
    <row r="530" spans="1:14" s="3" customFormat="1" ht="12.2" customHeight="1" thickTop="1" x14ac:dyDescent="0.15">
      <c r="A530" s="97" t="s">
        <v>65</v>
      </c>
      <c r="B530" s="41">
        <v>21</v>
      </c>
      <c r="C530" s="41">
        <v>8</v>
      </c>
      <c r="D530" s="115" t="s">
        <v>432</v>
      </c>
      <c r="E530" s="41"/>
      <c r="F530" s="70">
        <f>SUM(F527:F529)</f>
        <v>151941.02000000002</v>
      </c>
      <c r="G530" s="70">
        <f t="shared" ref="G530:L530" si="37">SUM(G527:G529)</f>
        <v>15763841.949999999</v>
      </c>
      <c r="H530" s="70">
        <f t="shared" si="37"/>
        <v>168872.24000000002</v>
      </c>
      <c r="I530" s="70">
        <f t="shared" si="37"/>
        <v>3688.7099999999996</v>
      </c>
      <c r="J530" s="70">
        <f t="shared" si="37"/>
        <v>522.87</v>
      </c>
      <c r="K530" s="70">
        <f t="shared" si="37"/>
        <v>0</v>
      </c>
      <c r="L530" s="70">
        <f t="shared" si="37"/>
        <v>16088866.789999999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t="s">
        <v>286</v>
      </c>
      <c r="I537" s="18" t="s">
        <v>286</v>
      </c>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t="s">
        <v>286</v>
      </c>
      <c r="I538" s="18" t="s">
        <v>286</v>
      </c>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t="s">
        <v>286</v>
      </c>
      <c r="I539" s="18" t="s">
        <v>286</v>
      </c>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268.14</v>
      </c>
      <c r="G542" s="18">
        <v>425.58</v>
      </c>
      <c r="H542" s="18">
        <f>825.42+3332.02</f>
        <v>4157.4399999999996</v>
      </c>
      <c r="I542" s="18">
        <v>979.34</v>
      </c>
      <c r="J542" s="18"/>
      <c r="K542" s="18"/>
      <c r="L542" s="69">
        <f>SUM(F542:K542)</f>
        <v>5830.5</v>
      </c>
      <c r="M542" s="8"/>
      <c r="N542" s="165"/>
    </row>
    <row r="543" spans="1:14" s="3" customFormat="1" ht="12.2" customHeight="1" x14ac:dyDescent="0.15">
      <c r="A543" s="21" t="s">
        <v>634</v>
      </c>
      <c r="B543" s="22">
        <v>21</v>
      </c>
      <c r="C543" s="22">
        <v>18</v>
      </c>
      <c r="D543" s="2" t="s">
        <v>432</v>
      </c>
      <c r="E543" s="22"/>
      <c r="F543" s="18">
        <v>79.45</v>
      </c>
      <c r="G543" s="18">
        <v>126.1</v>
      </c>
      <c r="H543" s="18">
        <f>244.57+987.26</f>
        <v>1231.83</v>
      </c>
      <c r="I543" s="18">
        <v>290.18</v>
      </c>
      <c r="J543" s="18"/>
      <c r="K543" s="18"/>
      <c r="L543" s="69">
        <f>SUM(F543:K543)</f>
        <v>1727.56</v>
      </c>
      <c r="M543" s="8"/>
      <c r="N543" s="165"/>
    </row>
    <row r="544" spans="1:14" s="3" customFormat="1" ht="12.2" customHeight="1" thickBot="1" x14ac:dyDescent="0.2">
      <c r="A544" s="21" t="s">
        <v>635</v>
      </c>
      <c r="B544" s="22">
        <v>21</v>
      </c>
      <c r="C544" s="22">
        <v>19</v>
      </c>
      <c r="D544" s="2" t="s">
        <v>432</v>
      </c>
      <c r="E544" s="22"/>
      <c r="F544" s="18">
        <v>148.97</v>
      </c>
      <c r="G544" s="18">
        <v>236.43</v>
      </c>
      <c r="H544" s="18">
        <f>458.57+1851.12</f>
        <v>2309.69</v>
      </c>
      <c r="I544" s="18">
        <v>544.09</v>
      </c>
      <c r="J544" s="18"/>
      <c r="K544" s="18"/>
      <c r="L544" s="69">
        <f>SUM(F544:K544)</f>
        <v>3239.1800000000003</v>
      </c>
      <c r="M544" s="8"/>
      <c r="N544" s="165"/>
    </row>
    <row r="545" spans="1:14" s="3" customFormat="1" ht="12.2" customHeight="1" thickTop="1" thickBot="1" x14ac:dyDescent="0.2">
      <c r="A545" s="93" t="s">
        <v>71</v>
      </c>
      <c r="B545" s="63">
        <v>21</v>
      </c>
      <c r="C545" s="63">
        <v>20</v>
      </c>
      <c r="D545" s="140" t="s">
        <v>432</v>
      </c>
      <c r="E545" s="63"/>
      <c r="F545" s="141">
        <f>SUM(F542:F544)</f>
        <v>496.55999999999995</v>
      </c>
      <c r="G545" s="141">
        <f t="shared" ref="G545:L545" si="40">SUM(G542:G544)</f>
        <v>788.1099999999999</v>
      </c>
      <c r="H545" s="141">
        <f t="shared" si="40"/>
        <v>7698.9599999999991</v>
      </c>
      <c r="I545" s="141">
        <f t="shared" si="40"/>
        <v>1813.6100000000001</v>
      </c>
      <c r="J545" s="141">
        <f t="shared" si="40"/>
        <v>0</v>
      </c>
      <c r="K545" s="141">
        <f t="shared" si="40"/>
        <v>0</v>
      </c>
      <c r="L545" s="141">
        <f t="shared" si="40"/>
        <v>10797.24</v>
      </c>
      <c r="M545" s="8"/>
      <c r="N545" s="165"/>
    </row>
    <row r="546" spans="1:14" s="3" customFormat="1" ht="12.2" customHeight="1" thickTop="1" x14ac:dyDescent="0.15">
      <c r="A546" s="75" t="s">
        <v>72</v>
      </c>
      <c r="B546" s="41">
        <v>21</v>
      </c>
      <c r="C546" s="41">
        <v>21</v>
      </c>
      <c r="D546" s="115" t="s">
        <v>432</v>
      </c>
      <c r="E546" s="41"/>
      <c r="F546" s="70">
        <f>F525+F530+F535+F540+F545</f>
        <v>736458.76</v>
      </c>
      <c r="G546" s="70">
        <f t="shared" ref="G546:L546" si="41">G525+G530+G535+G540+G545</f>
        <v>16068873.909999998</v>
      </c>
      <c r="H546" s="70">
        <f t="shared" si="41"/>
        <v>882885.03</v>
      </c>
      <c r="I546" s="70">
        <f t="shared" si="41"/>
        <v>7258.24</v>
      </c>
      <c r="J546" s="70">
        <f t="shared" si="41"/>
        <v>886.71</v>
      </c>
      <c r="K546" s="70">
        <f t="shared" si="41"/>
        <v>0</v>
      </c>
      <c r="L546" s="70">
        <f t="shared" si="41"/>
        <v>17696362.649999999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566594.04</v>
      </c>
      <c r="G550" s="69">
        <f>L527</f>
        <v>237800.35</v>
      </c>
      <c r="H550" s="69">
        <f>L532</f>
        <v>0</v>
      </c>
      <c r="I550" s="69">
        <f>L537</f>
        <v>0</v>
      </c>
      <c r="J550" s="69">
        <f>L542</f>
        <v>5830.5</v>
      </c>
      <c r="K550" s="69">
        <f>SUM(F550:J550)</f>
        <v>810224.89</v>
      </c>
      <c r="L550" s="23" t="s">
        <v>288</v>
      </c>
      <c r="M550" s="8"/>
      <c r="N550" s="165"/>
    </row>
    <row r="551" spans="1:14" s="3" customFormat="1" ht="12.2" customHeight="1" x14ac:dyDescent="0.15">
      <c r="A551" s="21" t="s">
        <v>634</v>
      </c>
      <c r="B551" s="22">
        <v>21</v>
      </c>
      <c r="C551" s="22">
        <v>23</v>
      </c>
      <c r="D551" s="2" t="s">
        <v>432</v>
      </c>
      <c r="E551" s="22"/>
      <c r="F551" s="69">
        <f>L523</f>
        <v>276064.03000000003</v>
      </c>
      <c r="G551" s="69">
        <f>L528</f>
        <v>15748336.77</v>
      </c>
      <c r="H551" s="69">
        <f>L533</f>
        <v>0</v>
      </c>
      <c r="I551" s="69">
        <f>L538</f>
        <v>0</v>
      </c>
      <c r="J551" s="69">
        <f>L543</f>
        <v>1727.56</v>
      </c>
      <c r="K551" s="69">
        <f>SUM(F551:J551)</f>
        <v>16026128.359999999</v>
      </c>
      <c r="L551" s="23" t="s">
        <v>288</v>
      </c>
      <c r="M551" s="8"/>
      <c r="N551" s="165"/>
    </row>
    <row r="552" spans="1:14" s="3" customFormat="1" ht="12.2" customHeight="1" thickBot="1" x14ac:dyDescent="0.2">
      <c r="A552" s="21" t="s">
        <v>635</v>
      </c>
      <c r="B552" s="22">
        <v>21</v>
      </c>
      <c r="C552" s="22">
        <v>24</v>
      </c>
      <c r="D552" s="2" t="s">
        <v>432</v>
      </c>
      <c r="E552" s="22"/>
      <c r="F552" s="69">
        <f>L524</f>
        <v>754040.55</v>
      </c>
      <c r="G552" s="69">
        <f>L529</f>
        <v>102729.67</v>
      </c>
      <c r="H552" s="69">
        <f>L534</f>
        <v>0</v>
      </c>
      <c r="I552" s="69">
        <f>L539</f>
        <v>0</v>
      </c>
      <c r="J552" s="69">
        <f>L544</f>
        <v>3239.1800000000003</v>
      </c>
      <c r="K552" s="69">
        <f>SUM(F552:J552)</f>
        <v>860009.40000000014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1596698.62</v>
      </c>
      <c r="G553" s="70">
        <f t="shared" si="42"/>
        <v>16088866.789999999</v>
      </c>
      <c r="H553" s="70">
        <f t="shared" si="42"/>
        <v>0</v>
      </c>
      <c r="I553" s="70">
        <f t="shared" si="42"/>
        <v>0</v>
      </c>
      <c r="J553" s="70">
        <f t="shared" si="42"/>
        <v>10797.24</v>
      </c>
      <c r="K553" s="70">
        <f t="shared" si="42"/>
        <v>17696362.649999999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12943.3+27073.2+25000+10740.11</f>
        <v>75756.61</v>
      </c>
      <c r="G583" s="18">
        <f>48424.33+3182.26</f>
        <v>51606.590000000004</v>
      </c>
      <c r="H583" s="18">
        <f>452680.18+5966.73</f>
        <v>458646.91</v>
      </c>
      <c r="I583" s="69">
        <f t="shared" si="47"/>
        <v>586010.11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29628.3</v>
      </c>
      <c r="I585" s="69">
        <f t="shared" si="47"/>
        <v>29628.3</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268.14+76109.9</f>
        <v>76378.039999999994</v>
      </c>
      <c r="I592" s="18">
        <f>79.45+22551.05</f>
        <v>22630.5</v>
      </c>
      <c r="J592" s="18">
        <f>148.97+42283.2</f>
        <v>42432.17</v>
      </c>
      <c r="K592" s="80">
        <f t="shared" ref="K592:K598" si="48">SUM(H592:J592)</f>
        <v>141440.71</v>
      </c>
      <c r="L592" s="23" t="s">
        <v>288</v>
      </c>
      <c r="M592" s="8"/>
      <c r="N592" s="165"/>
    </row>
    <row r="593" spans="1:14" s="3" customFormat="1" ht="12.2" customHeight="1" x14ac:dyDescent="0.15">
      <c r="A593" s="3" t="s">
        <v>638</v>
      </c>
      <c r="B593" s="22">
        <v>23</v>
      </c>
      <c r="C593" s="22">
        <v>2</v>
      </c>
      <c r="D593" s="2" t="s">
        <v>432</v>
      </c>
      <c r="E593" s="22"/>
      <c r="F593" s="78">
        <v>2722</v>
      </c>
      <c r="G593" s="79" t="s">
        <v>97</v>
      </c>
      <c r="H593" s="18">
        <f>3757.6+1804.76</f>
        <v>5562.36</v>
      </c>
      <c r="I593" s="18">
        <f>1113.36+244.57+290.18</f>
        <v>1648.11</v>
      </c>
      <c r="J593" s="18">
        <f>2087.55+458.57+544.09</f>
        <v>3090.2100000000005</v>
      </c>
      <c r="K593" s="80">
        <f t="shared" si="48"/>
        <v>10300.68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f>31560.1</f>
        <v>31560.1</v>
      </c>
      <c r="K594" s="80">
        <f t="shared" si="48"/>
        <v>31560.1</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f>7088.63</f>
        <v>7088.63</v>
      </c>
      <c r="J595" s="18">
        <f>12601.89</f>
        <v>12601.89</v>
      </c>
      <c r="K595" s="80">
        <f t="shared" si="48"/>
        <v>19690.52</v>
      </c>
      <c r="L595" s="23" t="s">
        <v>288</v>
      </c>
      <c r="M595" s="8"/>
      <c r="N595" s="165"/>
    </row>
    <row r="596" spans="1:14" s="3" customFormat="1" ht="12.2" customHeight="1" x14ac:dyDescent="0.15">
      <c r="A596" s="103" t="s">
        <v>652</v>
      </c>
      <c r="B596" s="22">
        <v>23</v>
      </c>
      <c r="C596" s="22">
        <v>5</v>
      </c>
      <c r="D596" s="2" t="s">
        <v>432</v>
      </c>
      <c r="E596" s="22"/>
      <c r="F596" s="78">
        <v>2725</v>
      </c>
      <c r="G596" s="79" t="s">
        <v>97</v>
      </c>
      <c r="H596" s="18">
        <f>1285.5</f>
        <v>1285.5</v>
      </c>
      <c r="I596" s="18">
        <f>623.55</f>
        <v>623.54999999999995</v>
      </c>
      <c r="J596" s="18">
        <f>4100</f>
        <v>4100</v>
      </c>
      <c r="K596" s="80">
        <f t="shared" si="48"/>
        <v>6009.05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83225.899999999994</v>
      </c>
      <c r="I599" s="81">
        <f>SUM(I592:I598)</f>
        <v>31990.79</v>
      </c>
      <c r="J599" s="81">
        <f>SUM(J592:J598)</f>
        <v>93784.37</v>
      </c>
      <c r="K599" s="81">
        <f>SUM(K592:K598)</f>
        <v>209001.05999999997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t="s">
        <v>286</v>
      </c>
      <c r="I603" s="18" t="s">
        <v>286</v>
      </c>
      <c r="J603" s="18" t="s">
        <v>286</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26741.75+13085.53</f>
        <v>39827.279999999999</v>
      </c>
      <c r="I605" s="18">
        <f>7923.48+4699.59</f>
        <v>12623.07</v>
      </c>
      <c r="J605" s="18">
        <f>14856.52+11719.28</f>
        <v>26575.800000000003</v>
      </c>
      <c r="K605" s="80">
        <f>SUM(H605:J605)</f>
        <v>79026.149999999994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39827.279999999999</v>
      </c>
      <c r="I606" s="81">
        <f>SUM(I603:I605)</f>
        <v>12623.07</v>
      </c>
      <c r="J606" s="81">
        <f>SUM(J603:J605)</f>
        <v>26575.800000000003</v>
      </c>
      <c r="K606" s="81">
        <f>SUM(K603:K605)</f>
        <v>79026.149999999994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537107.44999999995</v>
      </c>
      <c r="H618" s="80">
        <f>SUM(F52)</f>
        <v>537107.44999999995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102442.01000000001</v>
      </c>
      <c r="H619" s="80">
        <f>SUM(G52)</f>
        <v>102442.01</v>
      </c>
      <c r="I619" s="87" t="s">
        <v>875</v>
      </c>
      <c r="J619" s="80">
        <f>G619-H619</f>
        <v>0</v>
      </c>
      <c r="K619" s="80"/>
      <c r="L619" s="80"/>
      <c r="M619" s="8"/>
    </row>
    <row r="620" spans="1:14" s="3" customFormat="1" ht="12.2" customHeight="1" x14ac:dyDescent="0.15">
      <c r="A620" s="74"/>
      <c r="B620" s="22"/>
      <c r="C620" s="22"/>
      <c r="D620" s="22"/>
      <c r="E620" s="22"/>
      <c r="F620" s="87" t="s">
        <v>685</v>
      </c>
      <c r="G620" s="80">
        <f>SUM(H19)</f>
        <v>154957.94</v>
      </c>
      <c r="H620" s="80">
        <f>SUM(H52)</f>
        <v>154957.94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407275.13</v>
      </c>
      <c r="H622" s="80">
        <f>SUM(J52)</f>
        <v>407275.13</v>
      </c>
      <c r="I622" s="87" t="s">
        <v>878</v>
      </c>
      <c r="J622" s="80">
        <f>G622-H622</f>
        <v>0</v>
      </c>
      <c r="K622" s="80"/>
      <c r="L622" s="80"/>
      <c r="M622" s="8"/>
    </row>
    <row r="623" spans="1:14" s="3" customFormat="1" ht="12.2" customHeight="1" x14ac:dyDescent="0.15">
      <c r="A623" s="74"/>
      <c r="B623" s="22"/>
      <c r="C623" s="22"/>
      <c r="D623" s="22"/>
      <c r="E623" s="22"/>
      <c r="F623" s="87" t="s">
        <v>864</v>
      </c>
      <c r="G623" s="80">
        <f>F51</f>
        <v>411395.67</v>
      </c>
      <c r="H623" s="80">
        <f>F477</f>
        <v>411395.66999999993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83407.429999999993</v>
      </c>
      <c r="H624" s="80">
        <f>G477</f>
        <v>83407.429999999993</v>
      </c>
      <c r="I624" s="87" t="s">
        <v>102</v>
      </c>
      <c r="J624" s="80">
        <f t="shared" si="50"/>
        <v>0</v>
      </c>
      <c r="K624" s="80"/>
      <c r="L624" s="80"/>
      <c r="M624" s="8"/>
    </row>
    <row r="625" spans="1:13" s="3" customFormat="1" ht="12.2" customHeight="1" x14ac:dyDescent="0.15">
      <c r="A625" s="74"/>
      <c r="B625" s="22"/>
      <c r="C625" s="22"/>
      <c r="D625" s="22"/>
      <c r="E625" s="22"/>
      <c r="F625" s="86" t="s">
        <v>866</v>
      </c>
      <c r="G625" s="80">
        <f>H51</f>
        <v>14570.01</v>
      </c>
      <c r="H625" s="80">
        <f>H477</f>
        <v>14570.010000000009</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407275.13</v>
      </c>
      <c r="H627" s="80">
        <f>J477</f>
        <v>407275.13</v>
      </c>
      <c r="I627" s="87" t="s">
        <v>105</v>
      </c>
      <c r="J627" s="80">
        <f t="shared" si="50"/>
        <v>0</v>
      </c>
      <c r="K627" s="67"/>
      <c r="L627" s="69"/>
      <c r="M627" s="8"/>
    </row>
    <row r="628" spans="1:13" s="3" customFormat="1" ht="12.2" customHeight="1" x14ac:dyDescent="0.15">
      <c r="A628" s="21"/>
      <c r="B628" s="22"/>
      <c r="C628" s="22"/>
      <c r="D628" s="22"/>
      <c r="E628" s="22"/>
      <c r="F628" s="86" t="s">
        <v>658</v>
      </c>
      <c r="G628" s="80">
        <f>F194</f>
        <v>6302295.6799999997</v>
      </c>
      <c r="H628" s="80">
        <f>SUM(F469)</f>
        <v>6302295.6799999997</v>
      </c>
      <c r="I628" s="87" t="s">
        <v>106</v>
      </c>
      <c r="J628" s="80">
        <f>G628-H628</f>
        <v>0</v>
      </c>
      <c r="K628" s="67"/>
      <c r="L628" s="69"/>
      <c r="M628" s="8"/>
    </row>
    <row r="629" spans="1:13" s="3" customFormat="1" ht="12.2" customHeight="1" x14ac:dyDescent="0.15">
      <c r="A629" s="21"/>
      <c r="B629" s="22"/>
      <c r="C629" s="22"/>
      <c r="D629" s="22"/>
      <c r="E629" s="22"/>
      <c r="F629" s="86" t="s">
        <v>659</v>
      </c>
      <c r="G629" s="80">
        <f>G194</f>
        <v>140964.43</v>
      </c>
      <c r="H629" s="80">
        <f>SUM(G469)</f>
        <v>140964.43</v>
      </c>
      <c r="I629" s="87" t="s">
        <v>107</v>
      </c>
      <c r="J629" s="80">
        <f>G629-H629</f>
        <v>0</v>
      </c>
      <c r="K629" s="67"/>
      <c r="L629" s="69"/>
      <c r="M629" s="8"/>
    </row>
    <row r="630" spans="1:13" s="3" customFormat="1" ht="12.2" customHeight="1" x14ac:dyDescent="0.15">
      <c r="A630" s="21"/>
      <c r="B630" s="22"/>
      <c r="C630" s="22"/>
      <c r="D630" s="22"/>
      <c r="E630" s="22"/>
      <c r="F630" s="86" t="s">
        <v>660</v>
      </c>
      <c r="G630" s="80">
        <f>H194</f>
        <v>850033.28</v>
      </c>
      <c r="H630" s="80">
        <f>SUM(H469)</f>
        <v>850033.28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509.76</v>
      </c>
      <c r="H632" s="80">
        <f>SUM(J469)</f>
        <v>509.76</v>
      </c>
      <c r="I632" s="87" t="s">
        <v>110</v>
      </c>
      <c r="J632" s="80">
        <f>G632-H632</f>
        <v>0</v>
      </c>
      <c r="K632" s="67"/>
      <c r="L632" s="69"/>
      <c r="M632" s="8"/>
    </row>
    <row r="633" spans="1:13" s="3" customFormat="1" ht="12.2" customHeight="1" x14ac:dyDescent="0.15">
      <c r="A633" s="21"/>
      <c r="B633" s="22"/>
      <c r="C633" s="22"/>
      <c r="D633" s="22"/>
      <c r="E633" s="22"/>
      <c r="F633" s="86" t="s">
        <v>394</v>
      </c>
      <c r="G633" s="80">
        <f>SUM(L272)</f>
        <v>6269932.8899999997</v>
      </c>
      <c r="H633" s="80">
        <f>SUM(F473)</f>
        <v>6269932.8899999997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835463.27</v>
      </c>
      <c r="H634" s="80">
        <f>SUM(H473)</f>
        <v>835463.27</v>
      </c>
      <c r="I634" s="87" t="s">
        <v>112</v>
      </c>
      <c r="J634" s="80">
        <f>G634-H634</f>
        <v>0</v>
      </c>
      <c r="K634" s="67"/>
      <c r="L634" s="69"/>
      <c r="M634" s="8"/>
    </row>
    <row r="635" spans="1:13" s="124" customFormat="1" ht="12.2" customHeight="1" x14ac:dyDescent="0.15">
      <c r="A635" s="21"/>
      <c r="B635" s="22"/>
      <c r="C635" s="22"/>
      <c r="D635" s="22"/>
      <c r="E635" s="22"/>
      <c r="F635" s="99" t="s">
        <v>247</v>
      </c>
      <c r="G635" s="80">
        <f>I363</f>
        <v>43906.28</v>
      </c>
      <c r="H635" s="80">
        <f>I370</f>
        <v>43906.28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118180.09</v>
      </c>
      <c r="H636" s="80">
        <f>SUM(G473)</f>
        <v>118180.09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509.76000000000005</v>
      </c>
      <c r="H638" s="108">
        <f>SUM(J469)</f>
        <v>509.76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104600</v>
      </c>
      <c r="H639" s="108">
        <f>SUM(J473)</f>
        <v>104600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407275.13</v>
      </c>
      <c r="H641" s="80">
        <f>SUM(G462)</f>
        <v>407275.13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407275.13</v>
      </c>
      <c r="H643" s="80">
        <f>SUM(I462)</f>
        <v>407275.13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509.76</v>
      </c>
      <c r="H645" s="80">
        <f>H409</f>
        <v>509.76000000000005</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509.76</v>
      </c>
      <c r="H647" s="80">
        <f>L409</f>
        <v>509.76000000000005</v>
      </c>
      <c r="I647" s="87" t="s">
        <v>477</v>
      </c>
      <c r="J647" s="80">
        <f t="shared" si="50"/>
        <v>0</v>
      </c>
      <c r="K647" s="67"/>
      <c r="L647" s="69"/>
      <c r="M647" s="8"/>
    </row>
    <row r="648" spans="1:13" s="3" customFormat="1" ht="12.2" customHeight="1" x14ac:dyDescent="0.15">
      <c r="A648" s="21"/>
      <c r="B648" s="22"/>
      <c r="C648" s="22"/>
      <c r="D648" s="22"/>
      <c r="E648" s="22"/>
      <c r="F648" s="86" t="s">
        <v>51</v>
      </c>
      <c r="G648" s="80">
        <f>K599</f>
        <v>209001.05999999997</v>
      </c>
      <c r="H648" s="80">
        <f>L209+L227+L245</f>
        <v>209001.05999999997</v>
      </c>
      <c r="I648" s="87" t="s">
        <v>396</v>
      </c>
      <c r="J648" s="80">
        <f t="shared" si="50"/>
        <v>0</v>
      </c>
      <c r="K648" s="67"/>
      <c r="L648" s="69"/>
      <c r="M648" s="8"/>
    </row>
    <row r="649" spans="1:13" s="3" customFormat="1" ht="12.2" customHeight="1" x14ac:dyDescent="0.15">
      <c r="A649" s="21"/>
      <c r="B649" s="22"/>
      <c r="C649" s="22"/>
      <c r="D649" s="22"/>
      <c r="E649" s="22"/>
      <c r="F649" s="86" t="s">
        <v>52</v>
      </c>
      <c r="G649" s="80">
        <f>K606</f>
        <v>79026.149999999994</v>
      </c>
      <c r="H649" s="80">
        <f>(J258+J339)-(J256+J337)</f>
        <v>79026.149999999994</v>
      </c>
      <c r="I649" s="87" t="s">
        <v>699</v>
      </c>
      <c r="J649" s="80">
        <f t="shared" si="50"/>
        <v>0</v>
      </c>
      <c r="K649" s="67"/>
      <c r="L649" s="69"/>
      <c r="M649" s="8"/>
    </row>
    <row r="650" spans="1:13" s="3" customFormat="1" ht="12.2" customHeight="1" x14ac:dyDescent="0.15">
      <c r="A650" s="21"/>
      <c r="B650" s="22"/>
      <c r="C650" s="22"/>
      <c r="D650" s="22"/>
      <c r="E650" s="22"/>
      <c r="F650" s="86" t="s">
        <v>387</v>
      </c>
      <c r="G650" s="80">
        <f>L209</f>
        <v>83225.899999999994</v>
      </c>
      <c r="H650" s="80">
        <f>H599</f>
        <v>83225.899999999994</v>
      </c>
      <c r="I650" s="87" t="s">
        <v>388</v>
      </c>
      <c r="J650" s="80">
        <f t="shared" si="50"/>
        <v>0</v>
      </c>
      <c r="K650" s="67"/>
      <c r="L650" s="69"/>
      <c r="M650" s="8"/>
    </row>
    <row r="651" spans="1:13" s="3" customFormat="1" ht="12.2" customHeight="1" x14ac:dyDescent="0.15">
      <c r="A651" s="21"/>
      <c r="B651" s="22"/>
      <c r="C651" s="22"/>
      <c r="D651" s="22"/>
      <c r="E651" s="22"/>
      <c r="F651" s="86" t="s">
        <v>392</v>
      </c>
      <c r="G651" s="80">
        <f>L227</f>
        <v>31990.789999999997</v>
      </c>
      <c r="H651" s="80">
        <f>I599</f>
        <v>31990.79</v>
      </c>
      <c r="I651" s="87" t="s">
        <v>389</v>
      </c>
      <c r="J651" s="80">
        <f t="shared" si="50"/>
        <v>0</v>
      </c>
      <c r="K651" s="67"/>
      <c r="L651" s="69"/>
      <c r="M651" s="8"/>
    </row>
    <row r="652" spans="1:13" s="3" customFormat="1" ht="12.2" customHeight="1" x14ac:dyDescent="0.15">
      <c r="A652" s="21"/>
      <c r="B652" s="22"/>
      <c r="C652" s="22"/>
      <c r="D652" s="22"/>
      <c r="E652" s="22"/>
      <c r="F652" s="86" t="s">
        <v>393</v>
      </c>
      <c r="G652" s="80">
        <f>L245</f>
        <v>93784.369999999981</v>
      </c>
      <c r="H652" s="80">
        <f>J599</f>
        <v>93784.37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3084046.05</v>
      </c>
      <c r="G661" s="13">
        <f>(L230+L310+L360)</f>
        <v>1409576.88</v>
      </c>
      <c r="H661" s="13">
        <f>(L248+L329+L361)</f>
        <v>2659583.8199999998</v>
      </c>
      <c r="I661" s="13">
        <f>SUM(F661:H661)</f>
        <v>7153206.75</v>
      </c>
      <c r="J661" s="13"/>
      <c r="K661" s="13"/>
      <c r="L661" s="13"/>
      <c r="M661" s="9"/>
    </row>
    <row r="662" spans="1:13" s="3" customFormat="1" ht="12.2" customHeight="1" x14ac:dyDescent="0.2">
      <c r="A662" s="1" t="s">
        <v>127</v>
      </c>
      <c r="F662" s="13">
        <f>(L359/IF(SUM(L359:L361)=0,1,SUM(L359:L361))*(SUM(G97:G110)))</f>
        <v>26827.557308338484</v>
      </c>
      <c r="G662" s="13">
        <f>(L360/IF(SUM(L359:L361)=0,1,SUM(L359:L361))*(SUM(G97:G110)))</f>
        <v>7946.0089953443085</v>
      </c>
      <c r="H662" s="13">
        <f>(L361/IF(SUM(L359:L361)=0,1,SUM(L359:L361))*(SUM(G97:G110)))</f>
        <v>14898.773696317205</v>
      </c>
      <c r="I662" s="13">
        <f>SUM(F662:H662)</f>
        <v>49672.34</v>
      </c>
      <c r="J662"/>
      <c r="K662" s="13"/>
      <c r="L662" s="13"/>
      <c r="M662" s="8"/>
    </row>
    <row r="663" spans="1:13" s="3" customFormat="1" ht="12.2" customHeight="1" x14ac:dyDescent="0.2">
      <c r="A663" s="1" t="s">
        <v>128</v>
      </c>
      <c r="F663" s="13">
        <f>(L209+L288)-(J209+J288)</f>
        <v>86706.22</v>
      </c>
      <c r="G663" s="13">
        <f>(L227+L307)-(J227+J307)</f>
        <v>31990.789999999997</v>
      </c>
      <c r="H663" s="13">
        <f>(L245+L326)-(J245+J326)</f>
        <v>93784.369999999981</v>
      </c>
      <c r="I663" s="13">
        <f>SUM(F663:H663)</f>
        <v>212481.37999999998</v>
      </c>
      <c r="J663"/>
      <c r="K663" s="13"/>
      <c r="L663" s="13"/>
      <c r="M663" s="9"/>
    </row>
    <row r="664" spans="1:13" s="3" customFormat="1" ht="12.2" customHeight="1" x14ac:dyDescent="0.15">
      <c r="A664" s="142" t="s">
        <v>129</v>
      </c>
      <c r="B664" s="124"/>
      <c r="C664" s="124"/>
      <c r="D664" s="124"/>
      <c r="E664" s="124"/>
      <c r="F664" s="143">
        <f>SUM(F576:F588)+SUM(H603:H605)+SUM(L612)</f>
        <v>115583.89</v>
      </c>
      <c r="G664" s="143">
        <f>SUM(G576:G588)+SUM(I603:I605)+L613</f>
        <v>64229.66</v>
      </c>
      <c r="H664" s="143">
        <f>SUM(H576:H588)+SUM(J603:J605)+L614</f>
        <v>514851.00999999995</v>
      </c>
      <c r="I664" s="13">
        <f>SUM(F664:H664)</f>
        <v>694664.55999999994</v>
      </c>
      <c r="J664" s="13"/>
      <c r="K664" s="13"/>
      <c r="L664" s="13"/>
      <c r="M664" s="9"/>
    </row>
    <row r="665" spans="1:13" s="3" customFormat="1" ht="12.2" customHeight="1" x14ac:dyDescent="0.15">
      <c r="A665" s="1" t="s">
        <v>130</v>
      </c>
      <c r="F665" s="13">
        <f>F661-SUM(F662:F664)</f>
        <v>2854928.3826916614</v>
      </c>
      <c r="G665" s="13">
        <f>G661-SUM(G662:G664)</f>
        <v>1305410.4210046555</v>
      </c>
      <c r="H665" s="13">
        <f>H661-SUM(H662:H664)</f>
        <v>2036049.6663036826</v>
      </c>
      <c r="I665" s="13">
        <f>I661-SUM(I662:I664)</f>
        <v>6196388.4699999997</v>
      </c>
      <c r="J665" s="13"/>
      <c r="K665" s="13"/>
      <c r="L665" s="13"/>
      <c r="M665" s="8"/>
    </row>
    <row r="666" spans="1:13" s="3" customFormat="1" ht="12.2" customHeight="1" x14ac:dyDescent="0.2">
      <c r="A666" s="1" t="s">
        <v>131</v>
      </c>
      <c r="F666" s="183">
        <v>144.06</v>
      </c>
      <c r="G666" s="184">
        <v>51.95</v>
      </c>
      <c r="H666" s="184">
        <v>72.61</v>
      </c>
      <c r="I666" s="13">
        <f>SUM(F666:H666)</f>
        <v>268.62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19817.63</v>
      </c>
      <c r="G668" s="13">
        <f>ROUND(G665/G666,2)</f>
        <v>25128.21</v>
      </c>
      <c r="H668" s="13">
        <f>ROUND(H665/H666,2)</f>
        <v>28040.9</v>
      </c>
      <c r="I668" s="13">
        <f>ROUND(I665/I666,2)</f>
        <v>23067.49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-5.61</v>
      </c>
      <c r="I671" s="13">
        <f>SUM(F671:H671)</f>
        <v>-5.61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19817.63</v>
      </c>
      <c r="G673" s="13">
        <f>ROUND((G665+G670)/(G666+G671),2)</f>
        <v>25128.21</v>
      </c>
      <c r="H673" s="13">
        <f>ROUND((H665+H670)/(H666+H671),2)</f>
        <v>30388.799999999999</v>
      </c>
      <c r="I673" s="13">
        <f>ROUND((I665+I670)/(I666+I671),2)</f>
        <v>23559.52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77" orientation="portrait"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4" sqref="H14"/>
    </sheetView>
  </sheetViews>
  <sheetFormatPr defaultColWidth="9.1640625" defaultRowHeight="15" x14ac:dyDescent="0.25"/>
  <cols>
    <col min="1" max="2" width="9.1640625" style="259"/>
    <col min="3" max="3" width="154.5" style="259" customWidth="1"/>
    <col min="4" max="4" width="9.1640625" style="259"/>
    <col min="5" max="5" width="14.1640625" style="259" customWidth="1"/>
    <col min="6" max="6" width="13.1640625" style="259" customWidth="1"/>
    <col min="7" max="7" width="9.1640625" style="259"/>
    <col min="8" max="8" width="23.1640625" style="259" customWidth="1"/>
    <col min="9" max="9" width="14.1640625" style="259" customWidth="1"/>
    <col min="10" max="16384" width="9.16406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43446.12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27691.64</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15754.48</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7213.72</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99" zoomScaleNormal="100"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Lisbon Regional</v>
      </c>
      <c r="C5" s="317"/>
      <c r="D5" s="317"/>
      <c r="E5" s="317"/>
      <c r="F5" s="317"/>
    </row>
    <row r="8" spans="1:9" ht="18" x14ac:dyDescent="0.25">
      <c r="A8" s="240" t="s">
        <v>1560</v>
      </c>
      <c r="F8" s="247" t="s">
        <v>1578</v>
      </c>
    </row>
    <row r="9" spans="1:9" ht="15" x14ac:dyDescent="0.2">
      <c r="A9" s="238" t="s">
        <v>1561</v>
      </c>
      <c r="B9" s="241">
        <f>'DOE25'!G97</f>
        <v>49672.34</v>
      </c>
      <c r="F9" s="238" t="s">
        <v>1574</v>
      </c>
    </row>
    <row r="10" spans="1:9" ht="15" x14ac:dyDescent="0.2">
      <c r="A10" s="238" t="s">
        <v>1562</v>
      </c>
      <c r="B10" s="241">
        <f>'DOE25'!G112-'DOE25'!G97</f>
        <v>0</v>
      </c>
      <c r="F10" s="238" t="s">
        <v>1575</v>
      </c>
    </row>
    <row r="11" spans="1:9" ht="15" x14ac:dyDescent="0.2">
      <c r="A11" s="238" t="s">
        <v>1563</v>
      </c>
      <c r="B11" s="241">
        <f>'DOE25'!G140</f>
        <v>2360.77</v>
      </c>
      <c r="F11" s="238" t="s">
        <v>1576</v>
      </c>
    </row>
    <row r="12" spans="1:9" ht="15" x14ac:dyDescent="0.2">
      <c r="A12" s="238" t="s">
        <v>1564</v>
      </c>
      <c r="B12" s="241">
        <f>'DOE25'!G170</f>
        <v>88931.32</v>
      </c>
      <c r="F12" s="238" t="s">
        <v>1577</v>
      </c>
    </row>
    <row r="13" spans="1:9" ht="15" x14ac:dyDescent="0.2">
      <c r="A13" s="238" t="s">
        <v>1565</v>
      </c>
      <c r="B13" s="241">
        <f>'DOE25'!G193-'DOE25'!G180</f>
        <v>0</v>
      </c>
      <c r="F13" s="238" t="s">
        <v>1587</v>
      </c>
    </row>
    <row r="14" spans="1:9" ht="18" x14ac:dyDescent="0.25">
      <c r="A14" s="240" t="s">
        <v>732</v>
      </c>
      <c r="B14" s="242">
        <f>SUM(B9:B13)</f>
        <v>140964.43</v>
      </c>
    </row>
    <row r="16" spans="1:9" ht="18" x14ac:dyDescent="0.25">
      <c r="A16" s="240" t="s">
        <v>786</v>
      </c>
      <c r="F16" s="247" t="s">
        <v>1579</v>
      </c>
    </row>
    <row r="17" spans="1:6" ht="15" x14ac:dyDescent="0.2">
      <c r="A17" s="238" t="s">
        <v>1566</v>
      </c>
      <c r="B17" s="241">
        <f>'DOE25'!L363-'DOE25'!L362</f>
        <v>118180.09</v>
      </c>
      <c r="F17" s="238" t="s">
        <v>1580</v>
      </c>
    </row>
    <row r="18" spans="1:6" ht="15" x14ac:dyDescent="0.2">
      <c r="A18" s="238" t="s">
        <v>1567</v>
      </c>
      <c r="B18" s="251">
        <v>23.25</v>
      </c>
      <c r="F18" s="247" t="s">
        <v>1604</v>
      </c>
    </row>
    <row r="19" spans="1:6" ht="18" x14ac:dyDescent="0.25">
      <c r="A19" s="240" t="s">
        <v>725</v>
      </c>
      <c r="B19" s="242">
        <f>SUM(B17:B18)</f>
        <v>118203.34</v>
      </c>
    </row>
    <row r="21" spans="1:6" ht="18.75" thickBot="1" x14ac:dyDescent="0.3">
      <c r="A21" s="240" t="s">
        <v>1568</v>
      </c>
    </row>
    <row r="22" spans="1:6" ht="18.75" thickTop="1" x14ac:dyDescent="0.25">
      <c r="A22" s="240" t="s">
        <v>1569</v>
      </c>
      <c r="B22" s="246">
        <f>B14-B19</f>
        <v>22761.089999999997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60623.09</v>
      </c>
      <c r="F31" s="238" t="s">
        <v>1584</v>
      </c>
    </row>
    <row r="33" spans="1:6" ht="15" x14ac:dyDescent="0.2">
      <c r="A33" s="238" t="s">
        <v>1798</v>
      </c>
      <c r="B33" s="241">
        <f>'DOE25'!G477</f>
        <v>83407.429999999993</v>
      </c>
      <c r="F33" s="238" t="s">
        <v>1585</v>
      </c>
    </row>
    <row r="36" spans="1:6" ht="15" x14ac:dyDescent="0.2">
      <c r="A36" s="238" t="s">
        <v>1571</v>
      </c>
      <c r="B36" s="252">
        <v>11961.44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37" sqref="A37"/>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Lisbon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1829465.35</v>
      </c>
      <c r="C9" s="167">
        <f>'DOE25'!G198+'DOE25'!G216+'DOE25'!G234+'DOE25'!G277+'DOE25'!G296+'DOE25'!G315</f>
        <v>874187.29999999993</v>
      </c>
    </row>
    <row r="10" spans="1:3" x14ac:dyDescent="0.2">
      <c r="A10" t="s">
        <v>775</v>
      </c>
      <c r="B10" s="177">
        <v>1713928.11</v>
      </c>
      <c r="C10" s="177">
        <v>861708.98</v>
      </c>
    </row>
    <row r="11" spans="1:3" x14ac:dyDescent="0.2">
      <c r="A11" t="s">
        <v>776</v>
      </c>
      <c r="B11" s="177">
        <v>26901.02</v>
      </c>
      <c r="C11" s="177">
        <v>5697.64</v>
      </c>
    </row>
    <row r="12" spans="1:3" x14ac:dyDescent="0.2">
      <c r="A12" t="s">
        <v>777</v>
      </c>
      <c r="B12" s="177">
        <v>88636.22</v>
      </c>
      <c r="C12" s="177">
        <v>6780.68</v>
      </c>
    </row>
    <row r="13" spans="1:3" x14ac:dyDescent="0.2">
      <c r="A13" t="str">
        <f>IF(B9=B13,IF(C9=C13,"Check Total OK","Check Total Error"),"Check Total Error")</f>
        <v>Check Total OK</v>
      </c>
      <c r="B13" s="169">
        <f>SUM(B10:B12)</f>
        <v>1829465.35</v>
      </c>
      <c r="C13" s="169">
        <f>SUM(C10:C12)</f>
        <v>874187.3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584021.15999999992</v>
      </c>
      <c r="C18" s="167">
        <f>'DOE25'!G199+'DOE25'!G217+'DOE25'!G235+'DOE25'!G278+'DOE25'!G297+'DOE25'!G316</f>
        <v>304243.85000000003</v>
      </c>
    </row>
    <row r="19" spans="1:3" x14ac:dyDescent="0.2">
      <c r="A19" t="s">
        <v>775</v>
      </c>
      <c r="B19" s="177">
        <v>276413.25</v>
      </c>
      <c r="C19" s="177">
        <v>143907.34</v>
      </c>
    </row>
    <row r="20" spans="1:3" x14ac:dyDescent="0.2">
      <c r="A20" t="s">
        <v>776</v>
      </c>
      <c r="B20" s="177">
        <v>307607.90999999997</v>
      </c>
      <c r="C20" s="177">
        <v>160336.51</v>
      </c>
    </row>
    <row r="21" spans="1:3" x14ac:dyDescent="0.2">
      <c r="A21" t="s">
        <v>777</v>
      </c>
      <c r="B21" s="177"/>
      <c r="C21" s="177"/>
    </row>
    <row r="22" spans="1:3" x14ac:dyDescent="0.2">
      <c r="A22" t="str">
        <f>IF(B18=B22,IF(C18=C22,"Check Total OK","Check Total Error"),"Check Total Error")</f>
        <v>Check Total OK</v>
      </c>
      <c r="B22" s="169">
        <f>SUM(B19:B21)</f>
        <v>584021.15999999992</v>
      </c>
      <c r="C22" s="169">
        <f>SUM(C19:C21)</f>
        <v>304243.84999999998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167907.5</v>
      </c>
      <c r="C27" s="172">
        <f>'DOE25'!G200+'DOE25'!G218+'DOE25'!G236+'DOE25'!G279+'DOE25'!G298+'DOE25'!G317</f>
        <v>60656.639999999999</v>
      </c>
    </row>
    <row r="28" spans="1:3" x14ac:dyDescent="0.2">
      <c r="A28" t="s">
        <v>775</v>
      </c>
      <c r="B28" s="177">
        <v>167907.5</v>
      </c>
      <c r="C28" s="177">
        <v>60656.639999999999</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167907.5</v>
      </c>
      <c r="C31" s="169">
        <f>SUM(C28:C30)</f>
        <v>60656.639999999999</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86384.200000000012</v>
      </c>
      <c r="C36" s="173">
        <f>'DOE25'!G201+'DOE25'!G219+'DOE25'!G237+'DOE25'!G280+'DOE25'!G299+'DOE25'!G318</f>
        <v>19538.239999999998</v>
      </c>
    </row>
    <row r="37" spans="1:3" x14ac:dyDescent="0.2">
      <c r="A37" t="s">
        <v>775</v>
      </c>
      <c r="B37" s="177">
        <v>72080.800000000003</v>
      </c>
      <c r="C37" s="177">
        <v>16508.78</v>
      </c>
    </row>
    <row r="38" spans="1:3" x14ac:dyDescent="0.2">
      <c r="A38" t="s">
        <v>776</v>
      </c>
      <c r="B38" s="177">
        <v>6783.4</v>
      </c>
      <c r="C38" s="177">
        <v>1436.72</v>
      </c>
    </row>
    <row r="39" spans="1:3" x14ac:dyDescent="0.2">
      <c r="A39" t="s">
        <v>777</v>
      </c>
      <c r="B39" s="177">
        <v>7520</v>
      </c>
      <c r="C39" s="177">
        <v>1592.74</v>
      </c>
    </row>
    <row r="40" spans="1:3" x14ac:dyDescent="0.2">
      <c r="A40" t="str">
        <f>IF(B36=B40,IF(C36=C40,"Check Total OK","Check Total Error"),"Check Total Error")</f>
        <v>Check Total OK</v>
      </c>
      <c r="B40" s="169">
        <f>SUM(B37:B39)</f>
        <v>86384.2</v>
      </c>
      <c r="C40" s="169">
        <f>SUM(C37:C39)</f>
        <v>19538.240000000002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0" sqref="F40"/>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Lisbon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4238436.01</v>
      </c>
      <c r="D5" s="19">
        <f>SUM('DOE25'!L198:L201)+SUM('DOE25'!L216:L219)+SUM('DOE25'!L234:L237)-F5-G5-H5</f>
        <v>4225478.5299999993</v>
      </c>
      <c r="E5" s="180"/>
      <c r="F5" s="181"/>
      <c r="G5" s="19">
        <f>SUM('DOE25'!J198:J201)+SUM('DOE25'!J216:J219)+SUM('DOE25'!J234:J237)</f>
        <v>10532.48</v>
      </c>
      <c r="H5" s="19">
        <f>SUM('DOE25'!K198:K201)+SUM('DOE25'!K216:K219)+SUM('DOE25'!K234:K237)</f>
        <v>2425</v>
      </c>
      <c r="I5" s="192"/>
    </row>
    <row r="6" spans="1:9" x14ac:dyDescent="0.2">
      <c r="A6" s="31">
        <v>2100</v>
      </c>
      <c r="B6" t="s">
        <v>796</v>
      </c>
      <c r="C6" s="206">
        <f t="shared" si="0"/>
        <v>410417.33000000007</v>
      </c>
      <c r="D6" s="19">
        <f>'DOE25'!L203+'DOE25'!L221+'DOE25'!L239-F6-G6-H6</f>
        <v>409894.46000000008</v>
      </c>
      <c r="E6" s="180"/>
      <c r="F6" s="181"/>
      <c r="G6" s="19">
        <f>'DOE25'!J203+'DOE25'!J221+'DOE25'!J239</f>
        <v>522.87</v>
      </c>
      <c r="H6" s="19">
        <f>'DOE25'!K203+'DOE25'!K221+'DOE25'!K239</f>
        <v>0</v>
      </c>
      <c r="I6" s="192"/>
    </row>
    <row r="7" spans="1:9" x14ac:dyDescent="0.2">
      <c r="A7" s="31">
        <v>2200</v>
      </c>
      <c r="B7" t="s">
        <v>820</v>
      </c>
      <c r="C7" s="206">
        <f t="shared" si="0"/>
        <v>121477.51</v>
      </c>
      <c r="D7" s="19">
        <f>'DOE25'!L204+'DOE25'!L222+'DOE25'!L240-F7-G7-H7</f>
        <v>110568.09</v>
      </c>
      <c r="E7" s="180"/>
      <c r="F7" s="181"/>
      <c r="G7" s="19">
        <f>'DOE25'!J204+'DOE25'!J222+'DOE25'!J240</f>
        <v>0</v>
      </c>
      <c r="H7" s="19">
        <f>'DOE25'!K204+'DOE25'!K222+'DOE25'!K240</f>
        <v>10909.42</v>
      </c>
      <c r="I7" s="192"/>
    </row>
    <row r="8" spans="1:9" x14ac:dyDescent="0.2">
      <c r="A8" s="31">
        <v>2300</v>
      </c>
      <c r="B8" t="s">
        <v>797</v>
      </c>
      <c r="C8" s="206">
        <f t="shared" si="0"/>
        <v>217940.31</v>
      </c>
      <c r="D8" s="180"/>
      <c r="E8" s="19">
        <f>'DOE25'!L205+'DOE25'!L223+'DOE25'!L241-F8-G8-H8-D9-D11</f>
        <v>198150.7</v>
      </c>
      <c r="F8" s="181"/>
      <c r="G8" s="19">
        <f>'DOE25'!J205+'DOE25'!J223+'DOE25'!J241</f>
        <v>0</v>
      </c>
      <c r="H8" s="19">
        <f>'DOE25'!K205+'DOE25'!K223+'DOE25'!K241</f>
        <v>19789.61</v>
      </c>
      <c r="I8" s="192"/>
    </row>
    <row r="9" spans="1:9" ht="14.25" x14ac:dyDescent="0.2">
      <c r="A9" s="31">
        <v>2310</v>
      </c>
      <c r="B9" s="71" t="s">
        <v>887</v>
      </c>
      <c r="C9" s="206">
        <f t="shared" si="0"/>
        <v>102943.67999999999</v>
      </c>
      <c r="D9" s="181">
        <v>102943.67999999999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v>0</v>
      </c>
      <c r="E11" s="180"/>
      <c r="F11" s="180"/>
      <c r="G11" s="180"/>
      <c r="H11" s="180"/>
      <c r="I11" s="192"/>
    </row>
    <row r="12" spans="1:9" x14ac:dyDescent="0.2">
      <c r="A12" s="31">
        <v>2400</v>
      </c>
      <c r="B12" t="s">
        <v>711</v>
      </c>
      <c r="C12" s="206">
        <f t="shared" si="0"/>
        <v>338521.68999999994</v>
      </c>
      <c r="D12" s="19">
        <f>'DOE25'!L206+'DOE25'!L224+'DOE25'!L242-F12-G12-H12</f>
        <v>334174.54999999993</v>
      </c>
      <c r="E12" s="180"/>
      <c r="F12" s="181"/>
      <c r="G12" s="19">
        <f>'DOE25'!J206+'DOE25'!J224+'DOE25'!J242</f>
        <v>199.9</v>
      </c>
      <c r="H12" s="19">
        <f>'DOE25'!K206+'DOE25'!K224+'DOE25'!K242</f>
        <v>4147.24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447210.16</v>
      </c>
      <c r="D14" s="19">
        <f>'DOE25'!L208+'DOE25'!L226+'DOE25'!L244-F14-G14-H14</f>
        <v>432092.14999999997</v>
      </c>
      <c r="E14" s="180"/>
      <c r="F14" s="181"/>
      <c r="G14" s="19">
        <f>'DOE25'!J208+'DOE25'!J226+'DOE25'!J244</f>
        <v>15118.01</v>
      </c>
      <c r="H14" s="19">
        <f>'DOE25'!K208+'DOE25'!K226+'DOE25'!K244</f>
        <v>0</v>
      </c>
      <c r="I14" s="192"/>
    </row>
    <row r="15" spans="1:9" x14ac:dyDescent="0.2">
      <c r="A15" s="31">
        <v>2700</v>
      </c>
      <c r="B15" t="s">
        <v>799</v>
      </c>
      <c r="C15" s="206">
        <f t="shared" si="0"/>
        <v>209001.05999999997</v>
      </c>
      <c r="D15" s="19">
        <f>'DOE25'!L209+'DOE25'!L227+'DOE25'!L245-F15-G15-H15</f>
        <v>24999.999999999971</v>
      </c>
      <c r="E15" s="180"/>
      <c r="F15" s="181">
        <v>184001.06</v>
      </c>
      <c r="G15" s="19">
        <f>'DOE25'!J209+'DOE25'!J227+'DOE25'!J245</f>
        <v>0</v>
      </c>
      <c r="H15" s="19">
        <f>'DOE25'!K209+'DOE25'!K227+'DOE25'!K245</f>
        <v>0</v>
      </c>
      <c r="I15" s="192"/>
    </row>
    <row r="16" spans="1:9" x14ac:dyDescent="0.2">
      <c r="A16" s="31">
        <v>2800</v>
      </c>
      <c r="B16" t="s">
        <v>800</v>
      </c>
      <c r="C16" s="206">
        <f t="shared" si="0"/>
        <v>113615.64</v>
      </c>
      <c r="D16" s="180"/>
      <c r="E16" s="19">
        <f>'DOE25'!L210+'DOE25'!L228+'DOE25'!L246-F16-G16-H16</f>
        <v>111067.64</v>
      </c>
      <c r="F16" s="181"/>
      <c r="G16" s="19">
        <f>'DOE25'!J210+'DOE25'!J228+'DOE25'!J246</f>
        <v>2548</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70369.5</v>
      </c>
      <c r="D25" s="180"/>
      <c r="E25" s="180"/>
      <c r="F25" s="191"/>
      <c r="G25" s="180"/>
      <c r="H25" s="180"/>
      <c r="I25" s="190">
        <f>'DOE25'!L261+'DOE25'!L262+'DOE25'!L342+'DOE25'!L343</f>
        <v>70369.5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34360.559999999998</v>
      </c>
      <c r="D29" s="212">
        <f>'DOE25'!L359+'DOE25'!L360+'DOE25'!L361-'DOE25'!I368-F29-G29-H29-F39</f>
        <v>31262.969999999994</v>
      </c>
      <c r="E29" s="180"/>
      <c r="F29" s="180"/>
      <c r="G29" s="19">
        <f>'DOE25'!J359+'DOE25'!J360+'DOE25'!J361</f>
        <v>3097.59</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835463.27</v>
      </c>
      <c r="D31" s="19">
        <f>'DOE25'!L291+'DOE25'!L310+'DOE25'!L329+'DOE25'!L334+'DOE25'!L335+'DOE25'!L336-F31-G31-H31</f>
        <v>694087.61</v>
      </c>
      <c r="E31" s="180"/>
      <c r="F31" s="181">
        <v>71825</v>
      </c>
      <c r="G31" s="19">
        <f>'DOE25'!J291+'DOE25'!J310+'DOE25'!J329+'DOE25'!J334+'DOE25'!J335+'DOE25'!J336</f>
        <v>50104.89</v>
      </c>
      <c r="H31" s="19">
        <f>'DOE25'!K291+'DOE25'!K310+'DOE25'!K329+'DOE25'!K334+'DOE25'!K335+'DOE25'!K336</f>
        <v>19445.770000000004</v>
      </c>
      <c r="I31" s="192"/>
    </row>
    <row r="32" spans="1:9" ht="12" thickBot="1" x14ac:dyDescent="0.25">
      <c r="C32" s="207"/>
      <c r="G32" s="188"/>
      <c r="H32" s="188"/>
      <c r="I32" s="194"/>
    </row>
    <row r="33" spans="1:9" ht="12" thickTop="1" x14ac:dyDescent="0.2">
      <c r="B33" t="s">
        <v>809</v>
      </c>
      <c r="D33" s="182">
        <f t="shared" ref="D33:I33" si="1">SUM(D5:D31)</f>
        <v>6365502.0399999991</v>
      </c>
      <c r="E33" s="182">
        <f t="shared" si="1"/>
        <v>309218.34000000003</v>
      </c>
      <c r="F33" s="182">
        <f t="shared" si="1"/>
        <v>255826.06</v>
      </c>
      <c r="G33" s="182">
        <f t="shared" si="1"/>
        <v>82123.740000000005</v>
      </c>
      <c r="H33" s="182">
        <f t="shared" si="1"/>
        <v>56717.04</v>
      </c>
      <c r="I33" s="182">
        <f t="shared" si="1"/>
        <v>70369.5</v>
      </c>
    </row>
    <row r="34" spans="1:9" ht="12" thickBot="1" x14ac:dyDescent="0.25"/>
    <row r="35" spans="1:9" ht="12" thickBot="1" x14ac:dyDescent="0.25">
      <c r="B35" s="188" t="s">
        <v>830</v>
      </c>
      <c r="D35" s="189">
        <f>E33</f>
        <v>309218.34000000003</v>
      </c>
      <c r="E35" s="185"/>
      <c r="F35" s="295" t="s">
        <v>1608</v>
      </c>
      <c r="G35" s="296"/>
      <c r="H35" s="296"/>
      <c r="I35" s="297"/>
    </row>
    <row r="36" spans="1:9" ht="12" thickTop="1" x14ac:dyDescent="0.2">
      <c r="B36" t="s">
        <v>810</v>
      </c>
      <c r="D36" s="19">
        <f>D33</f>
        <v>6365502.0399999991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42552.74</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B35" sqref="B35"/>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24.1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Lisbon Regional</v>
      </c>
      <c r="B2">
        <f>'DOE25'!B2</f>
        <v>306</v>
      </c>
      <c r="J2" s="224" t="s">
        <v>1808</v>
      </c>
      <c r="K2" s="309">
        <f>SUM('DOE25'!L198:L201)+SUM('DOE25'!L216:L219)+SUM('DOE25'!L234:L237)+SUM('DOE25'!L277:L280)+SUM('DOE25'!L296:L299)+SUM('DOE25'!L315:L318)</f>
        <v>4871477.87</v>
      </c>
      <c r="L2" s="309">
        <f>'DOE25'!L203+'DOE25'!L221+'DOE25'!L239+'DOE25'!L282+'DOE25'!L301+'DOE25'!L320</f>
        <v>477678.1700000001</v>
      </c>
      <c r="M2" s="309">
        <f>'DOE25'!L204+'DOE25'!L222+'DOE25'!L240+'DOE25'!L283+'DOE25'!L302+'DOE25'!L321</f>
        <v>128691.23</v>
      </c>
      <c r="N2" s="309">
        <f>'DOE25'!L206+'DOE25'!L224+'DOE25'!L242+'DOE25'!L285+'DOE25'!L304+'DOE25'!L323</f>
        <v>338521.68999999994</v>
      </c>
      <c r="O2" s="309">
        <f>'Salaries-Benefits'!B10+'Salaries-Benefits'!B12+'Salaries-Benefits'!B19+'Salaries-Benefits'!B21+'Salaries-Benefits'!B28+'Salaries-Benefits'!B30+'Salaries-Benefits'!B37+'Salaries-Benefits'!B39</f>
        <v>2326485.88</v>
      </c>
      <c r="P2" s="309">
        <f>'Salaries-Benefits'!B11+'Salaries-Benefits'!B20+'Salaries-Benefits'!B29+'Salaries-Benefits'!B38</f>
        <v>341292.33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-4871477.87</v>
      </c>
      <c r="L3" s="311">
        <f t="shared" ref="L3:P3" si="0">L21+L33+L43-L2</f>
        <v>-477678.1700000001</v>
      </c>
      <c r="M3" s="311">
        <f t="shared" si="0"/>
        <v>-128691.23</v>
      </c>
      <c r="N3" s="311">
        <f t="shared" si="0"/>
        <v>-338521.68999999994</v>
      </c>
      <c r="O3" s="311">
        <f t="shared" si="0"/>
        <v>-2326485.88</v>
      </c>
      <c r="P3" s="311">
        <f t="shared" si="0"/>
        <v>-341292.33</v>
      </c>
      <c r="Q3" s="310"/>
      <c r="R3" s="306"/>
      <c r="S3" s="215"/>
      <c r="T3" s="215"/>
      <c r="U3" s="216"/>
    </row>
    <row r="4" spans="1:21" ht="55.5" customHeight="1" thickBot="1" x14ac:dyDescent="0.25">
      <c r="A4" s="224" t="s">
        <v>1522</v>
      </c>
      <c r="B4" s="224" t="s">
        <v>1523</v>
      </c>
      <c r="C4" s="224" t="s">
        <v>896</v>
      </c>
      <c r="D4" s="224" t="s">
        <v>786</v>
      </c>
      <c r="E4" s="224" t="s">
        <v>786</v>
      </c>
      <c r="F4" s="228">
        <f>SUM(F5:F20)</f>
        <v>3020218.11</v>
      </c>
      <c r="G4" s="229">
        <f>'DOE25'!L212+'DOE25'!L291</f>
        <v>3020218.11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40016.5</v>
      </c>
      <c r="E5" s="220"/>
      <c r="F5" s="232">
        <f>D5+E5</f>
        <v>40016.5</v>
      </c>
      <c r="G5" s="223"/>
      <c r="H5" s="223"/>
      <c r="J5" s="223"/>
      <c r="K5" s="223"/>
      <c r="L5" s="223"/>
      <c r="M5" s="223"/>
      <c r="N5" s="223"/>
      <c r="O5" s="223"/>
      <c r="P5" s="223"/>
      <c r="Q5" s="223"/>
    </row>
    <row r="6" spans="1:21" x14ac:dyDescent="0.2">
      <c r="A6" t="str" cm="1">
        <f t="array" ref="A6">IFERROR(INDEX('School Tables'!$A$4:$G$325,'School Tables'!$J4,3),"")</f>
        <v>Lisbon Regional School (Elem)</v>
      </c>
      <c r="B6" s="230">
        <f>IFERROR(VLOOKUP(A6,'School Tables'!$C$3:$D$365,2,FALSE),"")</f>
        <v>21420</v>
      </c>
      <c r="C6" s="223" t="str">
        <f>IFERROR(INDEX('School Tables'!$B$3:$B$365,MATCH('School Level Expenditures'!B6,'School Tables'!$D$3:$D$365,0)),"")</f>
        <v>Lisbon Regional</v>
      </c>
      <c r="D6" s="220">
        <v>2349263.02</v>
      </c>
      <c r="E6" s="220">
        <v>630938.59</v>
      </c>
      <c r="F6" s="232">
        <f t="shared" ref="F6:F20" si="1">D6+E6</f>
        <v>2980201.61</v>
      </c>
      <c r="G6" s="223"/>
      <c r="H6" s="223"/>
      <c r="J6" t="str">
        <f>A6</f>
        <v>Lisbon Regional School (Elem)</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2389279.52</v>
      </c>
      <c r="E21" s="262">
        <f>SUM(E5:E20)</f>
        <v>630938.59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1390671.79</v>
      </c>
      <c r="G24" s="229">
        <f>'DOE25'!L230+'DOE25'!L310</f>
        <v>1390671.7899999998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51606.59</v>
      </c>
      <c r="E25" s="220"/>
      <c r="F25" s="232">
        <f>D25+E25</f>
        <v>51606.59</v>
      </c>
      <c r="G25" s="223"/>
      <c r="H25" s="223"/>
      <c r="J25" s="223"/>
      <c r="K25" s="223"/>
      <c r="L25" s="224"/>
      <c r="M25" s="223"/>
      <c r="N25" s="223"/>
      <c r="O25" s="223"/>
      <c r="P25" s="223"/>
      <c r="Q25" s="223"/>
    </row>
    <row r="26" spans="1:17" x14ac:dyDescent="0.2">
      <c r="A26" t="str" cm="1">
        <f t="array" ref="A26">IFERROR(INDEX('School Tables'!$L$4:$R$75,'School Tables'!$U4,3),"")</f>
        <v>Lisbon Regional School (Middle)</v>
      </c>
      <c r="B26" s="230">
        <f>IFERROR(VLOOKUP(A26,'School Tables'!$N$4:$O$75,2,FALSE),"")</f>
        <v>23095</v>
      </c>
      <c r="C26" s="223" t="str">
        <f>IFERROR(INDEX('School Tables'!$M$4:$M$75,MATCH('School Level Expenditures'!A26,'School Tables'!$N$4:$N$75,0)),"")</f>
        <v>Lisbon Regional</v>
      </c>
      <c r="D26" s="220">
        <v>1270286.19</v>
      </c>
      <c r="E26" s="220">
        <v>68779.009999999995</v>
      </c>
      <c r="F26" s="232">
        <f t="shared" ref="F26:F32" si="4">D26+E26</f>
        <v>1339065.2</v>
      </c>
      <c r="G26" s="223"/>
      <c r="H26" s="223"/>
      <c r="J26" t="str">
        <f t="shared" ref="J26:J32" si="5">A26</f>
        <v>Lisbon Regional School (Middle)</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1321892.78</v>
      </c>
      <c r="E33" s="262">
        <f>SUM(E25:E32)</f>
        <v>68779.009999999995</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2624136.7600000002</v>
      </c>
      <c r="G36" s="229">
        <f>'DOE25'!L248+'DOE25'!L329</f>
        <v>2624136.7599999998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482308.48</v>
      </c>
      <c r="E37" s="220"/>
      <c r="F37" s="232">
        <f t="shared" ref="F37:F42" si="7">D37+E37</f>
        <v>482308.48</v>
      </c>
      <c r="G37" s="223"/>
      <c r="H37" s="223"/>
      <c r="J37" s="223"/>
      <c r="K37" s="223"/>
      <c r="L37" s="224"/>
      <c r="M37" s="223"/>
      <c r="N37" s="223"/>
      <c r="O37" s="223"/>
      <c r="P37" s="223"/>
      <c r="Q37" s="223"/>
    </row>
    <row r="38" spans="1:18" x14ac:dyDescent="0.2">
      <c r="A38" t="str" cm="1">
        <f t="array" ref="A38">IFERROR(INDEX('School Tables'!$W$4:$AC$100,'School Tables'!$AF4,3),"")</f>
        <v>Lisbon Regional School (High)</v>
      </c>
      <c r="B38" s="230">
        <f>IFERROR(VLOOKUP(A38,'School Tables'!$Y$4:$Z$100,2,FALSE),"")</f>
        <v>23100</v>
      </c>
      <c r="C38" s="223" t="str">
        <f>IFERROR(INDEX('School Tables'!$X$4:$X$100,MATCH('School Level Expenditures'!A38,'School Tables'!$Y$4:$Y$100,0)),"")</f>
        <v>Lisbon Regional</v>
      </c>
      <c r="D38" s="220">
        <v>2006082.61</v>
      </c>
      <c r="E38" s="220">
        <v>135745.67000000001</v>
      </c>
      <c r="F38" s="232">
        <f t="shared" si="7"/>
        <v>2141828.2800000003</v>
      </c>
      <c r="G38" s="223"/>
      <c r="H38" s="223"/>
      <c r="J38" t="str">
        <f t="shared" ref="J38:J42" si="8">A38</f>
        <v>Lisbon Regional School (High)</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2488391.09</v>
      </c>
      <c r="E43" s="263">
        <f>SUM(E37:E42)</f>
        <v>135745.67000000001</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 zoomScale="80" zoomScaleNormal="80" workbookViewId="0">
      <selection activeCell="J12" sqref="J1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Lisbon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536857.56999999995</v>
      </c>
      <c r="D8" s="73">
        <f>'DOE25'!G9</f>
        <v>0</v>
      </c>
      <c r="E8" s="73">
        <f>'DOE25'!H9</f>
        <v>0</v>
      </c>
      <c r="F8" s="73">
        <f>'DOE25'!I9</f>
        <v>0</v>
      </c>
      <c r="G8" s="73">
        <f>'DOE25'!J9</f>
        <v>0</v>
      </c>
      <c r="H8" s="13">
        <f>SUM(C8:G8)</f>
        <v>536857.56999999995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86839.2</v>
      </c>
      <c r="E11" s="73">
        <f>'DOE25'!H12</f>
        <v>78765.89</v>
      </c>
      <c r="F11" s="73">
        <f>'DOE25'!I12</f>
        <v>0</v>
      </c>
      <c r="G11" s="73">
        <f>'DOE25'!J12</f>
        <v>0</v>
      </c>
      <c r="H11" s="13">
        <f t="shared" si="0"/>
        <v>165605.09</v>
      </c>
      <c r="I11" s="90"/>
    </row>
    <row r="12" spans="1:9" x14ac:dyDescent="0.2">
      <c r="A12" s="1" t="s">
        <v>143</v>
      </c>
      <c r="B12" s="6">
        <v>140</v>
      </c>
      <c r="C12" s="73">
        <f>'DOE25'!F13</f>
        <v>0</v>
      </c>
      <c r="D12" s="73">
        <f>'DOE25'!G13</f>
        <v>14278.35</v>
      </c>
      <c r="E12" s="73">
        <f>'DOE25'!H13</f>
        <v>57446.6</v>
      </c>
      <c r="F12" s="73">
        <f>'DOE25'!I13</f>
        <v>0</v>
      </c>
      <c r="G12" s="73">
        <f>'DOE25'!J13</f>
        <v>407275.13</v>
      </c>
      <c r="H12" s="13">
        <f t="shared" si="0"/>
        <v>479000.08</v>
      </c>
      <c r="I12" s="90"/>
    </row>
    <row r="13" spans="1:9" x14ac:dyDescent="0.2">
      <c r="A13" s="1" t="s">
        <v>144</v>
      </c>
      <c r="B13" s="6">
        <v>150</v>
      </c>
      <c r="C13" s="73">
        <f>'DOE25'!F14</f>
        <v>249.88</v>
      </c>
      <c r="D13" s="73">
        <f>'DOE25'!G14</f>
        <v>1324.46</v>
      </c>
      <c r="E13" s="73">
        <f>'DOE25'!H14</f>
        <v>4175.4399999999996</v>
      </c>
      <c r="F13" s="73">
        <f>'DOE25'!I14</f>
        <v>0</v>
      </c>
      <c r="G13" s="73">
        <f>'DOE25'!J14</f>
        <v>0</v>
      </c>
      <c r="H13" s="13">
        <f t="shared" si="0"/>
        <v>5749.78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14570.01</v>
      </c>
      <c r="F16" s="73">
        <f>'DOE25'!I17</f>
        <v>0</v>
      </c>
      <c r="G16" s="73">
        <f>'DOE25'!J17</f>
        <v>0</v>
      </c>
      <c r="H16" s="13">
        <f t="shared" si="0"/>
        <v>14570.01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537107.44999999995</v>
      </c>
      <c r="D18" s="38">
        <f>SUM(D8:D17)</f>
        <v>102442.01000000001</v>
      </c>
      <c r="E18" s="38">
        <f>SUM(E8:E17)</f>
        <v>154957.94</v>
      </c>
      <c r="F18" s="38">
        <f>SUM(F8:F17)</f>
        <v>0</v>
      </c>
      <c r="G18" s="38">
        <f>SUM(G8:G17)</f>
        <v>407275.13</v>
      </c>
      <c r="H18" s="38">
        <f t="shared" si="0"/>
        <v>1201782.5299999998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111696.35</v>
      </c>
      <c r="D21" s="73">
        <f>'DOE25'!G22</f>
        <v>0</v>
      </c>
      <c r="E21" s="73">
        <f>'DOE25'!H22</f>
        <v>53908.74</v>
      </c>
      <c r="F21" s="73">
        <f>'DOE25'!I22</f>
        <v>0</v>
      </c>
      <c r="G21" s="73">
        <f>'DOE25'!J22</f>
        <v>0</v>
      </c>
      <c r="H21" s="13">
        <f t="shared" ref="H21:H31" si="1">SUM(C21:G21)</f>
        <v>165605.09</v>
      </c>
      <c r="I21" s="90"/>
    </row>
    <row r="22" spans="1:9" x14ac:dyDescent="0.2">
      <c r="A22" s="1" t="s">
        <v>151</v>
      </c>
      <c r="B22" s="6">
        <v>410</v>
      </c>
      <c r="C22" s="73">
        <f>'DOE25'!F23</f>
        <v>0</v>
      </c>
      <c r="D22" s="73">
        <f>'DOE25'!G23</f>
        <v>7661.28</v>
      </c>
      <c r="E22" s="73">
        <f>'DOE25'!H23</f>
        <v>0</v>
      </c>
      <c r="F22" s="73">
        <f>'DOE25'!I23</f>
        <v>0</v>
      </c>
      <c r="G22" s="73">
        <f>'DOE25'!J23</f>
        <v>0</v>
      </c>
      <c r="H22" s="13">
        <f t="shared" si="1"/>
        <v>7661.28</v>
      </c>
      <c r="I22" s="90"/>
    </row>
    <row r="23" spans="1:9" x14ac:dyDescent="0.2">
      <c r="A23" s="1" t="s">
        <v>152</v>
      </c>
      <c r="B23" s="6">
        <v>420</v>
      </c>
      <c r="C23" s="73">
        <f>'DOE25'!F24</f>
        <v>14015.43</v>
      </c>
      <c r="D23" s="73">
        <f>'DOE25'!G24</f>
        <v>0</v>
      </c>
      <c r="E23" s="73">
        <f>'DOE25'!H24</f>
        <v>3537.86</v>
      </c>
      <c r="F23" s="73">
        <f>'DOE25'!I24</f>
        <v>0</v>
      </c>
      <c r="G23" s="73">
        <f>'DOE25'!J24</f>
        <v>0</v>
      </c>
      <c r="H23" s="13">
        <f t="shared" si="1"/>
        <v>17553.29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11373.3</v>
      </c>
      <c r="E29" s="73">
        <f>'DOE25'!H30</f>
        <v>82941.33</v>
      </c>
      <c r="F29" s="73">
        <f>'DOE25'!I30</f>
        <v>0</v>
      </c>
      <c r="G29" s="23" t="s">
        <v>288</v>
      </c>
      <c r="H29" s="13">
        <f t="shared" si="1"/>
        <v>94314.63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125711.78</v>
      </c>
      <c r="D31" s="38">
        <f>SUM(D21:D30)</f>
        <v>19034.579999999998</v>
      </c>
      <c r="E31" s="38">
        <f>SUM(E21:E30)</f>
        <v>140387.93</v>
      </c>
      <c r="F31" s="38">
        <f>SUM(F21:F30)</f>
        <v>0</v>
      </c>
      <c r="G31" s="38">
        <f>SUM(G21:G30)</f>
        <v>0</v>
      </c>
      <c r="H31" s="38">
        <f t="shared" si="1"/>
        <v>285134.28999999998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14570.01</v>
      </c>
      <c r="F35" s="73">
        <f>'DOE25'!I36</f>
        <v>0</v>
      </c>
      <c r="G35" s="23" t="s">
        <v>288</v>
      </c>
      <c r="H35" s="13">
        <f t="shared" si="2"/>
        <v>14570.01</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83407.429999999993</v>
      </c>
      <c r="E39" s="23" t="s">
        <v>288</v>
      </c>
      <c r="F39" s="23" t="s">
        <v>288</v>
      </c>
      <c r="G39" s="23" t="s">
        <v>288</v>
      </c>
      <c r="H39" s="13">
        <f t="shared" si="2"/>
        <v>83407.429999999993</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407275.13</v>
      </c>
      <c r="H42" s="13">
        <f t="shared" si="2"/>
        <v>407275.13</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85000</v>
      </c>
      <c r="D45" s="23" t="s">
        <v>288</v>
      </c>
      <c r="E45" s="23" t="s">
        <v>288</v>
      </c>
      <c r="F45" s="23" t="s">
        <v>288</v>
      </c>
      <c r="G45" s="23" t="s">
        <v>288</v>
      </c>
      <c r="H45" s="13">
        <f t="shared" si="2"/>
        <v>85000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t="str">
        <f>'DOE25'!F49</f>
        <v xml:space="preserve"> </v>
      </c>
      <c r="D48" s="73">
        <f>'DOE25'!G49</f>
        <v>0</v>
      </c>
      <c r="E48" s="73">
        <f>'DOE25'!H49</f>
        <v>0</v>
      </c>
      <c r="F48" s="73">
        <f>'DOE25'!I49</f>
        <v>0</v>
      </c>
      <c r="G48" s="73">
        <f>'DOE25'!J49</f>
        <v>0</v>
      </c>
      <c r="H48" s="13">
        <f t="shared" si="2"/>
        <v>0</v>
      </c>
      <c r="I48" s="90"/>
    </row>
    <row r="49" spans="1:9" ht="12" thickBot="1" x14ac:dyDescent="0.25">
      <c r="A49" s="28" t="s">
        <v>882</v>
      </c>
      <c r="B49" s="56">
        <v>770</v>
      </c>
      <c r="C49" s="73">
        <f>'DOE25'!F50</f>
        <v>326395.67</v>
      </c>
      <c r="D49" s="23" t="s">
        <v>288</v>
      </c>
      <c r="E49" s="23" t="s">
        <v>288</v>
      </c>
      <c r="F49" s="23" t="s">
        <v>288</v>
      </c>
      <c r="G49" s="23" t="s">
        <v>288</v>
      </c>
      <c r="H49" s="13">
        <f t="shared" si="2"/>
        <v>326395.67</v>
      </c>
      <c r="I49" s="90"/>
    </row>
    <row r="50" spans="1:9" ht="12.75" thickTop="1" thickBot="1" x14ac:dyDescent="0.25">
      <c r="A50" s="35" t="s">
        <v>883</v>
      </c>
      <c r="B50" s="44"/>
      <c r="C50" s="38">
        <f>SUM(C34:C49)</f>
        <v>411395.67</v>
      </c>
      <c r="D50" s="38">
        <f>SUM(D34:D49)</f>
        <v>83407.429999999993</v>
      </c>
      <c r="E50" s="38">
        <f>SUM(E34:E49)</f>
        <v>14570.01</v>
      </c>
      <c r="F50" s="38">
        <f>SUM(F34:F49)</f>
        <v>0</v>
      </c>
      <c r="G50" s="38">
        <f>SUM(G34:G49)</f>
        <v>407275.13</v>
      </c>
      <c r="H50" s="38">
        <f t="shared" si="2"/>
        <v>916648.24</v>
      </c>
      <c r="I50" s="90"/>
    </row>
    <row r="51" spans="1:9" ht="12" thickTop="1" x14ac:dyDescent="0.2">
      <c r="A51" s="35" t="s">
        <v>884</v>
      </c>
      <c r="B51" s="2"/>
      <c r="C51" s="38">
        <f>C50+C31</f>
        <v>537107.44999999995</v>
      </c>
      <c r="D51" s="38">
        <f>D50+D31</f>
        <v>102442.01</v>
      </c>
      <c r="E51" s="38">
        <f>E50+E31</f>
        <v>154957.94</v>
      </c>
      <c r="F51" s="38">
        <f>F50+F31</f>
        <v>0</v>
      </c>
      <c r="G51" s="38">
        <f>G50+G31</f>
        <v>407275.13</v>
      </c>
      <c r="H51" s="38">
        <f t="shared" si="2"/>
        <v>1201782.5299999998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3194051</v>
      </c>
      <c r="D56" s="73">
        <f>'DOE25'!G60</f>
        <v>0</v>
      </c>
      <c r="E56" s="73">
        <f>'DOE25'!H60</f>
        <v>0</v>
      </c>
      <c r="F56" s="73">
        <f>'DOE25'!I60</f>
        <v>0</v>
      </c>
      <c r="G56" s="73">
        <f>'DOE25'!J60</f>
        <v>0</v>
      </c>
      <c r="H56" s="13">
        <f t="shared" ref="H56:H63" si="3">SUM(C56:G56)</f>
        <v>3194051</v>
      </c>
      <c r="I56"/>
    </row>
    <row r="57" spans="1:9" x14ac:dyDescent="0.2">
      <c r="A57" s="1" t="s">
        <v>164</v>
      </c>
      <c r="B57" s="6" t="s">
        <v>165</v>
      </c>
      <c r="C57" s="73">
        <f>'DOE25'!F79</f>
        <v>436400</v>
      </c>
      <c r="D57" s="23" t="s">
        <v>288</v>
      </c>
      <c r="E57" s="73">
        <f>'DOE25'!H79</f>
        <v>0</v>
      </c>
      <c r="F57" s="23" t="s">
        <v>288</v>
      </c>
      <c r="G57" s="23" t="s">
        <v>288</v>
      </c>
      <c r="H57" s="13">
        <f t="shared" si="3"/>
        <v>436400</v>
      </c>
      <c r="I57"/>
    </row>
    <row r="58" spans="1:9" x14ac:dyDescent="0.2">
      <c r="A58" s="1" t="s">
        <v>166</v>
      </c>
      <c r="B58" s="6" t="s">
        <v>167</v>
      </c>
      <c r="C58" s="73">
        <f>'DOE25'!F94</f>
        <v>4200</v>
      </c>
      <c r="D58" s="23" t="s">
        <v>288</v>
      </c>
      <c r="E58" s="73">
        <f>'DOE25'!H94</f>
        <v>0</v>
      </c>
      <c r="F58" s="23" t="s">
        <v>288</v>
      </c>
      <c r="G58" s="23" t="s">
        <v>288</v>
      </c>
      <c r="H58" s="13">
        <f t="shared" si="3"/>
        <v>4200</v>
      </c>
      <c r="I58"/>
    </row>
    <row r="59" spans="1:9" x14ac:dyDescent="0.2">
      <c r="A59" s="1" t="s">
        <v>168</v>
      </c>
      <c r="B59" s="6" t="s">
        <v>169</v>
      </c>
      <c r="C59" s="73">
        <f>'DOE25'!F96</f>
        <v>9114.19</v>
      </c>
      <c r="D59" s="73">
        <f>'DOE25'!G96</f>
        <v>0</v>
      </c>
      <c r="E59" s="73">
        <f>'DOE25'!H96</f>
        <v>0</v>
      </c>
      <c r="F59" s="73">
        <f>'DOE25'!I96</f>
        <v>0</v>
      </c>
      <c r="G59" s="73">
        <f>'DOE25'!J96</f>
        <v>509.76</v>
      </c>
      <c r="H59" s="13">
        <f t="shared" si="3"/>
        <v>9623.9500000000007</v>
      </c>
      <c r="I59"/>
    </row>
    <row r="60" spans="1:9" x14ac:dyDescent="0.2">
      <c r="A60" s="1" t="s">
        <v>170</v>
      </c>
      <c r="B60" s="22" t="s">
        <v>171</v>
      </c>
      <c r="C60" s="23" t="s">
        <v>288</v>
      </c>
      <c r="D60" s="73">
        <f>'DOE25'!G97</f>
        <v>49672.34</v>
      </c>
      <c r="E60" s="23" t="s">
        <v>288</v>
      </c>
      <c r="F60" s="23" t="s">
        <v>288</v>
      </c>
      <c r="G60" s="23" t="s">
        <v>288</v>
      </c>
      <c r="H60" s="13">
        <f t="shared" si="3"/>
        <v>49672.34</v>
      </c>
      <c r="I60"/>
    </row>
    <row r="61" spans="1:9" ht="12" thickBot="1" x14ac:dyDescent="0.25">
      <c r="A61" s="1" t="s">
        <v>172</v>
      </c>
      <c r="B61" s="22" t="s">
        <v>173</v>
      </c>
      <c r="C61" s="73">
        <f>SUM('DOE25'!F98:F110)</f>
        <v>19468.96</v>
      </c>
      <c r="D61" s="73">
        <f>SUM('DOE25'!G98:G110)</f>
        <v>0</v>
      </c>
      <c r="E61" s="73">
        <f>SUM('DOE25'!H98:H110)</f>
        <v>0</v>
      </c>
      <c r="F61" s="73">
        <f>SUM('DOE25'!I98:I110)</f>
        <v>0</v>
      </c>
      <c r="G61" s="73">
        <f>SUM('DOE25'!J98:J110)</f>
        <v>0</v>
      </c>
      <c r="H61" s="13">
        <f t="shared" si="3"/>
        <v>19468.96</v>
      </c>
      <c r="I61"/>
    </row>
    <row r="62" spans="1:9" ht="12.75" thickTop="1" thickBot="1" x14ac:dyDescent="0.25">
      <c r="A62" s="28" t="s">
        <v>174</v>
      </c>
      <c r="B62" s="6"/>
      <c r="C62" s="93">
        <f>SUM(C57:C61)</f>
        <v>469183.15</v>
      </c>
      <c r="D62" s="93">
        <f>SUM(D57:D61)</f>
        <v>49672.34</v>
      </c>
      <c r="E62" s="93">
        <f>SUM(E57:E61)</f>
        <v>0</v>
      </c>
      <c r="F62" s="93">
        <f>SUM(F57:F61)</f>
        <v>0</v>
      </c>
      <c r="G62" s="93">
        <f>SUM(G57:G61)</f>
        <v>509.76</v>
      </c>
      <c r="H62" s="13">
        <f t="shared" si="3"/>
        <v>519365.25</v>
      </c>
      <c r="I62"/>
    </row>
    <row r="63" spans="1:9" ht="12" thickTop="1" x14ac:dyDescent="0.2">
      <c r="A63" s="28" t="s">
        <v>175</v>
      </c>
      <c r="B63" s="6"/>
      <c r="C63" s="21">
        <f>C56+C62</f>
        <v>3663234.15</v>
      </c>
      <c r="D63" s="21">
        <f>D56+D62</f>
        <v>49672.34</v>
      </c>
      <c r="E63" s="21">
        <f>E56+E62</f>
        <v>0</v>
      </c>
      <c r="F63" s="21">
        <f>F56+F62</f>
        <v>0</v>
      </c>
      <c r="G63" s="21">
        <f>G56+G62</f>
        <v>509.76</v>
      </c>
      <c r="H63" s="13">
        <f t="shared" si="3"/>
        <v>3713416.2499999995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2298846.09</v>
      </c>
      <c r="D66" s="23" t="s">
        <v>288</v>
      </c>
      <c r="E66" s="23" t="s">
        <v>288</v>
      </c>
      <c r="F66" s="23" t="s">
        <v>288</v>
      </c>
      <c r="G66" s="23" t="s">
        <v>288</v>
      </c>
      <c r="H66" s="13">
        <f t="shared" ref="H66:H81" si="4">SUM(C66:G66)</f>
        <v>2298846.09</v>
      </c>
      <c r="I66"/>
    </row>
    <row r="67" spans="1:9" x14ac:dyDescent="0.2">
      <c r="A67" s="1" t="s">
        <v>770</v>
      </c>
      <c r="B67" s="6">
        <v>3112</v>
      </c>
      <c r="C67" s="73">
        <f>'DOE25'!F118</f>
        <v>252264</v>
      </c>
      <c r="D67" s="23"/>
      <c r="E67" s="23"/>
      <c r="F67" s="23"/>
      <c r="G67" s="23"/>
      <c r="H67" s="13">
        <f t="shared" si="4"/>
        <v>252264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39417.599999999999</v>
      </c>
      <c r="D69" s="73">
        <f>'DOE25'!G120</f>
        <v>0</v>
      </c>
      <c r="E69" s="73">
        <f>'DOE25'!H120</f>
        <v>0</v>
      </c>
      <c r="F69" s="73">
        <f>'DOE25'!I120</f>
        <v>0</v>
      </c>
      <c r="G69" s="73">
        <f>'DOE25'!J120</f>
        <v>0</v>
      </c>
      <c r="H69" s="13">
        <f t="shared" si="4"/>
        <v>39417.599999999999</v>
      </c>
      <c r="I69"/>
    </row>
    <row r="70" spans="1:9" ht="12" thickTop="1" x14ac:dyDescent="0.2">
      <c r="A70" s="28" t="s">
        <v>252</v>
      </c>
      <c r="B70" s="2"/>
      <c r="C70" s="97">
        <f>SUM(C66:C69)</f>
        <v>2590527.69</v>
      </c>
      <c r="D70" s="97">
        <f>D69</f>
        <v>0</v>
      </c>
      <c r="E70" s="97">
        <f>E69</f>
        <v>0</v>
      </c>
      <c r="F70" s="97">
        <f>F69</f>
        <v>0</v>
      </c>
      <c r="G70" s="97">
        <f>G69</f>
        <v>0</v>
      </c>
      <c r="H70" s="13">
        <f t="shared" si="4"/>
        <v>2590527.69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t="str">
        <f>'DOE25'!F126</f>
        <v xml:space="preserve"> </v>
      </c>
      <c r="D75" s="23" t="s">
        <v>288</v>
      </c>
      <c r="E75" s="23" t="s">
        <v>288</v>
      </c>
      <c r="F75" s="23" t="s">
        <v>288</v>
      </c>
      <c r="G75" s="23" t="s">
        <v>288</v>
      </c>
      <c r="H75" s="13">
        <f t="shared" si="4"/>
        <v>0</v>
      </c>
      <c r="I75"/>
    </row>
    <row r="76" spans="1:9" x14ac:dyDescent="0.2">
      <c r="A76" s="1" t="s">
        <v>257</v>
      </c>
      <c r="B76" s="6" t="s">
        <v>179</v>
      </c>
      <c r="C76" s="73">
        <f>SUM('DOE25'!F127:F130)</f>
        <v>8797.7999999999993</v>
      </c>
      <c r="D76" s="23" t="s">
        <v>288</v>
      </c>
      <c r="E76" s="73">
        <f>SUM('DOE25'!H127:H130)</f>
        <v>0</v>
      </c>
      <c r="F76" s="73">
        <f>SUM('DOE25'!I127:I130)</f>
        <v>0</v>
      </c>
      <c r="G76" s="23" t="s">
        <v>288</v>
      </c>
      <c r="H76" s="13">
        <f t="shared" si="4"/>
        <v>8797.7999999999993</v>
      </c>
      <c r="I76"/>
    </row>
    <row r="77" spans="1:9" ht="12" thickBot="1" x14ac:dyDescent="0.25">
      <c r="A77" s="1" t="s">
        <v>258</v>
      </c>
      <c r="B77" s="6" t="s">
        <v>180</v>
      </c>
      <c r="C77" s="73">
        <f>SUM('DOE25'!F131:F135)</f>
        <v>320</v>
      </c>
      <c r="D77" s="73">
        <f>SUM('DOE25'!G131:G135)</f>
        <v>2360.77</v>
      </c>
      <c r="E77" s="73">
        <f>SUM('DOE25'!H131:H135)</f>
        <v>140605.29</v>
      </c>
      <c r="F77" s="73">
        <f>SUM('DOE25'!I131:I135)</f>
        <v>0</v>
      </c>
      <c r="G77" s="73">
        <f>SUM('DOE25'!J131:J135)</f>
        <v>0</v>
      </c>
      <c r="H77" s="13">
        <f t="shared" si="4"/>
        <v>143286.06</v>
      </c>
      <c r="I77"/>
    </row>
    <row r="78" spans="1:9" ht="12.75" thickTop="1" thickBot="1" x14ac:dyDescent="0.25">
      <c r="A78" s="28" t="s">
        <v>259</v>
      </c>
      <c r="B78" s="6"/>
      <c r="C78" s="93">
        <f>SUM(C72:C77)</f>
        <v>9117.7999999999993</v>
      </c>
      <c r="D78" s="93">
        <f>SUM(D72:D77)</f>
        <v>2360.77</v>
      </c>
      <c r="E78" s="93">
        <f>SUM(E72:E77)</f>
        <v>140605.29</v>
      </c>
      <c r="F78" s="93">
        <f>SUM(F72:F77)</f>
        <v>0</v>
      </c>
      <c r="G78" s="93">
        <f>SUM(G72:G77)</f>
        <v>0</v>
      </c>
      <c r="H78" s="13">
        <f t="shared" si="4"/>
        <v>152083.86000000002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2599645.4899999998</v>
      </c>
      <c r="D81" s="93">
        <f>SUM(D79:D80)+D78+D70</f>
        <v>2360.77</v>
      </c>
      <c r="E81" s="93">
        <f>SUM(E79:E80)+E78+E70</f>
        <v>140605.29</v>
      </c>
      <c r="F81" s="93">
        <f>SUM(F79:F80)+F78+F70</f>
        <v>0</v>
      </c>
      <c r="G81" s="93">
        <f>SUM(G79:G80)+G78+G70</f>
        <v>0</v>
      </c>
      <c r="H81" s="93">
        <f t="shared" si="4"/>
        <v>2742611.55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7213.72</v>
      </c>
      <c r="F87" s="73">
        <f>SUM('DOE25'!I149:I152)</f>
        <v>0</v>
      </c>
      <c r="G87" s="23" t="s">
        <v>288</v>
      </c>
      <c r="H87" s="13">
        <f t="shared" si="5"/>
        <v>7213.72</v>
      </c>
    </row>
    <row r="88" spans="1:9" x14ac:dyDescent="0.2">
      <c r="A88" s="217" t="s">
        <v>747</v>
      </c>
      <c r="B88" s="231" t="s">
        <v>184</v>
      </c>
      <c r="C88" s="253">
        <f>SUM('DOE25'!F153:F162)</f>
        <v>38807.68</v>
      </c>
      <c r="D88" s="253">
        <f>SUM('DOE25'!G153:G162)</f>
        <v>88931.32</v>
      </c>
      <c r="E88" s="253">
        <f>SUM('DOE25'!H153:H162)</f>
        <v>702214.27</v>
      </c>
      <c r="F88" s="253">
        <f>SUM('DOE25'!I153:I162)</f>
        <v>0</v>
      </c>
      <c r="G88" s="23" t="s">
        <v>288</v>
      </c>
      <c r="H88" s="13">
        <f t="shared" si="5"/>
        <v>829953.27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608.36</v>
      </c>
      <c r="D90" s="23" t="s">
        <v>288</v>
      </c>
      <c r="E90" s="23" t="s">
        <v>288</v>
      </c>
      <c r="F90" s="23" t="s">
        <v>288</v>
      </c>
      <c r="G90" s="23" t="s">
        <v>288</v>
      </c>
      <c r="H90" s="13">
        <f t="shared" si="5"/>
        <v>608.36</v>
      </c>
    </row>
    <row r="91" spans="1:9" ht="12.75" thickTop="1" thickBot="1" x14ac:dyDescent="0.25">
      <c r="A91" s="32" t="s">
        <v>750</v>
      </c>
      <c r="C91" s="94">
        <f>SUM(C85:C90)</f>
        <v>39416.04</v>
      </c>
      <c r="D91" s="94">
        <f>SUM(D85:D90)</f>
        <v>88931.32</v>
      </c>
      <c r="E91" s="94">
        <f>SUM(E85:E90)</f>
        <v>709427.99</v>
      </c>
      <c r="F91" s="94">
        <f>SUM(F85:F90)</f>
        <v>0</v>
      </c>
      <c r="G91" s="23" t="s">
        <v>288</v>
      </c>
      <c r="H91" s="13">
        <f t="shared" si="5"/>
        <v>837775.35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6302295.6799999997</v>
      </c>
      <c r="D104" s="68">
        <f>D63+D81+D91+D103</f>
        <v>140964.43</v>
      </c>
      <c r="E104" s="68">
        <f>E63+E81+E91+E103</f>
        <v>850033.28</v>
      </c>
      <c r="F104" s="68">
        <f>F63+F81+F91+F103</f>
        <v>0</v>
      </c>
      <c r="G104" s="68">
        <f>G63+G81+G103</f>
        <v>509.76</v>
      </c>
      <c r="H104" s="68">
        <f t="shared" si="5"/>
        <v>7293803.1499999994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2492079.4500000002</v>
      </c>
      <c r="D109" s="23" t="s">
        <v>288</v>
      </c>
      <c r="E109" s="73">
        <f>('DOE25'!L277)+('DOE25'!L296)+('DOE25'!L315)</f>
        <v>484602.09</v>
      </c>
      <c r="F109" s="23" t="s">
        <v>288</v>
      </c>
      <c r="G109" s="23" t="s">
        <v>288</v>
      </c>
      <c r="H109" s="13">
        <f t="shared" ref="H109:H115" si="6">SUM(C109:G109)</f>
        <v>2976681.54</v>
      </c>
    </row>
    <row r="110" spans="1:8" x14ac:dyDescent="0.2">
      <c r="A110" t="s">
        <v>198</v>
      </c>
      <c r="B110" s="31" t="s">
        <v>199</v>
      </c>
      <c r="C110" s="73">
        <f>('DOE25'!L199)+('DOE25'!L217)+('DOE25'!L235)</f>
        <v>1384421.72</v>
      </c>
      <c r="D110" s="23" t="s">
        <v>288</v>
      </c>
      <c r="E110" s="73">
        <f>('DOE25'!L278)+('DOE25'!L297)+('DOE25'!L316)</f>
        <v>99016.15</v>
      </c>
      <c r="F110" s="23" t="s">
        <v>288</v>
      </c>
      <c r="G110" s="23" t="s">
        <v>288</v>
      </c>
      <c r="H110" s="13">
        <f t="shared" si="6"/>
        <v>1483437.8699999999</v>
      </c>
    </row>
    <row r="111" spans="1:8" x14ac:dyDescent="0.2">
      <c r="A111" t="s">
        <v>200</v>
      </c>
      <c r="B111" s="31" t="s">
        <v>165</v>
      </c>
      <c r="C111" s="73">
        <f>('DOE25'!L200)+('DOE25'!L218)+('DOE25'!L236)</f>
        <v>264864.92999999993</v>
      </c>
      <c r="D111" s="23" t="s">
        <v>288</v>
      </c>
      <c r="E111" s="73">
        <f>('DOE25'!L279)+('DOE25'!L298)+('DOE25'!L317)</f>
        <v>0</v>
      </c>
      <c r="F111" s="23" t="s">
        <v>288</v>
      </c>
      <c r="G111" s="23" t="s">
        <v>288</v>
      </c>
      <c r="H111" s="13">
        <f t="shared" si="6"/>
        <v>264864.92999999993</v>
      </c>
    </row>
    <row r="112" spans="1:8" x14ac:dyDescent="0.2">
      <c r="A112" t="s">
        <v>201</v>
      </c>
      <c r="B112" s="31" t="s">
        <v>167</v>
      </c>
      <c r="C112" s="73">
        <f>('DOE25'!L201)+('DOE25'!L219)+('DOE25'!L237)</f>
        <v>97069.909999999989</v>
      </c>
      <c r="D112" s="23" t="s">
        <v>288</v>
      </c>
      <c r="E112" s="73">
        <f>+('DOE25'!L280)+('DOE25'!L299)+('DOE25'!L318)</f>
        <v>49423.619999999995</v>
      </c>
      <c r="F112" s="23" t="s">
        <v>288</v>
      </c>
      <c r="G112" s="23" t="s">
        <v>288</v>
      </c>
      <c r="H112" s="13">
        <f t="shared" si="6"/>
        <v>146493.52999999997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4238436.01</v>
      </c>
      <c r="D115" s="68">
        <f>SUM(D109:D114)</f>
        <v>0</v>
      </c>
      <c r="E115" s="68">
        <f>SUM(E109:E114)</f>
        <v>633041.86</v>
      </c>
      <c r="F115" s="68">
        <f>SUM(F109:F114)</f>
        <v>0</v>
      </c>
      <c r="G115" s="68">
        <f>SUM(G109:G114)</f>
        <v>0</v>
      </c>
      <c r="H115" s="68">
        <f t="shared" si="6"/>
        <v>4871477.87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410417.33000000007</v>
      </c>
      <c r="D118" s="23" t="s">
        <v>288</v>
      </c>
      <c r="E118" s="73">
        <f>+('DOE25'!L282)+('DOE25'!L301)+('DOE25'!L320)</f>
        <v>67260.840000000011</v>
      </c>
      <c r="F118" s="23" t="s">
        <v>288</v>
      </c>
      <c r="G118" s="23" t="s">
        <v>288</v>
      </c>
      <c r="H118" s="13">
        <f t="shared" ref="H118:H145" si="7">SUM(C118:G118)</f>
        <v>477678.1700000001</v>
      </c>
    </row>
    <row r="119" spans="1:8" x14ac:dyDescent="0.2">
      <c r="A119" t="s">
        <v>208</v>
      </c>
      <c r="B119" s="31" t="s">
        <v>209</v>
      </c>
      <c r="C119" s="73">
        <f>('DOE25'!L204)+('DOE25'!L222)+('DOE25'!L240)</f>
        <v>121477.51</v>
      </c>
      <c r="D119" s="23" t="s">
        <v>288</v>
      </c>
      <c r="E119" s="73">
        <f>+('DOE25'!L283)+('DOE25'!L302)+('DOE25'!L321)</f>
        <v>7213.72</v>
      </c>
      <c r="F119" s="23" t="s">
        <v>288</v>
      </c>
      <c r="G119" s="23" t="s">
        <v>288</v>
      </c>
      <c r="H119" s="13">
        <f t="shared" si="7"/>
        <v>128691.23</v>
      </c>
    </row>
    <row r="120" spans="1:8" x14ac:dyDescent="0.2">
      <c r="A120" t="s">
        <v>210</v>
      </c>
      <c r="B120" s="31" t="s">
        <v>211</v>
      </c>
      <c r="C120" s="73">
        <f>('DOE25'!L205)+('DOE25'!L223)+('DOE25'!L241)</f>
        <v>320883.99</v>
      </c>
      <c r="D120" s="23" t="s">
        <v>288</v>
      </c>
      <c r="E120" s="73">
        <f>+('DOE25'!L284)+('DOE25'!L303)+('DOE25'!L322)</f>
        <v>19445.770000000004</v>
      </c>
      <c r="F120" s="23" t="s">
        <v>288</v>
      </c>
      <c r="G120" s="23" t="s">
        <v>288</v>
      </c>
      <c r="H120" s="13">
        <f t="shared" si="7"/>
        <v>340329.76</v>
      </c>
    </row>
    <row r="121" spans="1:8" x14ac:dyDescent="0.2">
      <c r="A121" t="s">
        <v>212</v>
      </c>
      <c r="B121" s="31" t="s">
        <v>213</v>
      </c>
      <c r="C121" s="73">
        <f>('DOE25'!L206)+('DOE25'!L224)+('DOE25'!L242)</f>
        <v>338521.68999999994</v>
      </c>
      <c r="D121" s="23" t="s">
        <v>288</v>
      </c>
      <c r="E121" s="73">
        <f>+('DOE25'!L285)+('DOE25'!L304)+('DOE25'!L323)</f>
        <v>0</v>
      </c>
      <c r="F121" s="23" t="s">
        <v>288</v>
      </c>
      <c r="G121" s="23" t="s">
        <v>288</v>
      </c>
      <c r="H121" s="13">
        <f t="shared" si="7"/>
        <v>338521.68999999994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447210.16</v>
      </c>
      <c r="D123" s="23" t="s">
        <v>288</v>
      </c>
      <c r="E123" s="73">
        <f>+('DOE25'!L287)+('DOE25'!L306)+('DOE25'!L325)</f>
        <v>99027</v>
      </c>
      <c r="F123" s="23" t="s">
        <v>288</v>
      </c>
      <c r="G123" s="23" t="s">
        <v>288</v>
      </c>
      <c r="H123" s="13">
        <f t="shared" si="7"/>
        <v>546237.15999999992</v>
      </c>
    </row>
    <row r="124" spans="1:8" x14ac:dyDescent="0.2">
      <c r="A124" t="s">
        <v>218</v>
      </c>
      <c r="B124" s="31" t="s">
        <v>219</v>
      </c>
      <c r="C124" s="73">
        <f>('DOE25'!L209)+('DOE25'!L227)+('DOE25'!L245+'DOE25'!L255)</f>
        <v>209001.05999999997</v>
      </c>
      <c r="D124" s="23" t="s">
        <v>288</v>
      </c>
      <c r="E124" s="73">
        <f>+('DOE25'!L288)+('DOE25'!L307)+('DOE25'!L326)</f>
        <v>3480.32</v>
      </c>
      <c r="F124" s="23" t="s">
        <v>288</v>
      </c>
      <c r="G124" s="23" t="s">
        <v>288</v>
      </c>
      <c r="H124" s="13">
        <f t="shared" si="7"/>
        <v>212481.37999999998</v>
      </c>
    </row>
    <row r="125" spans="1:8" x14ac:dyDescent="0.2">
      <c r="A125" t="s">
        <v>220</v>
      </c>
      <c r="B125" s="31" t="s">
        <v>221</v>
      </c>
      <c r="C125" s="73">
        <f>('DOE25'!L210)+('DOE25'!L228)+('DOE25'!L246)</f>
        <v>113615.64</v>
      </c>
      <c r="D125" s="23" t="s">
        <v>288</v>
      </c>
      <c r="E125" s="73">
        <f>+('DOE25'!L289)+('DOE25'!L308)+('DOE25'!L327)</f>
        <v>5993.76</v>
      </c>
      <c r="F125" s="23" t="s">
        <v>288</v>
      </c>
      <c r="G125" s="23" t="s">
        <v>288</v>
      </c>
      <c r="H125" s="13">
        <f t="shared" si="7"/>
        <v>119609.4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118180.09</v>
      </c>
      <c r="E127" s="23" t="s">
        <v>288</v>
      </c>
      <c r="F127" s="23" t="s">
        <v>288</v>
      </c>
      <c r="G127" s="23" t="s">
        <v>288</v>
      </c>
      <c r="H127" s="13">
        <f t="shared" si="7"/>
        <v>118180.09</v>
      </c>
    </row>
    <row r="128" spans="1:8" ht="12.75" thickTop="1" thickBot="1" x14ac:dyDescent="0.25">
      <c r="A128" s="32" t="s">
        <v>226</v>
      </c>
      <c r="C128" s="68">
        <f>SUM(C118:C127)</f>
        <v>1961127.38</v>
      </c>
      <c r="D128" s="68">
        <f>SUM(D118:D127)</f>
        <v>118180.09</v>
      </c>
      <c r="E128" s="68">
        <f>SUM(E118:E127)</f>
        <v>202421.41000000003</v>
      </c>
      <c r="F128" s="68">
        <f>SUM(F118:F127)</f>
        <v>0</v>
      </c>
      <c r="G128" s="68">
        <f>SUM(G118:G127)</f>
        <v>0</v>
      </c>
      <c r="H128" s="68">
        <f t="shared" si="7"/>
        <v>2281728.88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57720.01</v>
      </c>
      <c r="D131" s="23" t="s">
        <v>288</v>
      </c>
      <c r="E131" s="92">
        <f>'DOE25'!L342</f>
        <v>0</v>
      </c>
      <c r="F131" s="23" t="s">
        <v>288</v>
      </c>
      <c r="G131" s="23" t="s">
        <v>288</v>
      </c>
      <c r="H131" s="13">
        <f t="shared" si="7"/>
        <v>57720.01</v>
      </c>
    </row>
    <row r="132" spans="1:8" x14ac:dyDescent="0.2">
      <c r="A132" t="s">
        <v>230</v>
      </c>
      <c r="B132" s="31">
        <v>5120</v>
      </c>
      <c r="C132" s="73">
        <f>'DOE25'!L262</f>
        <v>12649.49</v>
      </c>
      <c r="D132" s="23" t="s">
        <v>288</v>
      </c>
      <c r="E132" s="92">
        <f>'DOE25'!L343</f>
        <v>0</v>
      </c>
      <c r="F132" s="23" t="s">
        <v>288</v>
      </c>
      <c r="G132" s="23" t="s">
        <v>288</v>
      </c>
      <c r="H132" s="13">
        <f t="shared" si="7"/>
        <v>12649.49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509.76000000000005</v>
      </c>
      <c r="D139" s="23" t="s">
        <v>288</v>
      </c>
      <c r="E139" s="23" t="s">
        <v>288</v>
      </c>
      <c r="F139" s="23" t="s">
        <v>288</v>
      </c>
      <c r="G139" s="23" t="s">
        <v>288</v>
      </c>
      <c r="H139" s="13">
        <f t="shared" si="7"/>
        <v>509.76000000000005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-509.76000000000005</v>
      </c>
      <c r="D141" s="23" t="s">
        <v>288</v>
      </c>
      <c r="E141" s="23" t="s">
        <v>288</v>
      </c>
      <c r="F141" s="23" t="s">
        <v>288</v>
      </c>
      <c r="G141" s="23" t="s">
        <v>288</v>
      </c>
      <c r="H141" s="13">
        <f t="shared" si="7"/>
        <v>-509.76000000000005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70369.5</v>
      </c>
      <c r="D144" s="98">
        <f>SUM(D130:D143)</f>
        <v>0</v>
      </c>
      <c r="E144" s="98">
        <f>SUM(E130:E143)</f>
        <v>0</v>
      </c>
      <c r="F144" s="98">
        <f>SUM(F130:F143)</f>
        <v>0</v>
      </c>
      <c r="G144" s="98">
        <f>SUM(G130:G143)</f>
        <v>0</v>
      </c>
      <c r="H144" s="98">
        <f t="shared" si="7"/>
        <v>70369.5</v>
      </c>
    </row>
    <row r="145" spans="1:9" ht="12.75" thickTop="1" thickBot="1" x14ac:dyDescent="0.25">
      <c r="A145" s="32" t="s">
        <v>244</v>
      </c>
      <c r="C145" s="68">
        <f>(C115+C128+C144)</f>
        <v>6269932.8899999997</v>
      </c>
      <c r="D145" s="68">
        <f>(D115+D128+D144)</f>
        <v>118180.09</v>
      </c>
      <c r="E145" s="68">
        <f>(E115+E128+E144)</f>
        <v>835463.27</v>
      </c>
      <c r="F145" s="68">
        <f>(F115+F128+F144)</f>
        <v>0</v>
      </c>
      <c r="G145" s="68">
        <f>(G115+G128+G144)</f>
        <v>0</v>
      </c>
      <c r="H145" s="68">
        <f t="shared" si="7"/>
        <v>7223576.25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12</v>
      </c>
      <c r="D151" s="110">
        <f>'DOE25'!H491</f>
        <v>0</v>
      </c>
      <c r="E151" s="110">
        <f>'DOE25'!I491</f>
        <v>0</v>
      </c>
      <c r="F151" s="110">
        <f>'DOE25'!J491</f>
        <v>0</v>
      </c>
      <c r="G151" s="23" t="s">
        <v>288</v>
      </c>
    </row>
    <row r="152" spans="1:9" x14ac:dyDescent="0.2">
      <c r="A152" s="21" t="s">
        <v>28</v>
      </c>
      <c r="B152" s="109" t="str">
        <f>'DOE25'!F492</f>
        <v>01/18</v>
      </c>
      <c r="C152" s="109" t="str">
        <f>'DOE25'!G492</f>
        <v>04/18</v>
      </c>
      <c r="D152" s="109">
        <f>'DOE25'!H492</f>
        <v>0</v>
      </c>
      <c r="E152" s="109">
        <f>'DOE25'!I492</f>
        <v>0</v>
      </c>
      <c r="F152" s="109">
        <f>'DOE25'!J492</f>
        <v>0</v>
      </c>
      <c r="G152" s="23" t="s">
        <v>288</v>
      </c>
    </row>
    <row r="153" spans="1:9" x14ac:dyDescent="0.2">
      <c r="A153" s="21" t="s">
        <v>29</v>
      </c>
      <c r="B153" s="109" t="str">
        <f>'DOE25'!F493</f>
        <v>01/29</v>
      </c>
      <c r="C153" s="109" t="str">
        <f>'DOE25'!G493</f>
        <v>04/30</v>
      </c>
      <c r="D153" s="109">
        <f>'DOE25'!H493</f>
        <v>0</v>
      </c>
      <c r="E153" s="109">
        <f>'DOE25'!I493</f>
        <v>0</v>
      </c>
      <c r="F153" s="109">
        <f>'DOE25'!J493</f>
        <v>0</v>
      </c>
      <c r="G153" s="23" t="s">
        <v>288</v>
      </c>
    </row>
    <row r="154" spans="1:9" x14ac:dyDescent="0.2">
      <c r="A154" s="21" t="s">
        <v>30</v>
      </c>
      <c r="B154" s="19">
        <f>'DOE25'!F494</f>
        <v>393150</v>
      </c>
      <c r="C154" s="19">
        <f>'DOE25'!G494</f>
        <v>263640</v>
      </c>
      <c r="D154" s="19">
        <f>'DOE25'!H494</f>
        <v>0</v>
      </c>
      <c r="E154" s="19">
        <f>'DOE25'!I494</f>
        <v>0</v>
      </c>
      <c r="F154" s="19">
        <f>'DOE25'!J494</f>
        <v>0</v>
      </c>
      <c r="G154" s="23" t="s">
        <v>288</v>
      </c>
    </row>
    <row r="155" spans="1:9" x14ac:dyDescent="0.2">
      <c r="A155" s="21" t="s">
        <v>31</v>
      </c>
      <c r="B155" s="19">
        <f>'DOE25'!F495</f>
        <v>3</v>
      </c>
      <c r="C155" s="19">
        <f>'DOE25'!G495</f>
        <v>2.65</v>
      </c>
      <c r="D155" s="19">
        <f>'DOE25'!H495</f>
        <v>0</v>
      </c>
      <c r="E155" s="19">
        <f>'DOE25'!I495</f>
        <v>0</v>
      </c>
      <c r="F155" s="19">
        <f>'DOE25'!J495</f>
        <v>0</v>
      </c>
      <c r="G155" s="23" t="s">
        <v>288</v>
      </c>
    </row>
    <row r="156" spans="1:9" x14ac:dyDescent="0.2">
      <c r="A156" s="21" t="s">
        <v>32</v>
      </c>
      <c r="B156" s="19">
        <f>'DOE25'!F496</f>
        <v>264967</v>
      </c>
      <c r="C156" s="19">
        <f>'DOE25'!G496</f>
        <v>184548</v>
      </c>
      <c r="D156" s="19">
        <f>'DOE25'!H496</f>
        <v>0</v>
      </c>
      <c r="E156" s="19">
        <f>'DOE25'!I496</f>
        <v>0</v>
      </c>
      <c r="F156" s="19">
        <f>'DOE25'!J496</f>
        <v>0</v>
      </c>
      <c r="G156" s="96">
        <f>SUM(B156:F156)</f>
        <v>449515</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31356</v>
      </c>
      <c r="C158" s="19">
        <f>'DOE25'!G498</f>
        <v>26364</v>
      </c>
      <c r="D158" s="19">
        <f>'DOE25'!H498</f>
        <v>0</v>
      </c>
      <c r="E158" s="19">
        <f>'DOE25'!I498</f>
        <v>0</v>
      </c>
      <c r="F158" s="19">
        <f>'DOE25'!J498</f>
        <v>0</v>
      </c>
      <c r="G158" s="96">
        <f t="shared" si="8"/>
        <v>57720</v>
      </c>
    </row>
    <row r="159" spans="1:9" x14ac:dyDescent="0.2">
      <c r="A159" s="21" t="s">
        <v>35</v>
      </c>
      <c r="B159" s="19">
        <f>'DOE25'!F499</f>
        <v>264967</v>
      </c>
      <c r="C159" s="19">
        <f>'DOE25'!G499</f>
        <v>158184</v>
      </c>
      <c r="D159" s="19">
        <f>'DOE25'!H499</f>
        <v>0</v>
      </c>
      <c r="E159" s="19">
        <f>'DOE25'!I499</f>
        <v>0</v>
      </c>
      <c r="F159" s="19">
        <f>'DOE25'!J499</f>
        <v>0</v>
      </c>
      <c r="G159" s="96">
        <f t="shared" si="8"/>
        <v>423151</v>
      </c>
    </row>
    <row r="160" spans="1:9" x14ac:dyDescent="0.2">
      <c r="A160" s="21" t="s">
        <v>36</v>
      </c>
      <c r="B160" s="19">
        <f>'DOE25'!F500</f>
        <v>25635</v>
      </c>
      <c r="C160" s="19">
        <f>'DOE25'!G500</f>
        <v>15724</v>
      </c>
      <c r="D160" s="19">
        <f>'DOE25'!H500</f>
        <v>0</v>
      </c>
      <c r="E160" s="19">
        <f>'DOE25'!I500</f>
        <v>0</v>
      </c>
      <c r="F160" s="19">
        <f>'DOE25'!J500</f>
        <v>0</v>
      </c>
      <c r="G160" s="96">
        <f t="shared" si="8"/>
        <v>41359</v>
      </c>
    </row>
    <row r="161" spans="1:7" x14ac:dyDescent="0.2">
      <c r="A161" s="21" t="s">
        <v>37</v>
      </c>
      <c r="B161" s="19">
        <f>'DOE25'!F501</f>
        <v>290602</v>
      </c>
      <c r="C161" s="19">
        <f>'DOE25'!G501</f>
        <v>173908</v>
      </c>
      <c r="D161" s="19">
        <f>'DOE25'!H501</f>
        <v>0</v>
      </c>
      <c r="E161" s="19">
        <f>'DOE25'!I501</f>
        <v>0</v>
      </c>
      <c r="F161" s="19">
        <f>'DOE25'!J501</f>
        <v>0</v>
      </c>
      <c r="G161" s="96">
        <f t="shared" si="8"/>
        <v>464510</v>
      </c>
    </row>
    <row r="162" spans="1:7" x14ac:dyDescent="0.2">
      <c r="A162" s="21" t="s">
        <v>38</v>
      </c>
      <c r="B162" s="19">
        <f>'DOE25'!F502</f>
        <v>33476</v>
      </c>
      <c r="C162" s="19">
        <f>'DOE25'!G502</f>
        <v>26364</v>
      </c>
      <c r="D162" s="19">
        <f>'DOE25'!H502</f>
        <v>0</v>
      </c>
      <c r="E162" s="19">
        <f>'DOE25'!I502</f>
        <v>0</v>
      </c>
      <c r="F162" s="19">
        <f>'DOE25'!J502</f>
        <v>0</v>
      </c>
      <c r="G162" s="96">
        <f t="shared" si="8"/>
        <v>59840</v>
      </c>
    </row>
    <row r="163" spans="1:7" x14ac:dyDescent="0.2">
      <c r="A163" s="21" t="s">
        <v>39</v>
      </c>
      <c r="B163" s="19">
        <f>'DOE25'!F503</f>
        <v>7008</v>
      </c>
      <c r="C163" s="19">
        <f>'DOE25'!G503</f>
        <v>4365</v>
      </c>
      <c r="D163" s="19">
        <f>'DOE25'!H503</f>
        <v>0</v>
      </c>
      <c r="E163" s="19">
        <f>'DOE25'!I503</f>
        <v>0</v>
      </c>
      <c r="F163" s="19">
        <f>'DOE25'!J503</f>
        <v>0</v>
      </c>
      <c r="G163" s="96">
        <f t="shared" si="8"/>
        <v>11373</v>
      </c>
    </row>
    <row r="164" spans="1:7" x14ac:dyDescent="0.2">
      <c r="A164" s="21" t="s">
        <v>246</v>
      </c>
      <c r="B164" s="19">
        <f>'DOE25'!F504</f>
        <v>40484</v>
      </c>
      <c r="C164" s="19">
        <f>'DOE25'!G504</f>
        <v>30729</v>
      </c>
      <c r="D164" s="19">
        <f>'DOE25'!H504</f>
        <v>0</v>
      </c>
      <c r="E164" s="19">
        <f>'DOE25'!I504</f>
        <v>0</v>
      </c>
      <c r="F164" s="19">
        <f>'DOE25'!J504</f>
        <v>0</v>
      </c>
      <c r="G164" s="96">
        <f t="shared" si="8"/>
        <v>71213</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25" right="0.25" top="0.75" bottom="0.75" header="0.3" footer="0.3"/>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26" t="s">
        <v>736</v>
      </c>
      <c r="B1" s="326"/>
      <c r="C1" s="326"/>
      <c r="D1" s="326"/>
    </row>
    <row r="2" spans="1:4" x14ac:dyDescent="0.2">
      <c r="A2" s="136" t="s">
        <v>713</v>
      </c>
      <c r="B2" s="135" t="str">
        <f>'DOE25'!A2</f>
        <v>Lisbon Regional</v>
      </c>
    </row>
    <row r="3" spans="1:4" x14ac:dyDescent="0.2">
      <c r="B3" s="137" t="s">
        <v>1799</v>
      </c>
    </row>
    <row r="4" spans="1:4" x14ac:dyDescent="0.2">
      <c r="B4" t="s">
        <v>61</v>
      </c>
      <c r="C4" s="129">
        <f>IF('DOE25'!F666+'DOE25'!F671=0,0,ROUND('DOE25'!F673,0))</f>
        <v>19818</v>
      </c>
    </row>
    <row r="5" spans="1:4" x14ac:dyDescent="0.2">
      <c r="B5" t="s">
        <v>700</v>
      </c>
      <c r="C5" s="129">
        <f>IF('DOE25'!G666+'DOE25'!G671=0,0,ROUND('DOE25'!G673,0))</f>
        <v>25128</v>
      </c>
    </row>
    <row r="6" spans="1:4" x14ac:dyDescent="0.2">
      <c r="B6" t="s">
        <v>62</v>
      </c>
      <c r="C6" s="129">
        <f>IF('DOE25'!H666+'DOE25'!H671=0,0,ROUND('DOE25'!H673,0))</f>
        <v>30389</v>
      </c>
    </row>
    <row r="7" spans="1:4" x14ac:dyDescent="0.2">
      <c r="B7" t="s">
        <v>701</v>
      </c>
      <c r="C7" s="129">
        <f>IF('DOE25'!I666+'DOE25'!I671=0,0,ROUND('DOE25'!I673,0))</f>
        <v>23560</v>
      </c>
    </row>
    <row r="9" spans="1:4" x14ac:dyDescent="0.2">
      <c r="A9" s="136" t="s">
        <v>94</v>
      </c>
      <c r="B9" s="137" t="s">
        <v>1800</v>
      </c>
      <c r="C9" s="131" t="s">
        <v>720</v>
      </c>
      <c r="D9" s="131" t="s">
        <v>721</v>
      </c>
    </row>
    <row r="10" spans="1:4" x14ac:dyDescent="0.2">
      <c r="A10">
        <v>1100</v>
      </c>
      <c r="B10" t="s">
        <v>702</v>
      </c>
      <c r="C10" s="129">
        <f>ROUND('DOE25'!L198+'DOE25'!L216+'DOE25'!L234+'DOE25'!L277+'DOE25'!L296+'DOE25'!L315,0)</f>
        <v>2976682</v>
      </c>
      <c r="D10" s="132">
        <f>ROUND((C10/$C$28)*100,1)</f>
        <v>41.8</v>
      </c>
    </row>
    <row r="11" spans="1:4" x14ac:dyDescent="0.2">
      <c r="A11">
        <v>1200</v>
      </c>
      <c r="B11" t="s">
        <v>703</v>
      </c>
      <c r="C11" s="129">
        <f>ROUND('DOE25'!L199+'DOE25'!L217+'DOE25'!L235+'DOE25'!L278+'DOE25'!L297+'DOE25'!L316,0)</f>
        <v>1483438</v>
      </c>
      <c r="D11" s="132">
        <f>ROUND((C11/$C$28)*100,1)</f>
        <v>20.8</v>
      </c>
    </row>
    <row r="12" spans="1:4" x14ac:dyDescent="0.2">
      <c r="A12">
        <v>1300</v>
      </c>
      <c r="B12" t="s">
        <v>704</v>
      </c>
      <c r="C12" s="129">
        <f>ROUND('DOE25'!L200+'DOE25'!L218+'DOE25'!L236+'DOE25'!L279+'DOE25'!L298+'DOE25'!L317,0)</f>
        <v>264865</v>
      </c>
      <c r="D12" s="132">
        <f>ROUND((C12/$C$28)*100,1)</f>
        <v>3.7</v>
      </c>
    </row>
    <row r="13" spans="1:4" x14ac:dyDescent="0.2">
      <c r="A13">
        <v>1400</v>
      </c>
      <c r="B13" t="s">
        <v>705</v>
      </c>
      <c r="C13" s="129">
        <f>ROUND('DOE25'!L201+'DOE25'!L219+'DOE25'!L237+'DOE25'!L280+'DOE25'!L299+'DOE25'!L318,0)</f>
        <v>146494</v>
      </c>
      <c r="D13" s="132">
        <f>ROUND((C13/$C$28)*100,1)</f>
        <v>2.1</v>
      </c>
    </row>
    <row r="14" spans="1:4" x14ac:dyDescent="0.2">
      <c r="D14" s="132"/>
    </row>
    <row r="15" spans="1:4" x14ac:dyDescent="0.2">
      <c r="A15">
        <v>2100</v>
      </c>
      <c r="B15" t="s">
        <v>706</v>
      </c>
      <c r="C15" s="129">
        <f>ROUND('DOE25'!L203+'DOE25'!L221+'DOE25'!L239+'DOE25'!L282+'DOE25'!L301+'DOE25'!L320,0)</f>
        <v>477678</v>
      </c>
      <c r="D15" s="132">
        <f t="shared" ref="D15:D27" si="0">ROUND((C15/$C$28)*100,1)</f>
        <v>6.7</v>
      </c>
    </row>
    <row r="16" spans="1:4" x14ac:dyDescent="0.2">
      <c r="A16">
        <v>2200</v>
      </c>
      <c r="B16" t="s">
        <v>707</v>
      </c>
      <c r="C16" s="129">
        <f>ROUND('DOE25'!L204+'DOE25'!L222+'DOE25'!L240+'DOE25'!L283+'DOE25'!L302+'DOE25'!L321,0)</f>
        <v>128691</v>
      </c>
      <c r="D16" s="132">
        <f t="shared" si="0"/>
        <v>1.8</v>
      </c>
    </row>
    <row r="17" spans="1:4" x14ac:dyDescent="0.2">
      <c r="A17" s="133" t="s">
        <v>723</v>
      </c>
      <c r="B17" t="s">
        <v>738</v>
      </c>
      <c r="C17" s="129">
        <f>ROUND('DOE25'!L205+'DOE25'!L210+'DOE25'!L223+'DOE25'!L228+'DOE25'!L241+'DOE25'!L246+'DOE25'!L284+'DOE25'!L289+'DOE25'!L303+'DOE25'!L308+'DOE25'!L322+'DOE25'!L327,0)</f>
        <v>459939</v>
      </c>
      <c r="D17" s="132">
        <f t="shared" si="0"/>
        <v>6.5</v>
      </c>
    </row>
    <row r="18" spans="1:4" x14ac:dyDescent="0.2">
      <c r="A18">
        <v>2400</v>
      </c>
      <c r="B18" t="s">
        <v>711</v>
      </c>
      <c r="C18" s="129">
        <f>ROUND('DOE25'!L206+'DOE25'!L224+'DOE25'!L242+'DOE25'!L285+'DOE25'!L304+'DOE25'!L323,0)</f>
        <v>338522</v>
      </c>
      <c r="D18" s="132">
        <f t="shared" si="0"/>
        <v>4.8</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546237</v>
      </c>
      <c r="D20" s="132">
        <f t="shared" si="0"/>
        <v>7.7</v>
      </c>
    </row>
    <row r="21" spans="1:4" x14ac:dyDescent="0.2">
      <c r="A21">
        <v>2700</v>
      </c>
      <c r="B21" t="s">
        <v>710</v>
      </c>
      <c r="C21" s="129">
        <f>ROUND('DOE25'!L209+'DOE25'!L227+'DOE25'!L245+'DOE25'!L288+'DOE25'!L307+'DOE25'!L326,0)</f>
        <v>212481</v>
      </c>
      <c r="D21" s="132">
        <f t="shared" si="0"/>
        <v>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12649</v>
      </c>
      <c r="D25" s="132">
        <f t="shared" si="0"/>
        <v>0.2</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68507.66</v>
      </c>
      <c r="D27" s="132">
        <f t="shared" si="0"/>
        <v>1</v>
      </c>
    </row>
    <row r="28" spans="1:4" x14ac:dyDescent="0.2">
      <c r="B28" s="136" t="s">
        <v>719</v>
      </c>
      <c r="C28" s="130">
        <f>SUM(C10:C27)</f>
        <v>7116183.6600000001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7116183.6600000001</v>
      </c>
    </row>
    <row r="31" spans="1:4" x14ac:dyDescent="0.2">
      <c r="B31" s="32"/>
      <c r="C31" s="130"/>
    </row>
    <row r="32" spans="1:4" x14ac:dyDescent="0.2">
      <c r="A32">
        <v>5100</v>
      </c>
      <c r="B32" s="32" t="s">
        <v>726</v>
      </c>
      <c r="C32" s="130">
        <f>ROUND('DOE25'!L261+'DOE25'!L342,0)</f>
        <v>57720</v>
      </c>
    </row>
    <row r="34" spans="1:4" x14ac:dyDescent="0.2">
      <c r="A34" s="136" t="s">
        <v>94</v>
      </c>
      <c r="B34" s="137" t="s">
        <v>1801</v>
      </c>
      <c r="C34" s="131" t="s">
        <v>720</v>
      </c>
      <c r="D34" s="131" t="s">
        <v>721</v>
      </c>
    </row>
    <row r="35" spans="1:4" x14ac:dyDescent="0.2">
      <c r="A35">
        <v>1100</v>
      </c>
      <c r="B35" s="71" t="s">
        <v>727</v>
      </c>
      <c r="C35" s="129">
        <f>ROUND('DOE25'!F60+'DOE25'!G60+'DOE25'!H60+'DOE25'!I60+'DOE25'!J60,0)</f>
        <v>3194051</v>
      </c>
      <c r="D35" s="132">
        <f t="shared" ref="D35:D40" si="1">ROUND((C35/$C$41)*100,1)</f>
        <v>44.1</v>
      </c>
    </row>
    <row r="36" spans="1:4" x14ac:dyDescent="0.2">
      <c r="B36" s="71" t="s">
        <v>739</v>
      </c>
      <c r="C36" s="129">
        <f>SUM('DOE25'!F112:J112)-SUM('DOE25'!G97:G110)+('DOE25'!F175+'DOE25'!F176+'DOE25'!I175+'DOE25'!I176)-C35</f>
        <v>469692.90999999968</v>
      </c>
      <c r="D36" s="132">
        <f t="shared" si="1"/>
        <v>6.5</v>
      </c>
    </row>
    <row r="37" spans="1:4" x14ac:dyDescent="0.2">
      <c r="A37" s="133" t="s">
        <v>834</v>
      </c>
      <c r="B37" s="71" t="s">
        <v>728</v>
      </c>
      <c r="C37" s="129">
        <f>ROUND('DOE25'!F117+'DOE25'!F118,0)</f>
        <v>2551110</v>
      </c>
      <c r="D37" s="132">
        <f t="shared" si="1"/>
        <v>35.200000000000003</v>
      </c>
    </row>
    <row r="38" spans="1:4" x14ac:dyDescent="0.2">
      <c r="A38" s="133" t="s">
        <v>734</v>
      </c>
      <c r="B38" s="71" t="s">
        <v>729</v>
      </c>
      <c r="C38" s="129">
        <f>ROUND(SUM('DOE25'!F140:J140)-SUM('DOE25'!F117:F119),0)</f>
        <v>191501</v>
      </c>
      <c r="D38" s="132">
        <f t="shared" si="1"/>
        <v>2.6</v>
      </c>
    </row>
    <row r="39" spans="1:4" x14ac:dyDescent="0.2">
      <c r="A39">
        <v>4000</v>
      </c>
      <c r="B39" s="71" t="s">
        <v>730</v>
      </c>
      <c r="C39" s="129">
        <f>ROUND('DOE25'!F170+'DOE25'!G170+'DOE25'!H170+'DOE25'!I170,0)</f>
        <v>837775</v>
      </c>
      <c r="D39" s="132">
        <f t="shared" si="1"/>
        <v>11.6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7244129.9100000001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pageSetUpPr fitToPage="1"/>
  </sheetPr>
  <dimension ref="A1:IV90"/>
  <sheetViews>
    <sheetView zoomScaleNormal="100" workbookViewId="0">
      <selection activeCell="C8" sqref="C8:M8"/>
    </sheetView>
  </sheetViews>
  <sheetFormatPr defaultColWidth="8.6640625" defaultRowHeight="11.25" x14ac:dyDescent="0.2"/>
  <cols>
    <col min="1" max="1" width="10.16406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Lisbon Regional</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94" fitToHeight="0"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162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39</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46</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f>IF('School Level Expenditures'!$B$2='School Tables'!L42,'School Tables'!S42,"")</f>
        <v>39</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51"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f>IF('School Level Expenditures'!$B$2='School Tables'!W49,'School Tables'!AD49,"")</f>
        <v>46</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63.75"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f>IF('School Level Expenditures'!$B$2=A165,'School Tables'!H165,"")</f>
        <v>162</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63.75"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2023-10-11T20:22:27Z</cp:lastPrinted>
  <dcterms:created xsi:type="dcterms:W3CDTF">1997-12-04T19:04:30Z</dcterms:created>
  <dcterms:modified xsi:type="dcterms:W3CDTF">2023-12-28T18:59:44Z</dcterms:modified>
</cp:coreProperties>
</file>