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3EB46C3A-642D-4A4E-853E-94F3C0FA336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98" i="1" l="1"/>
  <c r="H593" i="1"/>
  <c r="H542" i="1"/>
  <c r="H544" i="1"/>
  <c r="B11" i="12" l="1"/>
  <c r="F31" i="13" l="1"/>
  <c r="F14" i="13"/>
  <c r="F5" i="13"/>
  <c r="Q38" i="14"/>
  <c r="Q6" i="14"/>
  <c r="Q26" i="14"/>
  <c r="P26" i="14"/>
  <c r="P6" i="14"/>
  <c r="P38" i="14"/>
  <c r="O38" i="14"/>
  <c r="O6" i="14"/>
  <c r="O26" i="14"/>
  <c r="N38" i="14"/>
  <c r="N26" i="14"/>
  <c r="N6" i="14"/>
  <c r="M38" i="14"/>
  <c r="M26" i="14"/>
  <c r="M6" i="14"/>
  <c r="L38" i="14"/>
  <c r="L26" i="14"/>
  <c r="L6" i="14"/>
  <c r="K26" i="14"/>
  <c r="K38" i="14"/>
  <c r="K6" i="14"/>
  <c r="E38" i="14"/>
  <c r="F15" i="13" l="1"/>
  <c r="I321" i="1" l="1"/>
  <c r="I283" i="1"/>
  <c r="K284" i="1"/>
  <c r="I307" i="1"/>
  <c r="G286" i="1"/>
  <c r="F286" i="1"/>
  <c r="H327" i="1"/>
  <c r="H308" i="1"/>
  <c r="H289" i="1"/>
  <c r="I278" i="1"/>
  <c r="C11" i="12" l="1"/>
  <c r="C19" i="12"/>
  <c r="C20" i="12"/>
  <c r="C29" i="12"/>
  <c r="C39" i="12"/>
  <c r="C37" i="12"/>
  <c r="C38" i="12"/>
  <c r="B39" i="12"/>
  <c r="B37" i="12"/>
  <c r="B38" i="12"/>
  <c r="B29" i="12"/>
  <c r="B20" i="12"/>
  <c r="J605" i="1"/>
  <c r="G97" i="1" l="1"/>
  <c r="G390" i="1"/>
  <c r="J180" i="1"/>
  <c r="K267" i="1"/>
  <c r="I605" i="1"/>
  <c r="H605" i="1"/>
  <c r="J594" i="1"/>
  <c r="J593" i="1"/>
  <c r="H596" i="1"/>
  <c r="J595" i="1"/>
  <c r="I595" i="1"/>
  <c r="J598" i="1"/>
  <c r="I598" i="1"/>
  <c r="I593" i="1"/>
  <c r="J592" i="1"/>
  <c r="I592" i="1"/>
  <c r="H592" i="1"/>
  <c r="G583" i="1"/>
  <c r="F583" i="1"/>
  <c r="K570" i="1"/>
  <c r="I568" i="1"/>
  <c r="I565" i="1"/>
  <c r="G565" i="1"/>
  <c r="G564" i="1"/>
  <c r="I563" i="1"/>
  <c r="G563" i="1"/>
  <c r="G534" i="1"/>
  <c r="G533" i="1"/>
  <c r="H533" i="1"/>
  <c r="I532" i="1"/>
  <c r="G532" i="1"/>
  <c r="J527" i="1"/>
  <c r="I527" i="1"/>
  <c r="H529" i="1"/>
  <c r="H528" i="1"/>
  <c r="H527" i="1"/>
  <c r="G527" i="1"/>
  <c r="G528" i="1"/>
  <c r="G529" i="1"/>
  <c r="F529" i="1"/>
  <c r="F528" i="1"/>
  <c r="F527" i="1"/>
  <c r="K527" i="1"/>
  <c r="J528" i="1"/>
  <c r="I524" i="1"/>
  <c r="I523" i="1"/>
  <c r="G524" i="1"/>
  <c r="F524" i="1"/>
  <c r="H523" i="1"/>
  <c r="G523" i="1"/>
  <c r="F523" i="1"/>
  <c r="K522" i="1"/>
  <c r="J522" i="1"/>
  <c r="I522" i="1"/>
  <c r="H522" i="1"/>
  <c r="G522" i="1"/>
  <c r="F522" i="1"/>
  <c r="K524" i="1"/>
  <c r="J524" i="1"/>
  <c r="H524" i="1"/>
  <c r="K523" i="1"/>
  <c r="J523" i="1"/>
  <c r="H12" i="1"/>
  <c r="J469" i="1"/>
  <c r="J360" i="1"/>
  <c r="J361" i="1"/>
  <c r="J359" i="1"/>
  <c r="I361" i="1"/>
  <c r="I360" i="1"/>
  <c r="I359" i="1"/>
  <c r="H359" i="1"/>
  <c r="H361" i="1"/>
  <c r="H360" i="1"/>
  <c r="K296" i="1"/>
  <c r="H277" i="1"/>
  <c r="G277" i="1"/>
  <c r="K315" i="1"/>
  <c r="K317" i="1"/>
  <c r="J317" i="1"/>
  <c r="I317" i="1"/>
  <c r="H317" i="1"/>
  <c r="G317" i="1"/>
  <c r="F317" i="1"/>
  <c r="I296" i="1"/>
  <c r="H296" i="1"/>
  <c r="G296" i="1"/>
  <c r="F296" i="1"/>
  <c r="I277" i="1"/>
  <c r="K278" i="1"/>
  <c r="J278" i="1"/>
  <c r="H278" i="1"/>
  <c r="G278" i="1"/>
  <c r="F278" i="1"/>
  <c r="J287" i="1"/>
  <c r="J337" i="1"/>
  <c r="K334" i="1"/>
  <c r="I334" i="1"/>
  <c r="H334" i="1"/>
  <c r="G334" i="1"/>
  <c r="F334" i="1"/>
  <c r="J325" i="1"/>
  <c r="H325" i="1"/>
  <c r="K321" i="1"/>
  <c r="J321" i="1"/>
  <c r="H321" i="1"/>
  <c r="G321" i="1"/>
  <c r="F321" i="1"/>
  <c r="G316" i="1"/>
  <c r="F316" i="1"/>
  <c r="G315" i="1"/>
  <c r="F315" i="1"/>
  <c r="K302" i="1"/>
  <c r="J302" i="1"/>
  <c r="I302" i="1"/>
  <c r="H302" i="1"/>
  <c r="G302" i="1"/>
  <c r="F302" i="1"/>
  <c r="G301" i="1"/>
  <c r="F301" i="1"/>
  <c r="G297" i="1"/>
  <c r="F297" i="1"/>
  <c r="H288" i="1"/>
  <c r="H287" i="1"/>
  <c r="K283" i="1"/>
  <c r="H283" i="1"/>
  <c r="G283" i="1"/>
  <c r="F283" i="1"/>
  <c r="K282" i="1"/>
  <c r="G282" i="1"/>
  <c r="F282" i="1"/>
  <c r="I280" i="1"/>
  <c r="G280" i="1"/>
  <c r="F280" i="1"/>
  <c r="F277" i="1"/>
  <c r="K252" i="1"/>
  <c r="H252" i="1"/>
  <c r="G252" i="1"/>
  <c r="J245" i="1"/>
  <c r="I245" i="1"/>
  <c r="H245" i="1"/>
  <c r="G245" i="1"/>
  <c r="F245" i="1"/>
  <c r="K244" i="1"/>
  <c r="J244" i="1"/>
  <c r="I244" i="1"/>
  <c r="H244" i="1"/>
  <c r="G244" i="1"/>
  <c r="F244" i="1"/>
  <c r="K243" i="1"/>
  <c r="J243" i="1"/>
  <c r="I243" i="1"/>
  <c r="H243" i="1"/>
  <c r="G243" i="1"/>
  <c r="F243" i="1"/>
  <c r="K242" i="1"/>
  <c r="J242" i="1"/>
  <c r="I242" i="1"/>
  <c r="H242" i="1"/>
  <c r="G242" i="1"/>
  <c r="F242" i="1"/>
  <c r="K241" i="1"/>
  <c r="J241" i="1"/>
  <c r="I241" i="1"/>
  <c r="H241" i="1"/>
  <c r="G241" i="1"/>
  <c r="F241" i="1"/>
  <c r="K240" i="1"/>
  <c r="J240" i="1"/>
  <c r="I240" i="1"/>
  <c r="H240" i="1"/>
  <c r="G240" i="1"/>
  <c r="F240" i="1"/>
  <c r="K239" i="1"/>
  <c r="J239" i="1"/>
  <c r="I239" i="1"/>
  <c r="H239" i="1"/>
  <c r="G239" i="1"/>
  <c r="F239" i="1"/>
  <c r="K237" i="1"/>
  <c r="J237" i="1"/>
  <c r="I237" i="1"/>
  <c r="H237" i="1"/>
  <c r="G237" i="1"/>
  <c r="F237" i="1"/>
  <c r="K236" i="1"/>
  <c r="J236" i="1"/>
  <c r="I236" i="1"/>
  <c r="H236" i="1"/>
  <c r="G236" i="1"/>
  <c r="F236" i="1"/>
  <c r="K235" i="1"/>
  <c r="J235" i="1"/>
  <c r="I235" i="1"/>
  <c r="H235" i="1"/>
  <c r="G235" i="1"/>
  <c r="F235" i="1"/>
  <c r="J234" i="1"/>
  <c r="I234" i="1"/>
  <c r="H234" i="1"/>
  <c r="G234" i="1"/>
  <c r="F234" i="1"/>
  <c r="J227" i="1"/>
  <c r="I227" i="1"/>
  <c r="H227" i="1"/>
  <c r="G227" i="1"/>
  <c r="F227" i="1"/>
  <c r="J226" i="1"/>
  <c r="I226" i="1"/>
  <c r="H226" i="1"/>
  <c r="G226" i="1"/>
  <c r="F226" i="1"/>
  <c r="K225" i="1"/>
  <c r="J225" i="1"/>
  <c r="I225" i="1"/>
  <c r="H225" i="1"/>
  <c r="G225" i="1"/>
  <c r="F225" i="1"/>
  <c r="K224" i="1"/>
  <c r="I224" i="1"/>
  <c r="H224" i="1"/>
  <c r="G224" i="1"/>
  <c r="F224" i="1"/>
  <c r="K223" i="1"/>
  <c r="J223" i="1"/>
  <c r="I223" i="1"/>
  <c r="H223" i="1"/>
  <c r="G223" i="1"/>
  <c r="F223" i="1"/>
  <c r="K222" i="1"/>
  <c r="J222" i="1"/>
  <c r="I222" i="1"/>
  <c r="G222" i="1"/>
  <c r="F222" i="1"/>
  <c r="K221" i="1"/>
  <c r="I221" i="1"/>
  <c r="H221" i="1"/>
  <c r="G221" i="1"/>
  <c r="F221" i="1"/>
  <c r="K219" i="1"/>
  <c r="J219" i="1"/>
  <c r="I219" i="1"/>
  <c r="H219" i="1"/>
  <c r="G219" i="1"/>
  <c r="F219" i="1"/>
  <c r="K217" i="1"/>
  <c r="J217" i="1"/>
  <c r="I217" i="1"/>
  <c r="H217" i="1"/>
  <c r="G217" i="1"/>
  <c r="F217" i="1"/>
  <c r="J216" i="1"/>
  <c r="I216" i="1"/>
  <c r="H216" i="1"/>
  <c r="G216" i="1"/>
  <c r="F216" i="1"/>
  <c r="J209" i="1"/>
  <c r="I209" i="1"/>
  <c r="H209" i="1"/>
  <c r="G209" i="1"/>
  <c r="F209" i="1"/>
  <c r="K208" i="1"/>
  <c r="J208" i="1"/>
  <c r="I208" i="1"/>
  <c r="H208" i="1"/>
  <c r="G208" i="1"/>
  <c r="F208" i="1"/>
  <c r="K207" i="1"/>
  <c r="J207" i="1"/>
  <c r="I207" i="1"/>
  <c r="H207" i="1"/>
  <c r="G207" i="1"/>
  <c r="F207" i="1"/>
  <c r="K206" i="1"/>
  <c r="J206" i="1"/>
  <c r="I206" i="1"/>
  <c r="H206" i="1"/>
  <c r="G206" i="1"/>
  <c r="F206" i="1"/>
  <c r="K205" i="1"/>
  <c r="J205" i="1"/>
  <c r="I205" i="1"/>
  <c r="H205" i="1"/>
  <c r="G205" i="1"/>
  <c r="F205" i="1"/>
  <c r="K204" i="1"/>
  <c r="I204" i="1"/>
  <c r="G204" i="1"/>
  <c r="F204" i="1"/>
  <c r="K203" i="1"/>
  <c r="J203" i="1"/>
  <c r="I203" i="1"/>
  <c r="H203" i="1"/>
  <c r="G203" i="1"/>
  <c r="F203" i="1"/>
  <c r="G201" i="1"/>
  <c r="F201" i="1"/>
  <c r="K199" i="1"/>
  <c r="J199" i="1"/>
  <c r="I199" i="1"/>
  <c r="H199" i="1"/>
  <c r="G199" i="1"/>
  <c r="F199" i="1"/>
  <c r="J198" i="1"/>
  <c r="I198" i="1"/>
  <c r="H198" i="1"/>
  <c r="G198" i="1"/>
  <c r="F198" i="1"/>
  <c r="H162" i="1"/>
  <c r="G158" i="1"/>
  <c r="H155" i="1"/>
  <c r="G132" i="1"/>
  <c r="H110" i="1"/>
  <c r="H13" i="1"/>
  <c r="F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F147" i="1"/>
  <c r="F170" i="1" s="1"/>
  <c r="G147" i="1"/>
  <c r="D85" i="2" s="1"/>
  <c r="H147" i="1"/>
  <c r="H170" i="1" s="1"/>
  <c r="I147" i="1"/>
  <c r="F85" i="2" s="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H12" i="2" s="1"/>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F25" i="2"/>
  <c r="C26" i="2"/>
  <c r="F26" i="2"/>
  <c r="C27" i="2"/>
  <c r="H27" i="2" s="1"/>
  <c r="D27" i="2"/>
  <c r="E27" i="2"/>
  <c r="F27" i="2"/>
  <c r="C28" i="2"/>
  <c r="D28" i="2"/>
  <c r="E28" i="2"/>
  <c r="F28" i="2"/>
  <c r="C29" i="2"/>
  <c r="D29" i="2"/>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D78" i="2" s="1"/>
  <c r="E77" i="2"/>
  <c r="F77" i="2"/>
  <c r="G77" i="2"/>
  <c r="G78" i="2" s="1"/>
  <c r="C79" i="2"/>
  <c r="D79" i="2"/>
  <c r="E79" i="2"/>
  <c r="C80" i="2"/>
  <c r="E80" i="2"/>
  <c r="C85" i="2"/>
  <c r="C87" i="2"/>
  <c r="E87" i="2"/>
  <c r="F87" i="2"/>
  <c r="C89" i="2"/>
  <c r="H89" i="2" s="1"/>
  <c r="D89" i="2"/>
  <c r="E89" i="2"/>
  <c r="F89" i="2"/>
  <c r="C90" i="2"/>
  <c r="H90" i="2" s="1"/>
  <c r="C93" i="2"/>
  <c r="H93" i="2" s="1"/>
  <c r="F93" i="2"/>
  <c r="C94" i="2"/>
  <c r="H94" i="2" s="1"/>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19" i="2"/>
  <c r="E120" i="2"/>
  <c r="E124" i="2"/>
  <c r="C125"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1" i="1"/>
  <c r="G652" i="1"/>
  <c r="H653" i="1"/>
  <c r="G654" i="1"/>
  <c r="H654" i="1"/>
  <c r="H655" i="1"/>
  <c r="H656" i="1"/>
  <c r="H101" i="2" l="1"/>
  <c r="H99" i="2"/>
  <c r="H79" i="2"/>
  <c r="H76" i="2"/>
  <c r="H58" i="2"/>
  <c r="H16" i="2"/>
  <c r="H38" i="2"/>
  <c r="H43" i="2"/>
  <c r="H47" i="2"/>
  <c r="I170" i="1"/>
  <c r="H125" i="2"/>
  <c r="H97" i="2"/>
  <c r="H87" i="2"/>
  <c r="H61" i="2"/>
  <c r="H26" i="2"/>
  <c r="H22" i="2"/>
  <c r="H35" i="2"/>
  <c r="H13" i="2"/>
  <c r="H9" i="2"/>
  <c r="G663" i="1"/>
  <c r="C112" i="2"/>
  <c r="H112" i="2" s="1"/>
  <c r="H85" i="2"/>
  <c r="H69" i="2"/>
  <c r="H30" i="2"/>
  <c r="H28" i="2"/>
  <c r="H25" i="2"/>
  <c r="H17" i="2"/>
  <c r="J140" i="1"/>
  <c r="K2" i="14"/>
  <c r="K3" i="14" s="1"/>
  <c r="C121" i="2"/>
  <c r="I409" i="1"/>
  <c r="H102" i="2"/>
  <c r="H100" i="2"/>
  <c r="H98" i="2"/>
  <c r="H23" i="2"/>
  <c r="H15" i="2"/>
  <c r="H132" i="2"/>
  <c r="C110" i="2"/>
  <c r="H36" i="2"/>
  <c r="H44" i="2"/>
  <c r="H48" i="2"/>
  <c r="H80" i="2"/>
  <c r="N2" i="14"/>
  <c r="N3" i="14" s="1"/>
  <c r="G409" i="1"/>
  <c r="H646" i="1" s="1"/>
  <c r="H29" i="2"/>
  <c r="G646" i="1"/>
  <c r="J652" i="1"/>
  <c r="H477" i="1"/>
  <c r="H625" i="1" s="1"/>
  <c r="J112" i="1"/>
  <c r="G477" i="1"/>
  <c r="H8" i="2"/>
  <c r="D29" i="13"/>
  <c r="C29" i="13" s="1"/>
  <c r="H113" i="2"/>
  <c r="E121" i="2"/>
  <c r="E112" i="2"/>
  <c r="E111" i="2"/>
  <c r="C13" i="10"/>
  <c r="D18" i="13"/>
  <c r="C18" i="13" s="1"/>
  <c r="C12" i="10"/>
  <c r="E13" i="13"/>
  <c r="C13" i="13" s="1"/>
  <c r="D15" i="13"/>
  <c r="C15" i="13" s="1"/>
  <c r="C120" i="2"/>
  <c r="H120" i="2" s="1"/>
  <c r="M2" i="14"/>
  <c r="M3" i="14" s="1"/>
  <c r="D6" i="13"/>
  <c r="C6" i="13" s="1"/>
  <c r="L2" i="14"/>
  <c r="L3" i="14" s="1"/>
  <c r="A40" i="12"/>
  <c r="H77" i="2"/>
  <c r="H59" i="2"/>
  <c r="H11" i="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H21" i="2" l="1"/>
  <c r="H110" i="2"/>
  <c r="H57" i="2"/>
  <c r="H31" i="2"/>
  <c r="H91" i="2"/>
  <c r="H114" i="2"/>
  <c r="H121" i="2"/>
  <c r="G50" i="2"/>
  <c r="H50" i="2" s="1"/>
  <c r="H42" i="2"/>
  <c r="G144" i="2"/>
  <c r="G145" i="2" s="1"/>
  <c r="H134" i="2"/>
  <c r="I662" i="1"/>
  <c r="D128" i="2"/>
  <c r="D145" i="2" s="1"/>
  <c r="H127" i="2"/>
  <c r="G24" i="14"/>
  <c r="H24" i="14" s="1"/>
  <c r="I24" i="14" s="1"/>
  <c r="E128" i="2"/>
  <c r="H123" i="2"/>
  <c r="H118" i="2"/>
  <c r="H122" i="2"/>
  <c r="I663" i="1"/>
  <c r="F194" i="1"/>
  <c r="H103" i="2"/>
  <c r="C81" i="2"/>
  <c r="H81" i="2" s="1"/>
  <c r="H62" i="2"/>
  <c r="D51" i="2"/>
  <c r="H18"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M24" i="14" l="1"/>
  <c r="H128" i="2"/>
  <c r="H51" i="2"/>
  <c r="C144" i="2"/>
  <c r="H141" i="2"/>
  <c r="C104" i="2"/>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<sst xmlns="http://schemas.openxmlformats.org/spreadsheetml/2006/main" count="6558" uniqueCount="1812">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</sst>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8" zoomScale="150" zoomScaleNormal="15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1187</v>
      </c>
      <c r="B2">
        <f>INDEX('School Tables'!$AH$3:$AH$209,MATCH('DOE25'!A2,'School Tables'!$AJ$3:$AJ$209,0))</f>
        <v>317</v>
      </c>
      <c r="C2">
        <f>INDEX('School Tables'!$AI$3:$AI$209,MATCH('DOE25'!A2,'School Tables'!$AJ$3:$AJ$209,0))</f>
        <v>317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555228.48+631107.29+142602.84</f>
        <v>1328938.6100000001</v>
      </c>
      <c r="G9" s="18"/>
      <c r="H9" s="18"/>
      <c r="I9" s="18"/>
      <c r="J9" s="13">
        <f>SUM(I440)</f>
        <v>864316.74</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183378.03</v>
      </c>
      <c r="G12" s="18">
        <v>44929.97</v>
      </c>
      <c r="H12" s="18">
        <f>-457863.96+186820.96</f>
        <v>-271043</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52291.27</v>
      </c>
      <c r="G13" s="18">
        <v>87664.97</v>
      </c>
      <c r="H13" s="18">
        <f>457465.14+398.82</f>
        <v>457863.96</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1564607.9100000001</v>
      </c>
      <c r="G19" s="38">
        <f>SUM(G9:G18)</f>
        <v>132594.94</v>
      </c>
      <c r="H19" s="38">
        <f>SUM(H9:H18)</f>
        <v>186820.96000000002</v>
      </c>
      <c r="I19" s="38">
        <f>SUM(I9:I18)</f>
        <v>0</v>
      </c>
      <c r="J19" s="38">
        <f>SUM(J9:J18)</f>
        <v>864316.74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299590.13</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25720.63</v>
      </c>
      <c r="H30" s="18">
        <v>186820.96</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299590.13</v>
      </c>
      <c r="G32" s="38">
        <f>SUM(G22:G31)</f>
        <v>25720.63</v>
      </c>
      <c r="H32" s="38">
        <f>SUM(H22:H31)</f>
        <v>186820.96</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106874.31</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864316.74</v>
      </c>
      <c r="K43" s="23" t="s">
        <v>288</v>
      </c>
      <c r="L43" s="23" t="s">
        <v>288</v>
      </c>
      <c r="M43" s="8"/>
      <c r="N43" s="165"/>
    </row>
    <row r="44" spans="1:14" s="3" customFormat="1" ht="12.2" customHeight="1" x14ac:dyDescent="0.15">
      <c r="A44" s="1" t="s">
        <v>836</v>
      </c>
      <c r="B44" s="6">
        <v>1</v>
      </c>
      <c r="C44" s="6">
        <v>30</v>
      </c>
      <c r="D44" s="2" t="s">
        <v>653</v>
      </c>
      <c r="E44" s="6">
        <v>755</v>
      </c>
      <c r="F44" s="18">
        <v>205000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536338</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523679.78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1265017.78</v>
      </c>
      <c r="G51" s="38">
        <f>SUM(G35:G50)</f>
        <v>106874.31</v>
      </c>
      <c r="H51" s="38">
        <f>SUM(H35:H50)</f>
        <v>0</v>
      </c>
      <c r="I51" s="38">
        <f>SUM(I35:I50)</f>
        <v>0</v>
      </c>
      <c r="J51" s="38">
        <f>SUM(J35:J50)</f>
        <v>864316.74</v>
      </c>
      <c r="K51" s="42" t="s">
        <v>288</v>
      </c>
      <c r="L51" s="42" t="s">
        <v>288</v>
      </c>
      <c r="N51" s="131"/>
    </row>
    <row r="52" spans="1:14" s="3" customFormat="1" ht="12.2" customHeight="1" thickTop="1" x14ac:dyDescent="0.15">
      <c r="A52" s="35" t="s">
        <v>455</v>
      </c>
      <c r="B52" s="36" t="s">
        <v>289</v>
      </c>
      <c r="C52" s="6">
        <v>37</v>
      </c>
      <c r="D52" s="36" t="s">
        <v>653</v>
      </c>
      <c r="E52" s="36"/>
      <c r="F52" s="38">
        <f>F51+F32</f>
        <v>1564607.9100000001</v>
      </c>
      <c r="G52" s="38">
        <f>G51+G32</f>
        <v>132594.94</v>
      </c>
      <c r="H52" s="38">
        <f>H51+H32</f>
        <v>186820.96</v>
      </c>
      <c r="I52" s="38">
        <f>I51+I32</f>
        <v>0</v>
      </c>
      <c r="J52" s="38">
        <f>J51+J32</f>
        <v>864316.74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9581528</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9581528</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14540</v>
      </c>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110684.9</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125224.9</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72886.36</v>
      </c>
      <c r="G96" s="18"/>
      <c r="H96" s="18"/>
      <c r="I96" s="18"/>
      <c r="J96" s="18">
        <v>29394.09</v>
      </c>
      <c r="K96" s="23" t="s">
        <v>288</v>
      </c>
      <c r="L96" s="23" t="s">
        <v>288</v>
      </c>
      <c r="M96" s="8"/>
      <c r="N96" s="165"/>
    </row>
    <row r="97" spans="1:14" s="3" customFormat="1" ht="12.2" customHeight="1" x14ac:dyDescent="0.15">
      <c r="A97" s="1" t="s">
        <v>503</v>
      </c>
      <c r="B97" s="2" t="s">
        <v>315</v>
      </c>
      <c r="C97" s="6">
        <v>12</v>
      </c>
      <c r="D97" s="2" t="s">
        <v>430</v>
      </c>
      <c r="E97" s="6">
        <v>1600</v>
      </c>
      <c r="F97" s="23" t="s">
        <v>288</v>
      </c>
      <c r="G97" s="18">
        <f>54943.97+20699.37+51491.03-1783.09</f>
        <v>125351.28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171187.49</v>
      </c>
      <c r="G110" s="18"/>
      <c r="H110" s="18">
        <f>21366.08+460.4+19478.03+26829.1+2037.27+82500</f>
        <v>152670.88</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244073.84999999998</v>
      </c>
      <c r="G111" s="38">
        <f>SUM(G96:G110)</f>
        <v>125351.28</v>
      </c>
      <c r="H111" s="38">
        <f>SUM(H96:H110)</f>
        <v>152670.88</v>
      </c>
      <c r="I111" s="38">
        <f>SUM(I96:I110)</f>
        <v>0</v>
      </c>
      <c r="J111" s="38">
        <f>SUM(J96:J110)</f>
        <v>29394.09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9950826.75</v>
      </c>
      <c r="G112" s="38">
        <f>G60+G111</f>
        <v>125351.28</v>
      </c>
      <c r="H112" s="38">
        <f>H60+H79+H94+H111</f>
        <v>152670.88</v>
      </c>
      <c r="I112" s="38">
        <f>I60+I111</f>
        <v>0</v>
      </c>
      <c r="J112" s="38">
        <f>J60+J111</f>
        <v>29394.09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4237968.47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1145232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8466.6299999999992</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5391667.0999999996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208806.95</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117767.59</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219617.36</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5068.03</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f>2129.43+2517.36</f>
        <v>4646.79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84955.73</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636215.66</v>
      </c>
      <c r="G136" s="38">
        <f>SUM(G123:G135)</f>
        <v>4646.79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6027882.7599999998</v>
      </c>
      <c r="G140" s="38">
        <f>G121+SUM(G136:G137)</f>
        <v>4646.79</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59661.7</v>
      </c>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59661.7</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509438.5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201177.26+90038.87+11856.81</f>
        <v>303072.94</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114318.39999999999</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132807.18</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37806.98+31084.57+91228.44+53883.02+24943.29+24621.52</f>
        <v>263567.82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225890.53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3363.15</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590181.95+653543.28</f>
        <v>1243725.23</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3363.15</v>
      </c>
      <c r="G163" s="38">
        <f>SUM(G150:G162)</f>
        <v>263567.82</v>
      </c>
      <c r="H163" s="38">
        <f>SUM(H150:H162)</f>
        <v>2529252.7800000003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1430.11</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64454.96</v>
      </c>
      <c r="G170" s="38">
        <f>G147+G163+SUM(G164:G169)</f>
        <v>263567.82</v>
      </c>
      <c r="H170" s="38">
        <f>H147+H163+SUM(H164:H169)</f>
        <v>2529252.7800000003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1783.09</v>
      </c>
      <c r="H180" s="18"/>
      <c r="I180" s="18"/>
      <c r="J180" s="18">
        <f>11804.06+50000</f>
        <v>61804.06</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1783.09</v>
      </c>
      <c r="H184" s="38">
        <f>SUM(H180:H183)</f>
        <v>0</v>
      </c>
      <c r="I184" s="38">
        <f>SUM(I180:I183)</f>
        <v>0</v>
      </c>
      <c r="J184" s="38">
        <f>SUM(J180:J183)</f>
        <v>61804.06</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98935</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98935</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98935</v>
      </c>
      <c r="G193" s="38">
        <f>G184+SUM(G189:G192)</f>
        <v>1783.09</v>
      </c>
      <c r="H193" s="38">
        <f>+H184+SUM(H189:H192)</f>
        <v>0</v>
      </c>
      <c r="I193" s="38">
        <f>I178+I184+SUM(I189:I192)</f>
        <v>0</v>
      </c>
      <c r="J193" s="38">
        <f>J184</f>
        <v>61804.06</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16142099.470000001</v>
      </c>
      <c r="G194" s="38">
        <f>G112+G140+G170+G193</f>
        <v>395348.98000000004</v>
      </c>
      <c r="H194" s="38">
        <f>H112+H140+H170+H193</f>
        <v>2681923.66</v>
      </c>
      <c r="I194" s="38">
        <f>I112+I140+I170+I193</f>
        <v>0</v>
      </c>
      <c r="J194" s="38">
        <f>J112+J140+J193</f>
        <v>91198.15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1568958.85+9000+32801.04+46727.75+3724.14+24995</f>
        <v>1686206.78</v>
      </c>
      <c r="G198" s="18">
        <f>530141.24+1950.16+8801.71+124251.55+3716.33+334538.67+21691.5+400+1466.56+7360.82</f>
        <v>1034318.5399999999</v>
      </c>
      <c r="H198" s="18">
        <f>498.9+3703.38</f>
        <v>4202.28</v>
      </c>
      <c r="I198" s="18">
        <f>51162.55</f>
        <v>51162.55</v>
      </c>
      <c r="J198" s="18">
        <f>18892.61</f>
        <v>18892.61</v>
      </c>
      <c r="K198" s="18"/>
      <c r="L198" s="13">
        <f>SUM(F198:K198)</f>
        <v>2794782.7599999993</v>
      </c>
      <c r="M198" s="8"/>
      <c r="N198" s="165"/>
    </row>
    <row r="199" spans="1:14" s="3" customFormat="1" ht="12.2" customHeight="1" x14ac:dyDescent="0.15">
      <c r="A199" s="1" t="s">
        <v>439</v>
      </c>
      <c r="B199" s="2" t="s">
        <v>341</v>
      </c>
      <c r="C199" s="2" t="s">
        <v>291</v>
      </c>
      <c r="D199" s="2" t="s">
        <v>431</v>
      </c>
      <c r="E199" s="6">
        <v>1200</v>
      </c>
      <c r="F199" s="18">
        <f>204653.6+471819.88+9724.14+32881.5+75113.1+2160</f>
        <v>796352.22</v>
      </c>
      <c r="G199" s="18">
        <f>275866.03+7830.67+4240.2+52419.3+64479.02+35782.31+1078.18+3181.54+29353.25+735.4+463.01+5476.66+15606.51+100.7+302.78+165</f>
        <v>497080.56000000006</v>
      </c>
      <c r="H199" s="18">
        <f>103292.27+72031.26+150.94</f>
        <v>175474.47</v>
      </c>
      <c r="I199" s="18">
        <f>3183.91+943.17+1671.94+2672.08+110+1558.51</f>
        <v>10139.61</v>
      </c>
      <c r="J199" s="18">
        <f>797.98+274.62</f>
        <v>1072.5999999999999</v>
      </c>
      <c r="K199" s="18">
        <f>1194.76</f>
        <v>1194.76</v>
      </c>
      <c r="L199" s="13">
        <f>SUM(F199:K199)</f>
        <v>1481314.2200000002</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857</f>
        <v>857</v>
      </c>
      <c r="G201" s="18">
        <f>65.56+180.14</f>
        <v>245.7</v>
      </c>
      <c r="H201" s="18"/>
      <c r="I201" s="18"/>
      <c r="J201" s="18"/>
      <c r="K201" s="18"/>
      <c r="L201" s="13">
        <f>SUM(F201:K201)</f>
        <v>1102.7</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10052.25+125772.12+68220+65520+42666.7+87542.53+42666.7</f>
        <v>442440.3</v>
      </c>
      <c r="G203" s="18">
        <f>768.98+66.73+45.42+17503.2+837.06+665.9+9580.02+26437.08+133.07+512.56+23393.92+478.32+383.28+5128.38+14339.78+66.73+280.07+19094.4+478.32+371.76+4934.84+13772.22+66.73+269.26+13740.14+255.03+231.33+2988.61+8968.51+33.97+145.98+27588.57+511.92+471.19+6070.04+18344.7+67.93+342.79+13740.14+255.09+231.14+3078.03+8968.51+33.97+151.39+0.6</f>
        <v>245827.6100000001</v>
      </c>
      <c r="H203" s="18">
        <f>152.1+35757.56</f>
        <v>35909.659999999996</v>
      </c>
      <c r="I203" s="18">
        <f>2394.07+1626.99+2736.24+98.95+637.78</f>
        <v>7494.03</v>
      </c>
      <c r="J203" s="18">
        <f>601.99+1399.27+194.13</f>
        <v>2195.39</v>
      </c>
      <c r="K203" s="18">
        <f>250+445+659.94</f>
        <v>1354.94</v>
      </c>
      <c r="L203" s="13">
        <f t="shared" ref="L203:L209" si="0">SUM(F203:K203)</f>
        <v>735221.93000000017</v>
      </c>
      <c r="M203" s="8"/>
      <c r="N203" s="165"/>
    </row>
    <row r="204" spans="1:14" s="3" customFormat="1" ht="12.2" customHeight="1" x14ac:dyDescent="0.15">
      <c r="A204" s="1" t="s">
        <v>443</v>
      </c>
      <c r="B204" s="2" t="s">
        <v>341</v>
      </c>
      <c r="C204" s="2" t="s">
        <v>295</v>
      </c>
      <c r="D204" s="2" t="s">
        <v>431</v>
      </c>
      <c r="E204" s="6">
        <v>2200</v>
      </c>
      <c r="F204" s="18">
        <f>51611.98+52020</f>
        <v>103631.98000000001</v>
      </c>
      <c r="G204" s="18">
        <f>10178.84+255.03+380.85+3898.27+10848.8+33.97+203.3+25775.4+478.32+314.64+3717.22+10934.57+66.73+214.11</f>
        <v>67300.05</v>
      </c>
      <c r="H204" s="18"/>
      <c r="I204" s="18">
        <f>6396.69</f>
        <v>6396.69</v>
      </c>
      <c r="J204" s="18"/>
      <c r="K204" s="18">
        <f>6800.12</f>
        <v>6800.12</v>
      </c>
      <c r="L204" s="13">
        <f t="shared" si="0"/>
        <v>184128.84000000003</v>
      </c>
      <c r="M204" s="8"/>
      <c r="N204" s="165"/>
    </row>
    <row r="205" spans="1:14" s="3" customFormat="1" ht="12.2" customHeight="1" x14ac:dyDescent="0.15">
      <c r="A205" s="1" t="s">
        <v>444</v>
      </c>
      <c r="B205" s="2" t="s">
        <v>341</v>
      </c>
      <c r="C205" s="2" t="s">
        <v>296</v>
      </c>
      <c r="D205" s="2" t="s">
        <v>431</v>
      </c>
      <c r="E205" s="6">
        <v>2300</v>
      </c>
      <c r="F205" s="18">
        <f>5670+1620+106766.98-2</f>
        <v>114054.98</v>
      </c>
      <c r="G205" s="18">
        <f>433.25+412.63+9.4+92101.6</f>
        <v>92956.88</v>
      </c>
      <c r="H205" s="18">
        <f>1363.25+648+27222.13+3302.97+12285+33834.77+14104.94+7661.86</f>
        <v>100422.92</v>
      </c>
      <c r="I205" s="18">
        <f>282.8+6827.21</f>
        <v>7110.01</v>
      </c>
      <c r="J205" s="18">
        <f>1080</f>
        <v>1080</v>
      </c>
      <c r="K205" s="18">
        <f>2534.13+12143.31</f>
        <v>14677.439999999999</v>
      </c>
      <c r="L205" s="13">
        <f t="shared" si="0"/>
        <v>330302.23</v>
      </c>
      <c r="M205" s="8"/>
      <c r="N205" s="165"/>
    </row>
    <row r="206" spans="1:14" s="3" customFormat="1" ht="12.2" customHeight="1" x14ac:dyDescent="0.15">
      <c r="A206" s="1" t="s">
        <v>445</v>
      </c>
      <c r="B206" s="2" t="s">
        <v>341</v>
      </c>
      <c r="C206" s="2" t="s">
        <v>297</v>
      </c>
      <c r="D206" s="2" t="s">
        <v>431</v>
      </c>
      <c r="E206" s="6">
        <v>2400</v>
      </c>
      <c r="F206" s="18">
        <f>175950+91102.74+2000+61126.35</f>
        <v>330179.08999999997</v>
      </c>
      <c r="G206" s="18">
        <f>44869.76+956.64+1353.4+12945.17+36984.85+2934.36+133.07+723.43+9180+459.92+545.26+7100.8+12809.1+257.35+312.51+12966.6+314.77+432.84+4488.37+988.52+11370.92+42.76+241.14</f>
        <v>162411.54000000004</v>
      </c>
      <c r="H206" s="18">
        <f>636.24+8355.6+588.15</f>
        <v>9579.99</v>
      </c>
      <c r="I206" s="18">
        <f>24754.15+150.58</f>
        <v>24904.730000000003</v>
      </c>
      <c r="J206" s="18">
        <f>1720.87+1399.92</f>
        <v>3120.79</v>
      </c>
      <c r="K206" s="18">
        <f>2549.06+3018.04</f>
        <v>5567.1</v>
      </c>
      <c r="L206" s="13">
        <f t="shared" si="0"/>
        <v>535763.24</v>
      </c>
      <c r="M206" s="8"/>
      <c r="N206" s="165"/>
    </row>
    <row r="207" spans="1:14" s="3" customFormat="1" ht="12.2" customHeight="1" x14ac:dyDescent="0.15">
      <c r="A207" s="1" t="s">
        <v>446</v>
      </c>
      <c r="B207" s="2" t="s">
        <v>341</v>
      </c>
      <c r="C207" s="2" t="s">
        <v>298</v>
      </c>
      <c r="D207" s="2" t="s">
        <v>431</v>
      </c>
      <c r="E207" s="6">
        <v>2500</v>
      </c>
      <c r="F207" s="18">
        <f>79558.07+4000+111274.76</f>
        <v>194832.83000000002</v>
      </c>
      <c r="G207" s="18">
        <f>3508.92+572.99+483.42+6357.29+10888.87+335.22+51791.62</f>
        <v>73938.33</v>
      </c>
      <c r="H207" s="18">
        <f>671+27323.85+45402.71+361.72</f>
        <v>73759.28</v>
      </c>
      <c r="I207" s="18">
        <f>2120.15+47416.97+1042.42</f>
        <v>50579.54</v>
      </c>
      <c r="J207" s="18">
        <f>12547.17+479+810</f>
        <v>13836.17</v>
      </c>
      <c r="K207" s="18">
        <f>865</f>
        <v>865</v>
      </c>
      <c r="L207" s="13">
        <f t="shared" si="0"/>
        <v>407811.15</v>
      </c>
      <c r="M207" s="8"/>
      <c r="N207" s="165"/>
    </row>
    <row r="208" spans="1:14" s="3" customFormat="1" ht="12.2" customHeight="1" x14ac:dyDescent="0.15">
      <c r="A208" s="1" t="s">
        <v>447</v>
      </c>
      <c r="B208" s="2" t="s">
        <v>341</v>
      </c>
      <c r="C208" s="2" t="s">
        <v>299</v>
      </c>
      <c r="D208" s="2" t="s">
        <v>431</v>
      </c>
      <c r="E208" s="6">
        <v>2600</v>
      </c>
      <c r="F208" s="18">
        <f>188674.21+2038.8+2000+2664.55</f>
        <v>195377.55999999997</v>
      </c>
      <c r="G208" s="18">
        <f>52323.24+1504.02+1191.66+14517.48+26522.93+350.46+5554.96</f>
        <v>101964.75</v>
      </c>
      <c r="H208" s="18">
        <f>87887.52+5931.4+25518.17+12658.1+16346.21+21000+32530.39+29006.11+6320.5+9034.8</f>
        <v>246233.19999999995</v>
      </c>
      <c r="I208" s="18">
        <f>33191.88+74981.63+6612.65+81547.42+28190.4</f>
        <v>224523.98</v>
      </c>
      <c r="J208" s="18">
        <f>21876.17+4375.15</f>
        <v>26251.32</v>
      </c>
      <c r="K208" s="18">
        <f>1497.37+384.71</f>
        <v>1882.08</v>
      </c>
      <c r="L208" s="13">
        <f t="shared" si="0"/>
        <v>796232.88999999978</v>
      </c>
      <c r="M208" s="8"/>
      <c r="N208" s="165"/>
    </row>
    <row r="209" spans="1:14" s="3" customFormat="1" ht="12.2" customHeight="1" x14ac:dyDescent="0.15">
      <c r="A209" s="1" t="s">
        <v>448</v>
      </c>
      <c r="B209" s="2" t="s">
        <v>341</v>
      </c>
      <c r="C209" s="2" t="s">
        <v>300</v>
      </c>
      <c r="D209" s="2" t="s">
        <v>431</v>
      </c>
      <c r="E209" s="6">
        <v>2700</v>
      </c>
      <c r="F209" s="18">
        <f>2654.01</f>
        <v>2654.01</v>
      </c>
      <c r="G209" s="18">
        <f>202.73</f>
        <v>202.73</v>
      </c>
      <c r="H209" s="18">
        <f>403.87+8393.99+62801.25+71000.14+332.47</f>
        <v>142931.72</v>
      </c>
      <c r="I209" s="18">
        <f>179.4+1006.35</f>
        <v>1185.75</v>
      </c>
      <c r="J209" s="18">
        <f>26690</f>
        <v>26690</v>
      </c>
      <c r="K209" s="18"/>
      <c r="L209" s="13">
        <f t="shared" si="0"/>
        <v>173664.21</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3866586.7499999995</v>
      </c>
      <c r="G212" s="38">
        <f t="shared" si="1"/>
        <v>2276246.6900000004</v>
      </c>
      <c r="H212" s="38">
        <f t="shared" si="1"/>
        <v>788513.5199999999</v>
      </c>
      <c r="I212" s="38">
        <f t="shared" si="1"/>
        <v>383496.89</v>
      </c>
      <c r="J212" s="38">
        <f t="shared" si="1"/>
        <v>93138.880000000005</v>
      </c>
      <c r="K212" s="38">
        <f t="shared" si="1"/>
        <v>32341.440000000002</v>
      </c>
      <c r="L212" s="38">
        <f t="shared" si="1"/>
        <v>7440324.1699999999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392629.37+6650+2000+2470</f>
        <v>403749.37</v>
      </c>
      <c r="G216" s="18">
        <f>140716.7+246.29+2275.15+29479.64+82531.07+314.49+1665.29</f>
        <v>257228.63000000003</v>
      </c>
      <c r="H216" s="18">
        <f>1500</f>
        <v>1500</v>
      </c>
      <c r="I216" s="18">
        <f>5764.09+287.32+455.98</f>
        <v>6507.3899999999994</v>
      </c>
      <c r="J216" s="18">
        <f>1577.84</f>
        <v>1577.84</v>
      </c>
      <c r="K216" s="18"/>
      <c r="L216" s="13">
        <f>SUM(F216:K216)</f>
        <v>670563.23</v>
      </c>
      <c r="M216" s="8"/>
      <c r="N216" s="165"/>
    </row>
    <row r="217" spans="1:14" s="3" customFormat="1" ht="12.2" customHeight="1" x14ac:dyDescent="0.15">
      <c r="A217" s="1" t="s">
        <v>439</v>
      </c>
      <c r="B217" s="2" t="s">
        <v>346</v>
      </c>
      <c r="C217" s="2" t="s">
        <v>291</v>
      </c>
      <c r="D217" s="2" t="s">
        <v>431</v>
      </c>
      <c r="E217" s="6">
        <v>1200</v>
      </c>
      <c r="F217" s="18">
        <f>76569.54+487.5+54124.58+3247.5+64222.6+18512.43+27595.5+640</f>
        <v>245399.65</v>
      </c>
      <c r="G217" s="18">
        <f>38008.8+1425.95+767.99+9749.34+7609.91+16094.95+282.92+641.25+15541.29+660.72+501.01+6135.13+2602.79+13499.83+65.94+362.26+6361.99+242.15+164.59+2060.42+5746.64+31.17+104.89+49</f>
        <v>128710.92999999998</v>
      </c>
      <c r="H217" s="18">
        <f>3902.66+57314.24+45</f>
        <v>61261.899999999994</v>
      </c>
      <c r="I217" s="18">
        <f>1273.39+481.67+385.77+199.95+462</f>
        <v>2802.7799999999997</v>
      </c>
      <c r="J217" s="18">
        <f>94.16</f>
        <v>94.16</v>
      </c>
      <c r="K217" s="18">
        <f>807.11</f>
        <v>807.11</v>
      </c>
      <c r="L217" s="13">
        <f>SUM(F217:K217)</f>
        <v>439076.52999999997</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f>11786.64</f>
        <v>11786.64</v>
      </c>
      <c r="G219" s="18">
        <f>901.7+180.67+1072.28</f>
        <v>2154.65</v>
      </c>
      <c r="H219" s="18">
        <f>4737.5</f>
        <v>4737.5</v>
      </c>
      <c r="I219" s="18">
        <f>412.68</f>
        <v>412.68</v>
      </c>
      <c r="J219" s="18">
        <f>199.88</f>
        <v>199.88</v>
      </c>
      <c r="K219" s="18">
        <f>400+700</f>
        <v>1100</v>
      </c>
      <c r="L219" s="13">
        <f>SUM(F219:K219)</f>
        <v>20391.350000000002</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8456.38+23956.62+45584.81+9278.12+22494.41+12799.91+26161.3+12799.91</f>
        <v>161531.46</v>
      </c>
      <c r="G221" s="18">
        <f>646.94+20.78+30.28+8927.6+165.62+130.57+1705.34+5035.72+20.78+87.59+13281.02+246.53+275.57+3298.56+2058.57+6504.32+79.52+158.96+3698.07+68.57+49.84+657.17+1950.31-17.82+9.24+8927.6+165.62+124.69+1593.66+4728.3+20.78+82.18+4124.12+76.43+69.28+896.63+2690.55+10.79+45.42+8248.23+152.96+140.84+1813.93+5482.3+21.18+107.05+4124.12+76.43+69.28+923.35+2690.55+10.79+47.58</f>
        <v>96554.289999999964</v>
      </c>
      <c r="H221" s="18">
        <f>11477.2</f>
        <v>11477.2</v>
      </c>
      <c r="I221" s="18">
        <f>129+597.33</f>
        <v>726.33</v>
      </c>
      <c r="J221" s="18"/>
      <c r="K221" s="18">
        <f>387.14</f>
        <v>387.14</v>
      </c>
      <c r="L221" s="13">
        <f t="shared" ref="L221:L227" si="2">SUM(F221:K221)</f>
        <v>270676.42</v>
      </c>
      <c r="M221" s="8"/>
      <c r="N221" s="165"/>
    </row>
    <row r="222" spans="1:14" s="3" customFormat="1" ht="12.2" customHeight="1" x14ac:dyDescent="0.15">
      <c r="A222" s="1" t="s">
        <v>443</v>
      </c>
      <c r="B222" s="2" t="s">
        <v>346</v>
      </c>
      <c r="C222" s="2" t="s">
        <v>295</v>
      </c>
      <c r="D222" s="2" t="s">
        <v>431</v>
      </c>
      <c r="E222" s="6">
        <v>2200</v>
      </c>
      <c r="F222" s="18">
        <f>15483.67+14768.56</f>
        <v>30252.23</v>
      </c>
      <c r="G222" s="18">
        <f>3055+76.43+114.07+1169.43+3254.58+10.79+63.8+6613.7+165.62+95.3+1031.76+3104.41+20.78+54.07</f>
        <v>18829.739999999998</v>
      </c>
      <c r="H222" s="18"/>
      <c r="I222" s="18">
        <f>1374.42+978.89+1094.95</f>
        <v>3448.26</v>
      </c>
      <c r="J222" s="18">
        <f>12000</f>
        <v>12000</v>
      </c>
      <c r="K222" s="18">
        <f>775.93</f>
        <v>775.93</v>
      </c>
      <c r="L222" s="13">
        <f t="shared" si="2"/>
        <v>65306.16</v>
      </c>
      <c r="M222" s="8"/>
      <c r="N222" s="165"/>
    </row>
    <row r="223" spans="1:14" s="3" customFormat="1" ht="12.2" customHeight="1" x14ac:dyDescent="0.15">
      <c r="A223" s="1" t="s">
        <v>444</v>
      </c>
      <c r="B223" s="2" t="s">
        <v>346</v>
      </c>
      <c r="C223" s="2" t="s">
        <v>296</v>
      </c>
      <c r="D223" s="2" t="s">
        <v>431</v>
      </c>
      <c r="E223" s="6">
        <v>2300</v>
      </c>
      <c r="F223" s="18">
        <f>1680+480+31634</f>
        <v>33794</v>
      </c>
      <c r="G223" s="18">
        <f>129+123+3+27289</f>
        <v>27544</v>
      </c>
      <c r="H223" s="18">
        <f>404+192+8066+978+3640+10025+4179+2270</f>
        <v>29754</v>
      </c>
      <c r="I223" s="18">
        <f>83+2023</f>
        <v>2106</v>
      </c>
      <c r="J223" s="18">
        <f>320</f>
        <v>320</v>
      </c>
      <c r="K223" s="18">
        <f>751+3598</f>
        <v>4349</v>
      </c>
      <c r="L223" s="13">
        <f t="shared" si="2"/>
        <v>97867</v>
      </c>
      <c r="M223" s="8"/>
      <c r="N223" s="165"/>
    </row>
    <row r="224" spans="1:14" s="3" customFormat="1" ht="12.2" customHeight="1" x14ac:dyDescent="0.15">
      <c r="A224" s="1" t="s">
        <v>445</v>
      </c>
      <c r="B224" s="2" t="s">
        <v>346</v>
      </c>
      <c r="C224" s="2" t="s">
        <v>297</v>
      </c>
      <c r="D224" s="2" t="s">
        <v>431</v>
      </c>
      <c r="E224" s="6">
        <v>2400</v>
      </c>
      <c r="F224" s="18">
        <f>66701.48+24087.64+18392.07</f>
        <v>109181.19</v>
      </c>
      <c r="G224" s="18">
        <f>12036.82+325.94+458.4+4937.51+13473.8+2219.58+41.16+220.6+11783.06+165.62+158.04+1731.79+3386.83+41.16+127.6+3912.65+94.92+130.33+1350.33+304.2+3411.18+13.19+73.53</f>
        <v>60398.240000000005</v>
      </c>
      <c r="H224" s="18">
        <f>1730.44+53.06</f>
        <v>1783.5</v>
      </c>
      <c r="I224" s="18">
        <f>41.6</f>
        <v>41.6</v>
      </c>
      <c r="J224" s="18"/>
      <c r="K224" s="18">
        <f>2065.57+1573.27</f>
        <v>3638.84</v>
      </c>
      <c r="L224" s="13">
        <f t="shared" si="2"/>
        <v>175043.37</v>
      </c>
      <c r="M224" s="8"/>
      <c r="N224" s="165"/>
    </row>
    <row r="225" spans="1:14" s="3" customFormat="1" ht="12.2" customHeight="1" x14ac:dyDescent="0.15">
      <c r="A225" s="1" t="s">
        <v>446</v>
      </c>
      <c r="B225" s="2" t="s">
        <v>346</v>
      </c>
      <c r="C225" s="2" t="s">
        <v>298</v>
      </c>
      <c r="D225" s="2" t="s">
        <v>431</v>
      </c>
      <c r="E225" s="6">
        <v>2500</v>
      </c>
      <c r="F225" s="18">
        <f>25438.93+32971</f>
        <v>58409.93</v>
      </c>
      <c r="G225" s="18">
        <f>1039.68+172.01+146.02+1935.31+3279.75+104.89+15346</f>
        <v>22023.66</v>
      </c>
      <c r="H225" s="18">
        <f>8726.53+15495.86+107</f>
        <v>24329.39</v>
      </c>
      <c r="I225" s="18">
        <f>287.25+9287.49+309</f>
        <v>9883.74</v>
      </c>
      <c r="J225" s="18">
        <f>3936.37+71.98+240</f>
        <v>4248.3500000000004</v>
      </c>
      <c r="K225" s="18">
        <f>256</f>
        <v>256</v>
      </c>
      <c r="L225" s="13">
        <f t="shared" si="2"/>
        <v>119151.07</v>
      </c>
      <c r="M225" s="8"/>
      <c r="N225" s="165"/>
    </row>
    <row r="226" spans="1:14" s="3" customFormat="1" ht="12.2" customHeight="1" x14ac:dyDescent="0.15">
      <c r="A226" s="1" t="s">
        <v>447</v>
      </c>
      <c r="B226" s="2" t="s">
        <v>346</v>
      </c>
      <c r="C226" s="2" t="s">
        <v>299</v>
      </c>
      <c r="D226" s="2" t="s">
        <v>431</v>
      </c>
      <c r="E226" s="6">
        <v>2600</v>
      </c>
      <c r="F226" s="18">
        <f>90536.41+639.6</f>
        <v>91176.010000000009</v>
      </c>
      <c r="G226" s="18">
        <f>16909.17+805.82+474.1+6865.11+10442.2+155.45+2523.89</f>
        <v>38175.739999999991</v>
      </c>
      <c r="H226" s="18">
        <f>4637.73+256.97+9707.12+4938.1+2646.76+9638.63+22057.5+5541.1+2677</f>
        <v>62100.909999999996</v>
      </c>
      <c r="I226" s="18">
        <f>13346.73+34325.15+78619.22+8353</f>
        <v>134644.1</v>
      </c>
      <c r="J226" s="18">
        <f>5646.51+1640.82</f>
        <v>7287.33</v>
      </c>
      <c r="K226" s="18"/>
      <c r="L226" s="13">
        <f t="shared" si="2"/>
        <v>333384.09000000003</v>
      </c>
      <c r="M226" s="8"/>
      <c r="N226" s="165"/>
    </row>
    <row r="227" spans="1:14" s="3" customFormat="1" ht="12.2" customHeight="1" x14ac:dyDescent="0.15">
      <c r="A227" s="1" t="s">
        <v>448</v>
      </c>
      <c r="B227" s="2" t="s">
        <v>346</v>
      </c>
      <c r="C227" s="2" t="s">
        <v>300</v>
      </c>
      <c r="D227" s="2" t="s">
        <v>431</v>
      </c>
      <c r="E227" s="6">
        <v>2700</v>
      </c>
      <c r="F227" s="18">
        <f>786</f>
        <v>786</v>
      </c>
      <c r="G227" s="18">
        <f>60</f>
        <v>60</v>
      </c>
      <c r="H227" s="18">
        <f>826.48+18608+21037+99</f>
        <v>40570.479999999996</v>
      </c>
      <c r="I227" s="18">
        <f>299</f>
        <v>299</v>
      </c>
      <c r="J227" s="18">
        <f>7908</f>
        <v>7908</v>
      </c>
      <c r="K227" s="18"/>
      <c r="L227" s="13">
        <f t="shared" si="2"/>
        <v>49623.479999999996</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1146066.48</v>
      </c>
      <c r="G230" s="38">
        <f>SUM(G216:G229)</f>
        <v>651679.88</v>
      </c>
      <c r="H230" s="38">
        <f>SUM(H216:H229)</f>
        <v>237514.88</v>
      </c>
      <c r="I230" s="38">
        <f>SUM(I216:I229)</f>
        <v>160871.88</v>
      </c>
      <c r="J230" s="38">
        <f>SUM(J216:J229)</f>
        <v>33635.560000000005</v>
      </c>
      <c r="K230" s="38">
        <f t="shared" si="3"/>
        <v>11314.02</v>
      </c>
      <c r="L230" s="38">
        <f t="shared" si="3"/>
        <v>2241082.7000000002</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712738.29+8000+16335.75+5724.14+46302.83</f>
        <v>789101.01</v>
      </c>
      <c r="G234" s="18">
        <f>207512.46+398.03+4028.14+59093.66+140428.21+12488.49+1284.82+787.63+3326.26</f>
        <v>429347.7</v>
      </c>
      <c r="H234" s="18">
        <f>34920+1657.64+2920.71+25250+375</f>
        <v>65123.35</v>
      </c>
      <c r="I234" s="18">
        <f>16861.3+6763.6+5715.21</f>
        <v>29340.11</v>
      </c>
      <c r="J234" s="18">
        <f>13751.95+4700.11</f>
        <v>18452.060000000001</v>
      </c>
      <c r="K234" s="18"/>
      <c r="L234" s="13">
        <f>SUM(F234:K234)</f>
        <v>1331364.2300000002</v>
      </c>
      <c r="M234" s="8"/>
      <c r="N234" s="165"/>
    </row>
    <row r="235" spans="1:14" s="3" customFormat="1" ht="12.2" customHeight="1" x14ac:dyDescent="0.15">
      <c r="A235" s="1" t="s">
        <v>439</v>
      </c>
      <c r="B235" s="2" t="s">
        <v>350</v>
      </c>
      <c r="C235" s="2" t="s">
        <v>291</v>
      </c>
      <c r="D235" s="2" t="s">
        <v>431</v>
      </c>
      <c r="E235" s="6">
        <v>1200</v>
      </c>
      <c r="F235" s="18">
        <f>120857.18+34939.22+52001.4+53370+102031.66+4000+6957.5+1200</f>
        <v>375356.95999999996</v>
      </c>
      <c r="G235" s="18">
        <f>29328.51+1246.29+943.66+11553.39+4912.43+25403.96+201.8+805.61+12020.68+457.41+310.8+3882.88+10829.48+67.93+228.17+57283.2+1913.28+1079.76+11916.74+14345.62+11218.47+71.82+471.65+92</f>
        <v>200585.53999999998</v>
      </c>
      <c r="H235" s="18">
        <f>3333.5+999.52+17905.74+2950+84</f>
        <v>25272.760000000002</v>
      </c>
      <c r="I235" s="18">
        <f>211.21+177.36+1372.53+1056.18+339.16+866</f>
        <v>4022.4399999999996</v>
      </c>
      <c r="J235" s="18">
        <f>65.64+448.99</f>
        <v>514.63</v>
      </c>
      <c r="K235" s="18">
        <f>828.76+800</f>
        <v>1628.76</v>
      </c>
      <c r="L235" s="13">
        <f>SUM(F235:K235)</f>
        <v>607381.09</v>
      </c>
      <c r="M235" s="8"/>
      <c r="N235" s="165"/>
    </row>
    <row r="236" spans="1:14" s="3" customFormat="1" ht="12.2" customHeight="1" x14ac:dyDescent="0.15">
      <c r="A236" s="1" t="s">
        <v>440</v>
      </c>
      <c r="B236" s="2" t="s">
        <v>350</v>
      </c>
      <c r="C236" s="2" t="s">
        <v>292</v>
      </c>
      <c r="D236" s="2" t="s">
        <v>431</v>
      </c>
      <c r="E236" s="6">
        <v>1300</v>
      </c>
      <c r="F236" s="18">
        <f>516882.83+117004.96</f>
        <v>633887.79</v>
      </c>
      <c r="G236" s="18">
        <f>145494.41+3568.9+3328.91+47145.77+16450.89+90678.31+498.31+2753.14</f>
        <v>309918.64</v>
      </c>
      <c r="H236" s="18">
        <f>582.13+500+14615.78+163.5</f>
        <v>15861.41</v>
      </c>
      <c r="I236" s="18">
        <f>18208.28+1249.53+255.2</f>
        <v>19713.009999999998</v>
      </c>
      <c r="J236" s="18">
        <f>3250</f>
        <v>3250</v>
      </c>
      <c r="K236" s="18">
        <f>1325.26</f>
        <v>1325.26</v>
      </c>
      <c r="L236" s="13">
        <f>SUM(F236:K236)</f>
        <v>983956.1100000001</v>
      </c>
      <c r="M236" s="8"/>
      <c r="N236" s="165"/>
    </row>
    <row r="237" spans="1:14" s="3" customFormat="1" ht="12.2" customHeight="1" x14ac:dyDescent="0.15">
      <c r="A237" s="1" t="s">
        <v>441</v>
      </c>
      <c r="B237" s="2" t="s">
        <v>350</v>
      </c>
      <c r="C237" s="2" t="s">
        <v>293</v>
      </c>
      <c r="D237" s="2" t="s">
        <v>431</v>
      </c>
      <c r="E237" s="6">
        <v>1400</v>
      </c>
      <c r="F237" s="18">
        <f>107342.28</f>
        <v>107342.28</v>
      </c>
      <c r="G237" s="18">
        <f>8156.39+2006.65+8659.11</f>
        <v>18822.150000000001</v>
      </c>
      <c r="H237" s="18">
        <f>476+18658.58</f>
        <v>19134.580000000002</v>
      </c>
      <c r="I237" s="18">
        <f>10731.44+2084.59</f>
        <v>12816.03</v>
      </c>
      <c r="J237" s="18">
        <f>3806.92</f>
        <v>3806.92</v>
      </c>
      <c r="K237" s="18">
        <f>9053.9+997.88+1400</f>
        <v>11451.779999999999</v>
      </c>
      <c r="L237" s="13">
        <f>SUM(F237:K237)</f>
        <v>173373.74000000002</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15824.06+45098.04+78532.04+17406.88+42345.37+24533.39+49804.1+24533.39</f>
        <v>298077.26999999996</v>
      </c>
      <c r="G239" s="18">
        <f>1210.5+45.95+67.04+16847.8+312.7+246.95+3210.51+9479.55+45.95+195.73+8751.6+438.46+460.52+5986.59+3963.9+10581.53+149.05+285.48+6948.11+128.9+93.74+1233.26+3658.91-30.34+26.9+16847.8+312.7+235.67+3000.12+8900.95+45.95+183.83+7911.1+146.86+132.47+1718.36+5156.83+21.98+94.08+15713.96+291.76+268.29+3452.51+10437.16+43.96+221.68+7911.1+146.8+132.66+1770.05+5156.83+21.98+98.4</f>
        <v>164715.13</v>
      </c>
      <c r="H239" s="18">
        <f>2030.76+5762.2+370.8+23232.24</f>
        <v>31396</v>
      </c>
      <c r="I239" s="18">
        <f>411.73+195.15+631.38+936.32</f>
        <v>2174.58</v>
      </c>
      <c r="J239" s="18">
        <f>143.99</f>
        <v>143.99</v>
      </c>
      <c r="K239" s="18">
        <f>1950+495+246.63</f>
        <v>2691.63</v>
      </c>
      <c r="L239" s="13">
        <f t="shared" ref="L239:L245" si="4">SUM(F239:K239)</f>
        <v>499198.6</v>
      </c>
      <c r="M239" s="8"/>
      <c r="N239" s="165"/>
    </row>
    <row r="240" spans="1:14" s="3" customFormat="1" ht="12.2" customHeight="1" x14ac:dyDescent="0.15">
      <c r="A240" s="1" t="s">
        <v>443</v>
      </c>
      <c r="B240" s="2" t="s">
        <v>350</v>
      </c>
      <c r="C240" s="2" t="s">
        <v>295</v>
      </c>
      <c r="D240" s="2" t="s">
        <v>431</v>
      </c>
      <c r="E240" s="6">
        <v>2200</v>
      </c>
      <c r="F240" s="18">
        <f>29676.85+27801.44</f>
        <v>57478.289999999994</v>
      </c>
      <c r="G240" s="18">
        <f>5860.56+146.86+218.98+2241.42+6238.13+21.98+130.84+12480.7+312.7+179.38+1942.8+5843.82+45.95+121.11</f>
        <v>35785.229999999996</v>
      </c>
      <c r="H240" s="18">
        <f>260</f>
        <v>260</v>
      </c>
      <c r="I240" s="18">
        <f>3036.86+1965.27+2092.9</f>
        <v>7095.0300000000007</v>
      </c>
      <c r="J240" s="18">
        <f>26000</f>
        <v>26000</v>
      </c>
      <c r="K240" s="18">
        <f>2545.07+639.17</f>
        <v>3184.2400000000002</v>
      </c>
      <c r="L240" s="13">
        <f t="shared" si="4"/>
        <v>129802.79</v>
      </c>
      <c r="M240" s="8"/>
      <c r="N240" s="165"/>
    </row>
    <row r="241" spans="1:14" s="3" customFormat="1" ht="12.2" customHeight="1" x14ac:dyDescent="0.15">
      <c r="A241" s="1" t="s">
        <v>444</v>
      </c>
      <c r="B241" s="2" t="s">
        <v>350</v>
      </c>
      <c r="C241" s="2" t="s">
        <v>296</v>
      </c>
      <c r="D241" s="2" t="s">
        <v>431</v>
      </c>
      <c r="E241" s="6">
        <v>2300</v>
      </c>
      <c r="F241" s="18">
        <f>3152+900+59314</f>
        <v>63366</v>
      </c>
      <c r="G241" s="18">
        <f>241+229+5+51167</f>
        <v>51642</v>
      </c>
      <c r="H241" s="18">
        <f>758+360+15123+1834+6825+18797+7836+4257</f>
        <v>55790</v>
      </c>
      <c r="I241" s="18">
        <f>157+3793</f>
        <v>3950</v>
      </c>
      <c r="J241" s="18">
        <f>600</f>
        <v>600</v>
      </c>
      <c r="K241" s="18">
        <f>1408+6747</f>
        <v>8155</v>
      </c>
      <c r="L241" s="13">
        <f t="shared" si="4"/>
        <v>183503</v>
      </c>
      <c r="M241" s="8"/>
      <c r="N241" s="165"/>
    </row>
    <row r="242" spans="1:14" s="3" customFormat="1" ht="12.2" customHeight="1" x14ac:dyDescent="0.15">
      <c r="A242" s="1" t="s">
        <v>445</v>
      </c>
      <c r="B242" s="2" t="s">
        <v>350</v>
      </c>
      <c r="C242" s="2" t="s">
        <v>297</v>
      </c>
      <c r="D242" s="2" t="s">
        <v>431</v>
      </c>
      <c r="E242" s="6">
        <v>2400</v>
      </c>
      <c r="F242" s="18">
        <f>128266.53+45945.15+2000+35431.58</f>
        <v>211643.26</v>
      </c>
      <c r="G242" s="18">
        <f>23285.74+630.7+884.08+9493.4+25945.62+6132.06+91.91+492.02+22548.06+312.7+301.07+3458.36+6459.87+91.91+127.6+7576.11+183.61+250.61+2601.22+608.4+6538.42+27.17+151.39</f>
        <v>118192.03000000001</v>
      </c>
      <c r="H242" s="18">
        <f>1095.84+3325.72+3600</f>
        <v>8021.5599999999995</v>
      </c>
      <c r="I242" s="18">
        <f>7523.75+149+85.8</f>
        <v>7758.55</v>
      </c>
      <c r="J242" s="18">
        <f>489.93</f>
        <v>489.93</v>
      </c>
      <c r="K242" s="18">
        <f>4876.6+3382.54+2620.02</f>
        <v>10879.16</v>
      </c>
      <c r="L242" s="13">
        <f t="shared" si="4"/>
        <v>356984.49</v>
      </c>
      <c r="M242" s="8"/>
      <c r="N242" s="165"/>
    </row>
    <row r="243" spans="1:14" s="3" customFormat="1" ht="12.2" customHeight="1" x14ac:dyDescent="0.15">
      <c r="A243" s="1" t="s">
        <v>446</v>
      </c>
      <c r="B243" s="2" t="s">
        <v>350</v>
      </c>
      <c r="C243" s="2" t="s">
        <v>298</v>
      </c>
      <c r="D243" s="2" t="s">
        <v>431</v>
      </c>
      <c r="E243" s="6">
        <v>2500</v>
      </c>
      <c r="F243" s="18">
        <f>47195.39+61819</f>
        <v>109014.39</v>
      </c>
      <c r="G243" s="18">
        <f>1949.4+330.97+282.51+3590.54+6329.76+214.11+28773</f>
        <v>41470.29</v>
      </c>
      <c r="H243" s="18">
        <f>593.77+16867.82+30394.4+200</f>
        <v>48055.990000000005</v>
      </c>
      <c r="I243" s="18">
        <f>4972.7+18723.61+579</f>
        <v>24275.31</v>
      </c>
      <c r="J243" s="18">
        <f>8118.76+475.91+450</f>
        <v>9044.67</v>
      </c>
      <c r="K243" s="18">
        <f>480</f>
        <v>480</v>
      </c>
      <c r="L243" s="13">
        <f t="shared" si="4"/>
        <v>232340.65</v>
      </c>
      <c r="M243" s="8"/>
      <c r="N243" s="165"/>
    </row>
    <row r="244" spans="1:14" s="3" customFormat="1" ht="12.2" customHeight="1" x14ac:dyDescent="0.15">
      <c r="A244" s="1" t="s">
        <v>447</v>
      </c>
      <c r="B244" s="2" t="s">
        <v>350</v>
      </c>
      <c r="C244" s="2" t="s">
        <v>299</v>
      </c>
      <c r="D244" s="2" t="s">
        <v>431</v>
      </c>
      <c r="E244" s="6">
        <v>2600</v>
      </c>
      <c r="F244" s="18">
        <f>175051.18+1319.1+1657.5+6071.68</f>
        <v>184099.46</v>
      </c>
      <c r="G244" s="18">
        <f>34192.27+1553.77+916.82+13858.99+21036.05+339.67+5531.16</f>
        <v>77428.73</v>
      </c>
      <c r="H244" s="18">
        <f>28540.43+4614.94+20354.34+9182.8+15932.08+18072.44+115352.13+13259.24+5019+0.08</f>
        <v>230327.48</v>
      </c>
      <c r="I244" s="18">
        <f>30843.81+76517.31+147516.23+15661</f>
        <v>270538.34999999998</v>
      </c>
      <c r="J244" s="18">
        <f>24196.73+14962.76</f>
        <v>39159.49</v>
      </c>
      <c r="K244" s="18">
        <f>610.73</f>
        <v>610.73</v>
      </c>
      <c r="L244" s="13">
        <f t="shared" si="4"/>
        <v>802164.24</v>
      </c>
      <c r="M244" s="8"/>
      <c r="N244" s="165"/>
    </row>
    <row r="245" spans="1:14" s="3" customFormat="1" ht="12.2" customHeight="1" x14ac:dyDescent="0.15">
      <c r="A245" s="1" t="s">
        <v>448</v>
      </c>
      <c r="B245" s="2" t="s">
        <v>350</v>
      </c>
      <c r="C245" s="2" t="s">
        <v>300</v>
      </c>
      <c r="D245" s="2" t="s">
        <v>431</v>
      </c>
      <c r="E245" s="6">
        <v>2700</v>
      </c>
      <c r="F245" s="18">
        <f>9270+1475</f>
        <v>10745</v>
      </c>
      <c r="G245" s="18">
        <f>709.19+113</f>
        <v>822.19</v>
      </c>
      <c r="H245" s="18">
        <f>21962.7+44652.05+34889+39445+185</f>
        <v>141133.75</v>
      </c>
      <c r="I245" s="18">
        <f>559</f>
        <v>559</v>
      </c>
      <c r="J245" s="18">
        <f>14828</f>
        <v>14828</v>
      </c>
      <c r="K245" s="18"/>
      <c r="L245" s="13">
        <f t="shared" si="4"/>
        <v>168087.94</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2840111.7100000004</v>
      </c>
      <c r="G248" s="38">
        <f t="shared" si="5"/>
        <v>1448729.6300000001</v>
      </c>
      <c r="H248" s="38">
        <f t="shared" si="5"/>
        <v>640376.88</v>
      </c>
      <c r="I248" s="38">
        <f t="shared" si="5"/>
        <v>382242.41</v>
      </c>
      <c r="J248" s="38">
        <f t="shared" si="5"/>
        <v>116289.69</v>
      </c>
      <c r="K248" s="38">
        <f t="shared" si="5"/>
        <v>40406.560000000005</v>
      </c>
      <c r="L248" s="38">
        <f t="shared" si="5"/>
        <v>5468156.8800000018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v>85125</v>
      </c>
      <c r="G252" s="18">
        <f>19094.4+478.32+632.9+6433.02+17893.16+66.73+319</f>
        <v>44917.530000000006</v>
      </c>
      <c r="H252" s="18">
        <f>440.83</f>
        <v>440.83</v>
      </c>
      <c r="I252" s="18"/>
      <c r="J252" s="18"/>
      <c r="K252" s="18">
        <f>150</f>
        <v>150</v>
      </c>
      <c r="L252" s="13">
        <f t="shared" si="6"/>
        <v>130633.36</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v>0</v>
      </c>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213181</v>
      </c>
      <c r="I256" s="18"/>
      <c r="J256" s="18"/>
      <c r="K256" s="18"/>
      <c r="L256" s="13">
        <f t="shared" si="6"/>
        <v>213181</v>
      </c>
      <c r="M256" s="8"/>
      <c r="N256" s="165"/>
    </row>
    <row r="257" spans="1:14" s="3" customFormat="1" ht="12.2" customHeight="1" thickTop="1" thickBot="1" x14ac:dyDescent="0.2">
      <c r="A257" s="35" t="s">
        <v>461</v>
      </c>
      <c r="B257" s="37">
        <v>10</v>
      </c>
      <c r="C257" s="37">
        <v>7</v>
      </c>
      <c r="D257" s="36" t="s">
        <v>431</v>
      </c>
      <c r="E257" s="37"/>
      <c r="F257" s="38">
        <f t="shared" ref="F257:K257" si="7">SUM(F251:F256)</f>
        <v>85125</v>
      </c>
      <c r="G257" s="38">
        <f t="shared" si="7"/>
        <v>44917.530000000006</v>
      </c>
      <c r="H257" s="38">
        <f t="shared" si="7"/>
        <v>213621.83</v>
      </c>
      <c r="I257" s="38">
        <f t="shared" si="7"/>
        <v>0</v>
      </c>
      <c r="J257" s="38">
        <f t="shared" si="7"/>
        <v>0</v>
      </c>
      <c r="K257" s="38">
        <f t="shared" si="7"/>
        <v>150</v>
      </c>
      <c r="L257" s="38">
        <f>SUM(F257:K257)</f>
        <v>343814.36</v>
      </c>
      <c r="M257" s="8"/>
      <c r="N257" s="165"/>
    </row>
    <row r="258" spans="1:14" s="3" customFormat="1" ht="12.2" customHeight="1" thickTop="1" x14ac:dyDescent="0.15">
      <c r="A258" s="35" t="s">
        <v>462</v>
      </c>
      <c r="B258" s="37">
        <v>10</v>
      </c>
      <c r="C258" s="37">
        <v>8</v>
      </c>
      <c r="D258" s="36" t="s">
        <v>431</v>
      </c>
      <c r="E258" s="37"/>
      <c r="F258" s="38">
        <f t="shared" ref="F258:L258" si="8">F212+F230+F248+F257</f>
        <v>7937889.9399999995</v>
      </c>
      <c r="G258" s="38">
        <f t="shared" si="8"/>
        <v>4421573.7300000004</v>
      </c>
      <c r="H258" s="38">
        <f t="shared" si="8"/>
        <v>1880027.1099999999</v>
      </c>
      <c r="I258" s="38">
        <f t="shared" si="8"/>
        <v>926611.17999999993</v>
      </c>
      <c r="J258" s="38">
        <f t="shared" si="8"/>
        <v>243064.13</v>
      </c>
      <c r="K258" s="38">
        <f t="shared" si="8"/>
        <v>84212.020000000019</v>
      </c>
      <c r="L258" s="38">
        <f t="shared" si="8"/>
        <v>15493378.110000003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560000</v>
      </c>
      <c r="L261" s="13">
        <f>SUM(F261:K261)</f>
        <v>560000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63063</v>
      </c>
      <c r="L262" s="13">
        <f>SUM(F262:K262)</f>
        <v>63063</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1783.09</v>
      </c>
      <c r="L264" s="13">
        <f>SUM(F264:K264)</f>
        <v>1783.09</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t="s">
        <v>286</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11804.06+50000</f>
        <v>61804.06</v>
      </c>
      <c r="L267" s="13">
        <f t="shared" si="9"/>
        <v>61804.06</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686650.14999999991</v>
      </c>
      <c r="L271" s="38">
        <f t="shared" si="9"/>
        <v>686650.14999999991</v>
      </c>
      <c r="M271" s="8"/>
      <c r="N271" s="165"/>
    </row>
    <row r="272" spans="1:14" s="33" customFormat="1" ht="12.2" customHeight="1" thickTop="1" x14ac:dyDescent="0.2">
      <c r="A272" s="40" t="s">
        <v>464</v>
      </c>
      <c r="B272" s="37">
        <v>10</v>
      </c>
      <c r="C272" s="37">
        <v>18</v>
      </c>
      <c r="D272" s="36" t="s">
        <v>431</v>
      </c>
      <c r="E272" s="37"/>
      <c r="F272" s="39">
        <f t="shared" ref="F272:L272" si="11">F258+F271</f>
        <v>7937889.9399999995</v>
      </c>
      <c r="G272" s="39">
        <f t="shared" si="11"/>
        <v>4421573.7300000004</v>
      </c>
      <c r="H272" s="39">
        <f t="shared" si="11"/>
        <v>1880027.1099999999</v>
      </c>
      <c r="I272" s="39">
        <f t="shared" si="11"/>
        <v>926611.17999999993</v>
      </c>
      <c r="J272" s="39">
        <f t="shared" si="11"/>
        <v>243064.13</v>
      </c>
      <c r="K272" s="39">
        <f t="shared" si="11"/>
        <v>770862.16999999993</v>
      </c>
      <c r="L272" s="39">
        <f t="shared" si="11"/>
        <v>16180028.260000004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41115.63+7871.55+58000+306+609+5175+1789.26+242039.82+6000</f>
        <v>362906.26</v>
      </c>
      <c r="G277" s="18">
        <f>145.04+3157.5+8642.47+43.59+602.19+1654.59+4339.32+6608.18+840.81+22.21+64.33+46.59+395.91+3799.34+67.29+15.57+1373.65+582.75+66845.7+1845.99+1326.89+16608.4+50670.26+459+1261.2-6876.69</f>
        <v>164542.08000000002</v>
      </c>
      <c r="H277" s="18">
        <f>7355.45</f>
        <v>7355.45</v>
      </c>
      <c r="I277" s="18">
        <f>11063.99+4489+2037.27</f>
        <v>17590.259999999998</v>
      </c>
      <c r="J277" s="18"/>
      <c r="K277" s="18"/>
      <c r="L277" s="13">
        <f>SUM(F277:K277)</f>
        <v>552394.05000000005</v>
      </c>
      <c r="M277" s="8"/>
      <c r="N277" s="165"/>
    </row>
    <row r="278" spans="1:14" s="3" customFormat="1" ht="12.2" customHeight="1" x14ac:dyDescent="0.15">
      <c r="A278" s="1" t="s">
        <v>439</v>
      </c>
      <c r="B278" s="2" t="s">
        <v>357</v>
      </c>
      <c r="C278" s="2" t="s">
        <v>291</v>
      </c>
      <c r="D278" s="2" t="s">
        <v>431</v>
      </c>
      <c r="E278" s="6">
        <v>1200</v>
      </c>
      <c r="F278" s="18">
        <f>4000+14885.3+3720.49+3436.31+5362.25+23662.48</f>
        <v>55066.83</v>
      </c>
      <c r="G278" s="18">
        <f>2500+5846.48+1836+91.99+81.17+1138.73+3128.89+85+85+3965.44+73.6+44.84+547.5+1504.36+85+85+16464.62+294.32+183.23+1993.34+6101+90+90</f>
        <v>46315.509999999995</v>
      </c>
      <c r="H278" s="18">
        <f>385.31+1350+1447.7+390+1876+419.47+60000</f>
        <v>65868.479999999996</v>
      </c>
      <c r="I278" s="18">
        <f>22500+36022.39+4886.5</f>
        <v>63408.89</v>
      </c>
      <c r="J278" s="18">
        <f>697.9+5520+3020+1868+19478.03</f>
        <v>30583.93</v>
      </c>
      <c r="K278" s="18">
        <f>460.4</f>
        <v>460.4</v>
      </c>
      <c r="L278" s="13">
        <f>SUM(F278:K278)</f>
        <v>261704.04</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61607.35</f>
        <v>61607.35</v>
      </c>
      <c r="G280" s="18">
        <f>4712.83+7921.18+442.57+2422.46</f>
        <v>15499.04</v>
      </c>
      <c r="H280" s="18"/>
      <c r="I280" s="18">
        <f>343.34+450</f>
        <v>793.33999999999992</v>
      </c>
      <c r="J280" s="18"/>
      <c r="K280" s="18"/>
      <c r="L280" s="13">
        <f>SUM(F280:K280)</f>
        <v>77899.73</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3000</f>
        <v>3000</v>
      </c>
      <c r="G282" s="18">
        <f>229.5+210.9+315.3</f>
        <v>755.7</v>
      </c>
      <c r="H282" s="18"/>
      <c r="I282" s="18"/>
      <c r="J282" s="18"/>
      <c r="K282" s="18">
        <f>3596.55</f>
        <v>3596.55</v>
      </c>
      <c r="L282" s="13">
        <f t="shared" ref="L282:L288" si="12">SUM(F282:K282)</f>
        <v>7352.25</v>
      </c>
      <c r="M282" s="8"/>
      <c r="N282" s="165"/>
    </row>
    <row r="283" spans="1:14" s="3" customFormat="1" ht="12.2" customHeight="1" x14ac:dyDescent="0.15">
      <c r="A283" s="1" t="s">
        <v>443</v>
      </c>
      <c r="B283" s="2" t="s">
        <v>357</v>
      </c>
      <c r="C283" s="2" t="s">
        <v>295</v>
      </c>
      <c r="D283" s="2" t="s">
        <v>431</v>
      </c>
      <c r="E283" s="6">
        <v>2200</v>
      </c>
      <c r="F283" s="18">
        <f>1500+21000+34580+15000+3150+2250+4875+11500</f>
        <v>93855</v>
      </c>
      <c r="G283" s="18">
        <f>111.16+315.29+1606.59+4414.22+9547+478+243+4970+1143.52+3153+231.03+662.13+172.12+472.95+364.29+1024.71+879.75+70.3+2347</f>
        <v>32206.06</v>
      </c>
      <c r="H283" s="18">
        <f>1506.76+263992+13900+2000+824.54+39000+300+75.4+5350+863.42+1000+1059.88</f>
        <v>329872</v>
      </c>
      <c r="I283" s="18">
        <f>62839.02+2500+360+143.92+14250+19341.3</f>
        <v>99434.239999999991</v>
      </c>
      <c r="J283" s="18"/>
      <c r="K283" s="18">
        <f>1000+3176+5647.5+2800</f>
        <v>12623.5</v>
      </c>
      <c r="L283" s="13">
        <f t="shared" si="12"/>
        <v>567990.80000000005</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f>17629.93+15755.61+1485.29+5138.15</f>
        <v>40008.980000000003</v>
      </c>
      <c r="L284" s="13">
        <f t="shared" si="12"/>
        <v>40008.980000000003</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f>17590.06</f>
        <v>17590.060000000001</v>
      </c>
      <c r="G286" s="18">
        <f>1261.43+2473.12</f>
        <v>3734.55</v>
      </c>
      <c r="H286" s="18"/>
      <c r="I286" s="18"/>
      <c r="J286" s="18"/>
      <c r="K286" s="18"/>
      <c r="L286" s="13">
        <f t="shared" si="12"/>
        <v>21324.61</v>
      </c>
      <c r="M286" s="8"/>
      <c r="N286" s="165"/>
    </row>
    <row r="287" spans="1:14" s="3" customFormat="1" ht="12.2" customHeight="1" x14ac:dyDescent="0.15">
      <c r="A287" s="1" t="s">
        <v>447</v>
      </c>
      <c r="B287" s="2" t="s">
        <v>357</v>
      </c>
      <c r="C287" s="2" t="s">
        <v>299</v>
      </c>
      <c r="D287" s="2" t="s">
        <v>431</v>
      </c>
      <c r="E287" s="6">
        <v>2600</v>
      </c>
      <c r="F287" s="18"/>
      <c r="G287" s="18"/>
      <c r="H287" s="18">
        <f>10326.54+85</f>
        <v>10411.540000000001</v>
      </c>
      <c r="I287" s="18"/>
      <c r="J287" s="18">
        <f>9030.77+8774.42</f>
        <v>17805.190000000002</v>
      </c>
      <c r="K287" s="18"/>
      <c r="L287" s="13">
        <f t="shared" si="12"/>
        <v>28216.730000000003</v>
      </c>
      <c r="M287" s="8"/>
      <c r="N287" s="165"/>
    </row>
    <row r="288" spans="1:14" s="3" customFormat="1" ht="12.2" customHeight="1" x14ac:dyDescent="0.15">
      <c r="A288" s="1" t="s">
        <v>448</v>
      </c>
      <c r="B288" s="2" t="s">
        <v>357</v>
      </c>
      <c r="C288" s="2" t="s">
        <v>300</v>
      </c>
      <c r="D288" s="2" t="s">
        <v>431</v>
      </c>
      <c r="E288" s="6">
        <v>2700</v>
      </c>
      <c r="F288" s="18"/>
      <c r="G288" s="18"/>
      <c r="H288" s="18">
        <f>5545.05</f>
        <v>5545.05</v>
      </c>
      <c r="I288" s="18"/>
      <c r="J288" s="18"/>
      <c r="K288" s="18"/>
      <c r="L288" s="13">
        <f t="shared" si="12"/>
        <v>5545.05</v>
      </c>
      <c r="M288" s="8"/>
      <c r="N288" s="165"/>
    </row>
    <row r="289" spans="1:14" s="3" customFormat="1" ht="12.2" customHeight="1" x14ac:dyDescent="0.15">
      <c r="A289" s="1" t="s">
        <v>449</v>
      </c>
      <c r="B289" s="2" t="s">
        <v>357</v>
      </c>
      <c r="C289" s="2" t="s">
        <v>343</v>
      </c>
      <c r="D289" s="2" t="s">
        <v>431</v>
      </c>
      <c r="E289" s="6">
        <v>2800</v>
      </c>
      <c r="F289" s="18"/>
      <c r="G289" s="18"/>
      <c r="H289" s="18">
        <f>901.2+75898</f>
        <v>76799.199999999997</v>
      </c>
      <c r="I289" s="18"/>
      <c r="J289" s="18"/>
      <c r="K289" s="18"/>
      <c r="L289" s="13">
        <f>SUM(F289:K289)</f>
        <v>76799.199999999997</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594025.5</v>
      </c>
      <c r="G291" s="39">
        <f t="shared" si="13"/>
        <v>263052.94000000006</v>
      </c>
      <c r="H291" s="39">
        <f t="shared" si="13"/>
        <v>495851.72</v>
      </c>
      <c r="I291" s="39">
        <f t="shared" si="13"/>
        <v>181226.72999999998</v>
      </c>
      <c r="J291" s="39">
        <f t="shared" si="13"/>
        <v>48389.120000000003</v>
      </c>
      <c r="K291" s="39">
        <f t="shared" si="13"/>
        <v>56689.430000000008</v>
      </c>
      <c r="L291" s="38">
        <f t="shared" si="13"/>
        <v>1639235.4400000002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19232.82</f>
        <v>19232.82</v>
      </c>
      <c r="G296" s="18">
        <f>89.67+1471.31+4042.74+81.73+81.73</f>
        <v>5767.1799999999985</v>
      </c>
      <c r="H296" s="18">
        <f>115.28</f>
        <v>115.28</v>
      </c>
      <c r="I296" s="18">
        <f>554.77+1648.82</f>
        <v>2203.59</v>
      </c>
      <c r="J296" s="18"/>
      <c r="K296" s="18">
        <f>11272.1</f>
        <v>11272.1</v>
      </c>
      <c r="L296" s="13">
        <f>SUM(F296:K296)</f>
        <v>38590.97</v>
      </c>
      <c r="M296" s="8"/>
      <c r="N296" s="165"/>
    </row>
    <row r="297" spans="1:14" s="3" customFormat="1" ht="12.2" customHeight="1" x14ac:dyDescent="0.15">
      <c r="A297" s="1" t="s">
        <v>439</v>
      </c>
      <c r="B297" s="2" t="s">
        <v>358</v>
      </c>
      <c r="C297" s="2" t="s">
        <v>291</v>
      </c>
      <c r="D297" s="2" t="s">
        <v>431</v>
      </c>
      <c r="E297" s="6">
        <v>1200</v>
      </c>
      <c r="F297" s="18">
        <f>10950.41+14572.49</f>
        <v>25522.9</v>
      </c>
      <c r="G297" s="18">
        <f>1755.64+70.9+16.78+62.45+3022.98+56.54+20.77+589.54+732.92+2970.1+69+61.73+854.04+2800.81</f>
        <v>13084.199999999999</v>
      </c>
      <c r="H297" s="18"/>
      <c r="I297" s="18"/>
      <c r="J297" s="18"/>
      <c r="K297" s="18"/>
      <c r="L297" s="13">
        <f>SUM(F297:K297)</f>
        <v>38607.1</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f>850</f>
        <v>850</v>
      </c>
      <c r="G301" s="18">
        <f>64.32+178.67</f>
        <v>242.98999999999998</v>
      </c>
      <c r="H301" s="18"/>
      <c r="I301" s="18"/>
      <c r="J301" s="18"/>
      <c r="K301" s="18"/>
      <c r="L301" s="13">
        <f t="shared" ref="L301:L307" si="14">SUM(F301:K301)</f>
        <v>1092.99</v>
      </c>
      <c r="M301" s="8"/>
      <c r="N301" s="165"/>
    </row>
    <row r="302" spans="1:14" s="3" customFormat="1" ht="12.2" customHeight="1" x14ac:dyDescent="0.15">
      <c r="A302" s="1" t="s">
        <v>443</v>
      </c>
      <c r="B302" s="2" t="s">
        <v>358</v>
      </c>
      <c r="C302" s="2" t="s">
        <v>295</v>
      </c>
      <c r="D302" s="2" t="s">
        <v>431</v>
      </c>
      <c r="E302" s="6">
        <v>2200</v>
      </c>
      <c r="F302" s="18">
        <f>1350+22350+9000+2100+2475+1500+80000</f>
        <v>118775</v>
      </c>
      <c r="G302" s="18">
        <f>98.09+283.77+1647.45+84.36+4477.28+653.79+126.54+1702.63+157.28+441.42+185.33+457.19+109.22+315.3+5914.12+16185.4+3675.58</f>
        <v>36514.75</v>
      </c>
      <c r="H302" s="18">
        <f>41750+5775+500</f>
        <v>48025</v>
      </c>
      <c r="I302" s="18">
        <f>2400+2569+1339.92</f>
        <v>6308.92</v>
      </c>
      <c r="J302" s="18">
        <f>8095.19+10598.52</f>
        <v>18693.71</v>
      </c>
      <c r="K302" s="18">
        <f>35+2074+1600</f>
        <v>3709</v>
      </c>
      <c r="L302" s="13">
        <f t="shared" si="14"/>
        <v>232026.38</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f>20175+3825</f>
        <v>24000</v>
      </c>
      <c r="J307" s="18"/>
      <c r="K307" s="18"/>
      <c r="L307" s="13">
        <f t="shared" si="14"/>
        <v>24000</v>
      </c>
      <c r="M307" s="8"/>
      <c r="N307" s="165"/>
    </row>
    <row r="308" spans="1:14" s="3" customFormat="1" ht="12.2" customHeight="1" x14ac:dyDescent="0.15">
      <c r="A308" s="1" t="s">
        <v>449</v>
      </c>
      <c r="B308" s="2" t="s">
        <v>358</v>
      </c>
      <c r="C308" s="2" t="s">
        <v>343</v>
      </c>
      <c r="D308" s="2" t="s">
        <v>431</v>
      </c>
      <c r="E308" s="6">
        <v>2800</v>
      </c>
      <c r="F308" s="18"/>
      <c r="G308" s="18"/>
      <c r="H308" s="18">
        <f>22488</f>
        <v>22488</v>
      </c>
      <c r="I308" s="18"/>
      <c r="J308" s="18"/>
      <c r="K308" s="18"/>
      <c r="L308" s="13">
        <f>SUM(F308:K308)</f>
        <v>22488</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164380.72</v>
      </c>
      <c r="G310" s="39">
        <f t="shared" si="15"/>
        <v>55609.119999999995</v>
      </c>
      <c r="H310" s="39">
        <f t="shared" si="15"/>
        <v>70628.28</v>
      </c>
      <c r="I310" s="39">
        <f t="shared" si="15"/>
        <v>32512.510000000002</v>
      </c>
      <c r="J310" s="39">
        <f t="shared" si="15"/>
        <v>18693.71</v>
      </c>
      <c r="K310" s="39">
        <f t="shared" si="15"/>
        <v>14981.1</v>
      </c>
      <c r="L310" s="38">
        <f t="shared" si="15"/>
        <v>356805.44</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16001.75</f>
        <v>16001.75</v>
      </c>
      <c r="G315" s="18">
        <f>1224.1+369.12+2487.56</f>
        <v>4080.7799999999997</v>
      </c>
      <c r="H315" s="18"/>
      <c r="I315" s="18"/>
      <c r="J315" s="18"/>
      <c r="K315" s="18">
        <f>65</f>
        <v>65</v>
      </c>
      <c r="L315" s="13">
        <f>SUM(F315:K315)</f>
        <v>20147.53</v>
      </c>
      <c r="M315" s="8"/>
      <c r="N315" s="165"/>
    </row>
    <row r="316" spans="1:14" s="3" customFormat="1" ht="12.2" customHeight="1" x14ac:dyDescent="0.15">
      <c r="A316" s="1" t="s">
        <v>439</v>
      </c>
      <c r="B316" s="2" t="s">
        <v>359</v>
      </c>
      <c r="C316" s="2" t="s">
        <v>291</v>
      </c>
      <c r="D316" s="2" t="s">
        <v>431</v>
      </c>
      <c r="E316" s="6">
        <v>1200</v>
      </c>
      <c r="F316" s="18">
        <f>43332.89</f>
        <v>43332.89</v>
      </c>
      <c r="G316" s="18">
        <f>6239.36+280.53+230.12+3183.48+9108.54+90+90</f>
        <v>19222.03</v>
      </c>
      <c r="H316" s="18"/>
      <c r="I316" s="18"/>
      <c r="J316" s="18"/>
      <c r="K316" s="18"/>
      <c r="L316" s="13">
        <f>SUM(F316:K316)</f>
        <v>62554.92</v>
      </c>
      <c r="M316" s="8"/>
      <c r="N316" s="165"/>
    </row>
    <row r="317" spans="1:14" s="3" customFormat="1" ht="12.2" customHeight="1" x14ac:dyDescent="0.15">
      <c r="A317" s="1" t="s">
        <v>440</v>
      </c>
      <c r="B317" s="2" t="s">
        <v>359</v>
      </c>
      <c r="C317" s="2" t="s">
        <v>292</v>
      </c>
      <c r="D317" s="2" t="s">
        <v>431</v>
      </c>
      <c r="E317" s="6">
        <v>1300</v>
      </c>
      <c r="F317" s="18">
        <f>2326+3360+24395</f>
        <v>30081</v>
      </c>
      <c r="G317" s="18">
        <f>177.94+462.44+254.44+554.92+1866.26</f>
        <v>3316</v>
      </c>
      <c r="H317" s="18">
        <f>949.59+689+2500+929+2000+1403.45+2551.48+198+3000</f>
        <v>14220.52</v>
      </c>
      <c r="I317" s="18">
        <f>5064+21366.08</f>
        <v>26430.080000000002</v>
      </c>
      <c r="J317" s="18">
        <f>350+221.27+8578.39+43500+6632</f>
        <v>59281.66</v>
      </c>
      <c r="K317" s="18">
        <f>2355.22</f>
        <v>2355.2199999999998</v>
      </c>
      <c r="L317" s="13">
        <f>SUM(F317:K317)</f>
        <v>135684.48000000001</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v>41703</v>
      </c>
      <c r="K320" s="18"/>
      <c r="L320" s="13">
        <f t="shared" ref="L320:L326" si="16">SUM(F320:K320)</f>
        <v>41703</v>
      </c>
      <c r="M320" s="8"/>
      <c r="N320" s="165"/>
    </row>
    <row r="321" spans="1:14" s="3" customFormat="1" ht="12.2" customHeight="1" x14ac:dyDescent="0.15">
      <c r="A321" s="1" t="s">
        <v>443</v>
      </c>
      <c r="B321" s="2" t="s">
        <v>359</v>
      </c>
      <c r="C321" s="2" t="s">
        <v>295</v>
      </c>
      <c r="D321" s="2" t="s">
        <v>431</v>
      </c>
      <c r="E321" s="6">
        <v>2200</v>
      </c>
      <c r="F321" s="18">
        <f>22398.75</f>
        <v>22398.75</v>
      </c>
      <c r="G321" s="18">
        <f>1713.58</f>
        <v>1713.58</v>
      </c>
      <c r="H321" s="18">
        <f>17900</f>
        <v>17900</v>
      </c>
      <c r="I321" s="18">
        <f>11691.4+9865.5</f>
        <v>21556.9</v>
      </c>
      <c r="J321" s="18">
        <f>33978.25</f>
        <v>33978.25</v>
      </c>
      <c r="K321" s="18">
        <f>11607.02</f>
        <v>11607.02</v>
      </c>
      <c r="L321" s="13">
        <f t="shared" si="16"/>
        <v>109154.50000000001</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f>59294</f>
        <v>59294</v>
      </c>
      <c r="I325" s="18"/>
      <c r="J325" s="18">
        <f>52183.67</f>
        <v>52183.67</v>
      </c>
      <c r="K325" s="18"/>
      <c r="L325" s="13">
        <f t="shared" si="16"/>
        <v>111477.67</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f>140552-22488-75898</f>
        <v>42166</v>
      </c>
      <c r="I327" s="18"/>
      <c r="J327" s="18"/>
      <c r="K327" s="18"/>
      <c r="L327" s="13">
        <f>SUM(F327:K327)</f>
        <v>42166</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111814.39</v>
      </c>
      <c r="G329" s="39">
        <f t="shared" si="17"/>
        <v>28332.39</v>
      </c>
      <c r="H329" s="39">
        <f t="shared" si="17"/>
        <v>133580.52000000002</v>
      </c>
      <c r="I329" s="39">
        <f t="shared" si="17"/>
        <v>47986.98</v>
      </c>
      <c r="J329" s="39">
        <f t="shared" si="17"/>
        <v>187146.58000000002</v>
      </c>
      <c r="K329" s="39">
        <f t="shared" si="17"/>
        <v>14027.24</v>
      </c>
      <c r="L329" s="38">
        <f t="shared" si="17"/>
        <v>522888.1</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f>10735.08+15677+2880+24640</f>
        <v>53932.08</v>
      </c>
      <c r="G334" s="18">
        <f>821.21+1119.66+3279.54+220.34+1945.44+4161.82</f>
        <v>11548.01</v>
      </c>
      <c r="H334" s="18">
        <f>2418.55+1934.72+296.56+500+600</f>
        <v>5749.8300000000008</v>
      </c>
      <c r="I334" s="18">
        <f>37252.93+8432.4+3730.2+1310.23+6000</f>
        <v>56725.760000000002</v>
      </c>
      <c r="J334" s="18"/>
      <c r="K334" s="18">
        <f>650+1674.47+500+2027.03</f>
        <v>4851.5</v>
      </c>
      <c r="L334" s="13">
        <f t="shared" si="18"/>
        <v>132807.18</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f>30187.5</f>
        <v>30187.5</v>
      </c>
      <c r="K337" s="18"/>
      <c r="L337" s="13">
        <f t="shared" si="18"/>
        <v>30187.5</v>
      </c>
      <c r="M337" s="8"/>
      <c r="N337" s="165"/>
    </row>
    <row r="338" spans="1:43" s="3" customFormat="1" ht="12.2" customHeight="1" thickTop="1" thickBot="1" x14ac:dyDescent="0.2">
      <c r="A338" s="46" t="s">
        <v>467</v>
      </c>
      <c r="B338" s="37">
        <v>14</v>
      </c>
      <c r="C338" s="47">
        <v>6</v>
      </c>
      <c r="D338" s="44" t="s">
        <v>431</v>
      </c>
      <c r="E338" s="47"/>
      <c r="F338" s="38">
        <f t="shared" ref="F338:K338" si="19">SUM(F333:F337)</f>
        <v>53932.08</v>
      </c>
      <c r="G338" s="38">
        <f t="shared" si="19"/>
        <v>11548.01</v>
      </c>
      <c r="H338" s="38">
        <f t="shared" si="19"/>
        <v>5749.8300000000008</v>
      </c>
      <c r="I338" s="38">
        <f t="shared" si="19"/>
        <v>56725.760000000002</v>
      </c>
      <c r="J338" s="38">
        <f t="shared" si="19"/>
        <v>30187.5</v>
      </c>
      <c r="K338" s="38">
        <f t="shared" si="19"/>
        <v>4851.5</v>
      </c>
      <c r="L338" s="38">
        <f t="shared" si="18"/>
        <v>162994.68</v>
      </c>
      <c r="M338" s="8"/>
      <c r="N338" s="165"/>
    </row>
    <row r="339" spans="1:43" s="3" customFormat="1" ht="12.2" customHeight="1" thickTop="1" x14ac:dyDescent="0.15">
      <c r="A339" s="35" t="s">
        <v>468</v>
      </c>
      <c r="B339" s="37">
        <v>14</v>
      </c>
      <c r="C339" s="37">
        <v>7</v>
      </c>
      <c r="D339" s="36" t="s">
        <v>431</v>
      </c>
      <c r="E339" s="37"/>
      <c r="F339" s="38">
        <f t="shared" ref="F339:L339" si="20">F291+F310+F329+F338</f>
        <v>924152.69</v>
      </c>
      <c r="G339" s="38">
        <f t="shared" si="20"/>
        <v>358542.46000000008</v>
      </c>
      <c r="H339" s="38">
        <f t="shared" si="20"/>
        <v>705810.35</v>
      </c>
      <c r="I339" s="38">
        <f t="shared" si="20"/>
        <v>318451.98</v>
      </c>
      <c r="J339" s="38">
        <f t="shared" si="20"/>
        <v>284416.91000000003</v>
      </c>
      <c r="K339" s="38">
        <f t="shared" si="20"/>
        <v>90549.270000000019</v>
      </c>
      <c r="L339" s="38">
        <f t="shared" si="20"/>
        <v>2681923.66</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924152.69</v>
      </c>
      <c r="G353" s="38">
        <f>G339</f>
        <v>358542.46000000008</v>
      </c>
      <c r="H353" s="38">
        <f>H339</f>
        <v>705810.35</v>
      </c>
      <c r="I353" s="38">
        <f>I339</f>
        <v>318451.98</v>
      </c>
      <c r="J353" s="38">
        <f>J339</f>
        <v>284416.91000000003</v>
      </c>
      <c r="K353" s="38">
        <f>K339+K352</f>
        <v>90549.270000000019</v>
      </c>
      <c r="L353" s="38">
        <f>L339+L352</f>
        <v>2681923.66</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f>153326.32+24943.29</f>
        <v>178269.61000000002</v>
      </c>
      <c r="I359" s="18">
        <f>162.59+3332.13</f>
        <v>3494.7200000000003</v>
      </c>
      <c r="J359" s="18">
        <f>4043.39</f>
        <v>4043.39</v>
      </c>
      <c r="K359" s="18"/>
      <c r="L359" s="13">
        <f>SUM(F359:K359)</f>
        <v>185807.72000000003</v>
      </c>
      <c r="M359" s="8"/>
      <c r="N359" s="165"/>
    </row>
    <row r="360" spans="1:22" s="3" customFormat="1" ht="12.2" customHeight="1" x14ac:dyDescent="0.15">
      <c r="A360" s="1" t="s">
        <v>542</v>
      </c>
      <c r="B360" s="2" t="s">
        <v>366</v>
      </c>
      <c r="C360" s="6">
        <v>2</v>
      </c>
      <c r="D360" s="2" t="s">
        <v>431</v>
      </c>
      <c r="E360" s="6"/>
      <c r="F360" s="18"/>
      <c r="G360" s="18"/>
      <c r="H360" s="18">
        <f>55158.25</f>
        <v>55158.25</v>
      </c>
      <c r="I360" s="18">
        <f>1323.28</f>
        <v>1323.28</v>
      </c>
      <c r="J360" s="18">
        <f>1268.52</f>
        <v>1268.52</v>
      </c>
      <c r="K360" s="18"/>
      <c r="L360" s="13">
        <f>SUM(F360:K360)</f>
        <v>57750.049999999996</v>
      </c>
      <c r="M360" s="8"/>
      <c r="N360" s="165"/>
    </row>
    <row r="361" spans="1:22" s="3" customFormat="1" ht="12.2" customHeight="1" x14ac:dyDescent="0.15">
      <c r="A361" s="3" t="s">
        <v>543</v>
      </c>
      <c r="B361" s="2" t="s">
        <v>366</v>
      </c>
      <c r="C361" s="6">
        <v>3</v>
      </c>
      <c r="D361" s="2" t="s">
        <v>431</v>
      </c>
      <c r="E361" s="6"/>
      <c r="F361" s="18"/>
      <c r="G361" s="18"/>
      <c r="H361" s="18">
        <f>103299.65</f>
        <v>103299.65</v>
      </c>
      <c r="I361" s="18">
        <f>2709.71</f>
        <v>2709.71</v>
      </c>
      <c r="J361" s="18">
        <f>2616.31</f>
        <v>2616.31</v>
      </c>
      <c r="K361" s="18"/>
      <c r="L361" s="13">
        <f>SUM(F361:K361)</f>
        <v>108625.67</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336727.51</v>
      </c>
      <c r="I363" s="38">
        <f t="shared" si="22"/>
        <v>7527.71</v>
      </c>
      <c r="J363" s="38">
        <f t="shared" si="22"/>
        <v>7928.2199999999993</v>
      </c>
      <c r="K363" s="38">
        <f t="shared" si="22"/>
        <v>0</v>
      </c>
      <c r="L363" s="38">
        <f t="shared" si="22"/>
        <v>352183.44</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3494.72</v>
      </c>
      <c r="G369" s="53">
        <v>1323.28</v>
      </c>
      <c r="H369" s="53">
        <v>2709.71</v>
      </c>
      <c r="I369" s="13">
        <f>SUM(F369:H369)</f>
        <v>7527.71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3494.72</v>
      </c>
      <c r="G370" s="38">
        <f>SUM(G368:G369)</f>
        <v>1323.28</v>
      </c>
      <c r="H370" s="38">
        <f>SUM(H368:H369)</f>
        <v>2709.71</v>
      </c>
      <c r="I370" s="38">
        <f>SUM(I368:I369)</f>
        <v>7527.71</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f>11804.06+50000</f>
        <v>61804.06</v>
      </c>
      <c r="H390" s="18">
        <v>22220.55</v>
      </c>
      <c r="I390" s="18"/>
      <c r="J390" s="23" t="s">
        <v>288</v>
      </c>
      <c r="K390" s="23" t="s">
        <v>288</v>
      </c>
      <c r="L390" s="13">
        <f t="shared" si="25"/>
        <v>84024.61</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v>7173.54</v>
      </c>
      <c r="I393" s="18"/>
      <c r="J393" s="23" t="s">
        <v>288</v>
      </c>
      <c r="K393" s="23" t="s">
        <v>288</v>
      </c>
      <c r="L393" s="13">
        <f t="shared" si="25"/>
        <v>7173.54</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61804.06</v>
      </c>
      <c r="H394" s="97">
        <f>SUM(H388:H393)</f>
        <v>29394.09</v>
      </c>
      <c r="I394" s="54">
        <f>SUM(I388:I393)</f>
        <v>0</v>
      </c>
      <c r="J394" s="42" t="s">
        <v>288</v>
      </c>
      <c r="K394" s="42" t="s">
        <v>288</v>
      </c>
      <c r="L394" s="38">
        <f>SUM(L388:L393)</f>
        <v>91198.15</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61804.06</v>
      </c>
      <c r="H409" s="38">
        <f>H394+H402+H408</f>
        <v>29394.09</v>
      </c>
      <c r="I409" s="38">
        <f>I394+I402+I408</f>
        <v>0</v>
      </c>
      <c r="J409" s="23" t="s">
        <v>288</v>
      </c>
      <c r="K409" s="23" t="s">
        <v>288</v>
      </c>
      <c r="L409" s="38">
        <f>L394+L402+L408</f>
        <v>91198.15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v>98935</v>
      </c>
      <c r="L416" s="13">
        <f t="shared" si="27"/>
        <v>98935</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98935</v>
      </c>
      <c r="L420" s="38">
        <f t="shared" si="28"/>
        <v>98935</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98935</v>
      </c>
      <c r="L435" s="38">
        <f t="shared" si="32"/>
        <v>98935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864316.74</v>
      </c>
      <c r="G440" s="18"/>
      <c r="H440" s="18"/>
      <c r="I440" s="13">
        <f t="shared" ref="I440:I446" si="33">SUM(F440:H440)</f>
        <v>864316.74</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864316.74</v>
      </c>
      <c r="G447" s="13">
        <f>SUM(G440:G446)</f>
        <v>0</v>
      </c>
      <c r="H447" s="13">
        <f>SUM(H440:H446)</f>
        <v>0</v>
      </c>
      <c r="I447" s="13">
        <f>SUM(I440:I446)</f>
        <v>864316.74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864316.74</v>
      </c>
      <c r="G457" s="18"/>
      <c r="H457" s="18"/>
      <c r="I457" s="13">
        <f t="shared" si="34"/>
        <v>864316.74</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864316.74</v>
      </c>
      <c r="G461" s="65">
        <f>SUM(G455:G460)</f>
        <v>0</v>
      </c>
      <c r="H461" s="65">
        <f>SUM(H455:H460)</f>
        <v>0</v>
      </c>
      <c r="I461" s="65">
        <f>SUM(I455:I460)</f>
        <v>864316.74</v>
      </c>
      <c r="J461" s="23" t="s">
        <v>288</v>
      </c>
      <c r="K461" s="23" t="s">
        <v>288</v>
      </c>
      <c r="L461" s="23" t="s">
        <v>288</v>
      </c>
      <c r="N461" s="131"/>
    </row>
    <row r="462" spans="1:86" ht="12.2" customHeight="1" thickTop="1" x14ac:dyDescent="0.2">
      <c r="A462" s="40" t="s">
        <v>424</v>
      </c>
      <c r="B462" s="41">
        <v>18</v>
      </c>
      <c r="C462" s="64">
        <v>21</v>
      </c>
      <c r="D462" s="114" t="s">
        <v>432</v>
      </c>
      <c r="E462" s="64"/>
      <c r="F462" s="39">
        <f>F453+F461</f>
        <v>864316.74</v>
      </c>
      <c r="G462" s="39">
        <f>G453+G461</f>
        <v>0</v>
      </c>
      <c r="H462" s="39">
        <f>H453+H461</f>
        <v>0</v>
      </c>
      <c r="I462" s="39">
        <f>I453+I461</f>
        <v>864316.74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1302946.57</v>
      </c>
      <c r="G466" s="18">
        <v>63708.77</v>
      </c>
      <c r="H466" s="18"/>
      <c r="I466" s="18"/>
      <c r="J466" s="18">
        <v>872053.59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16142099.470000001</v>
      </c>
      <c r="G469" s="18">
        <v>395348.98</v>
      </c>
      <c r="H469" s="18">
        <v>2681923.66</v>
      </c>
      <c r="I469" s="18"/>
      <c r="J469" s="18">
        <f>11804.06+29394.09+50000</f>
        <v>91198.15</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16142099.470000001</v>
      </c>
      <c r="G471" s="19">
        <f>SUM(G469:G470)</f>
        <v>395348.98</v>
      </c>
      <c r="H471" s="19">
        <f>SUM(H469:H470)</f>
        <v>2681923.66</v>
      </c>
      <c r="I471" s="19">
        <f>SUM(I469:I470)</f>
        <v>0</v>
      </c>
      <c r="J471" s="19">
        <f>SUM(J469:J470)</f>
        <v>91198.15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16180028.26</v>
      </c>
      <c r="G473" s="18">
        <v>352183.44</v>
      </c>
      <c r="H473" s="18">
        <v>2681923.66</v>
      </c>
      <c r="I473" s="18"/>
      <c r="J473" s="18">
        <v>98935</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16180028.26</v>
      </c>
      <c r="G475" s="19">
        <f>SUM(G473:G474)</f>
        <v>352183.44</v>
      </c>
      <c r="H475" s="19">
        <f>SUM(H473:H474)</f>
        <v>2681923.66</v>
      </c>
      <c r="I475" s="19">
        <f>SUM(I473:I474)</f>
        <v>0</v>
      </c>
      <c r="J475" s="19">
        <f>SUM(J473:J474)</f>
        <v>98935</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1265017.7799999993</v>
      </c>
      <c r="G477" s="19">
        <f>(G466+G471)- G475</f>
        <v>106874.31</v>
      </c>
      <c r="H477" s="19">
        <f>(H466+H471)- H475</f>
        <v>0</v>
      </c>
      <c r="I477" s="19">
        <f>(I466+I471)- I475</f>
        <v>0</v>
      </c>
      <c r="J477" s="19">
        <f>(J466+J471)- J475</f>
        <v>864316.74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204653.6+471819.88+9724.14+32881.5+75113.1+2160+55066.83</f>
        <v>851419.04999999993</v>
      </c>
      <c r="G522" s="18">
        <f>275866.03+7830.67+4240.2+52419.3+64479.02+35782.31+1078.18+3181.54+29353.25+735.4+463.01+5476.66+15606.51+100.7+302.78+165+46315.51</f>
        <v>543396.07000000007</v>
      </c>
      <c r="H522" s="18">
        <f>103292.27+72031.26+150.94+65868.48</f>
        <v>241342.95</v>
      </c>
      <c r="I522" s="18">
        <f>3183.91+943.17+1671.94+2672.08+110+1558.51+22500</f>
        <v>32639.61</v>
      </c>
      <c r="J522" s="18">
        <f>797.98+274.62+30593.93</f>
        <v>31666.53</v>
      </c>
      <c r="K522" s="18">
        <f>1194.76+460.4</f>
        <v>1655.1599999999999</v>
      </c>
      <c r="L522" s="69">
        <f>SUM(F522:K522)</f>
        <v>1702119.37</v>
      </c>
      <c r="N522" s="131"/>
    </row>
    <row r="523" spans="1:14" ht="12.2" customHeight="1" x14ac:dyDescent="0.2">
      <c r="A523" s="21" t="s">
        <v>634</v>
      </c>
      <c r="B523" s="22">
        <v>21</v>
      </c>
      <c r="C523" s="22">
        <v>2</v>
      </c>
      <c r="D523" s="2" t="s">
        <v>432</v>
      </c>
      <c r="E523" s="22"/>
      <c r="F523" s="18">
        <f>76569.54+487.5+54124.58+3247.5+64222.6+18512.43+27595.5+640+25522.9</f>
        <v>270922.55</v>
      </c>
      <c r="G523" s="18">
        <f>38008.8+1425.95+767.99+9749.34+7609.91+16094.95+282.92+641.25+15541.29+660.72+501.01+6135.13+2602.79+13499.83+65.94+362.26+6361.99+242.15+164.59+2060.42+5746.64+31.17+104.89+49+13084.2</f>
        <v>141795.12999999998</v>
      </c>
      <c r="H523" s="18">
        <f>3902.66+57314.24+45+0</f>
        <v>61261.899999999994</v>
      </c>
      <c r="I523" s="18">
        <f>1273.39+481.67+385.77+199.95+462+4886.5</f>
        <v>7689.28</v>
      </c>
      <c r="J523" s="18">
        <f>94.16</f>
        <v>94.16</v>
      </c>
      <c r="K523" s="18">
        <f>807.11</f>
        <v>807.11</v>
      </c>
      <c r="L523" s="69">
        <f>SUM(F523:K523)</f>
        <v>482570.12999999995</v>
      </c>
      <c r="N523" s="131"/>
    </row>
    <row r="524" spans="1:14" ht="12.2" customHeight="1" thickBot="1" x14ac:dyDescent="0.25">
      <c r="A524" s="21" t="s">
        <v>635</v>
      </c>
      <c r="B524" s="22">
        <v>21</v>
      </c>
      <c r="C524" s="22">
        <v>3</v>
      </c>
      <c r="D524" s="2" t="s">
        <v>432</v>
      </c>
      <c r="E524" s="22"/>
      <c r="F524" s="18">
        <f>120857.18+34939.22+52001.4+53370+102031.66+4000+6957.5+1200+43332.89</f>
        <v>418689.85</v>
      </c>
      <c r="G524" s="18">
        <f>29328.51+1246.29+943.66+11553.39+4912.43+25403.96+201.8+805.61+12020.68+457.41+310.8+3882.88+10829.48+67.93+228.17+57283.2+1913.28+1079.76+11916.74+14345.62+11218.47+71.82+471.65+92+19222.03</f>
        <v>219807.56999999998</v>
      </c>
      <c r="H524" s="18">
        <f>3333.5+999.52+17905.74+2950+84</f>
        <v>25272.760000000002</v>
      </c>
      <c r="I524" s="18">
        <f>211.21+177.36+1372.53+1056.18+339.16+866+36022.39</f>
        <v>40044.83</v>
      </c>
      <c r="J524" s="18">
        <f>65.64+448.99</f>
        <v>514.63</v>
      </c>
      <c r="K524" s="18">
        <f>828.76+800</f>
        <v>1628.76</v>
      </c>
      <c r="L524" s="69">
        <f>SUM(F524:K524)</f>
        <v>705958.39999999991</v>
      </c>
      <c r="N524" s="131"/>
    </row>
    <row r="525" spans="1:14" ht="12.2" customHeight="1" thickTop="1" x14ac:dyDescent="0.2">
      <c r="A525" s="97" t="s">
        <v>63</v>
      </c>
      <c r="B525" s="41">
        <v>21</v>
      </c>
      <c r="C525" s="41">
        <v>4</v>
      </c>
      <c r="D525" s="115" t="s">
        <v>432</v>
      </c>
      <c r="E525" s="41"/>
      <c r="F525" s="81">
        <f>SUM(F522:F524)</f>
        <v>1541031.4499999997</v>
      </c>
      <c r="G525" s="81">
        <f t="shared" ref="G525:L525" si="36">SUM(G522:G524)</f>
        <v>904998.77</v>
      </c>
      <c r="H525" s="81">
        <f t="shared" si="36"/>
        <v>327877.61</v>
      </c>
      <c r="I525" s="81">
        <f t="shared" si="36"/>
        <v>80373.72</v>
      </c>
      <c r="J525" s="81">
        <f t="shared" si="36"/>
        <v>32275.32</v>
      </c>
      <c r="K525" s="81">
        <f t="shared" si="36"/>
        <v>4091.0299999999997</v>
      </c>
      <c r="L525" s="70">
        <f t="shared" si="36"/>
        <v>2890647.9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3000+42666.7+87542.53+42666.7</f>
        <v>175875.93</v>
      </c>
      <c r="G527" s="18">
        <f>755.7+13740.14+255.03+231.33+2988.61+145.98+33.97+8968.51+27588.57+511.92+471.79+6070.04+18344.7+67.93+342.79+13740.14+255.09+231.14+3078.03+8968.51+33.97+151.39</f>
        <v>106975.27999999998</v>
      </c>
      <c r="H527" s="18">
        <f>35757.56</f>
        <v>35757.56</v>
      </c>
      <c r="I527" s="18">
        <f>3181.24+98.95+637.78</f>
        <v>3917.9699999999993</v>
      </c>
      <c r="J527" s="18">
        <f>1399.27+194.13</f>
        <v>1593.4</v>
      </c>
      <c r="K527" s="18">
        <f>3596.55+659.94</f>
        <v>4256.49</v>
      </c>
      <c r="L527" s="69">
        <f>SUM(F527:K527)</f>
        <v>328376.62999999995</v>
      </c>
      <c r="M527" s="8"/>
      <c r="N527" s="165"/>
    </row>
    <row r="528" spans="1:14" s="3" customFormat="1" ht="12.2" customHeight="1" x14ac:dyDescent="0.15">
      <c r="A528" s="21" t="s">
        <v>634</v>
      </c>
      <c r="B528" s="22">
        <v>21</v>
      </c>
      <c r="C528" s="22">
        <v>6</v>
      </c>
      <c r="D528" s="2" t="s">
        <v>432</v>
      </c>
      <c r="E528" s="22"/>
      <c r="F528" s="18">
        <f>850+12799.91+26161.3+12799.91</f>
        <v>52611.119999999995</v>
      </c>
      <c r="G528" s="18">
        <f>242.99+4124.12+76.43+69.28+896.63+2690.55+10.79+45.42+8248.23+152.96+140.84+1813.93+5482.3+107.05+21.18+4124.12+76.43+69.28+923.35+2690.55+10.79+47.58</f>
        <v>32064.799999999996</v>
      </c>
      <c r="H528" s="18">
        <f>11477.2</f>
        <v>11477.2</v>
      </c>
      <c r="I528" s="18"/>
      <c r="J528" s="18">
        <f>41703</f>
        <v>41703</v>
      </c>
      <c r="K528" s="18"/>
      <c r="L528" s="69">
        <f>SUM(F528:K528)</f>
        <v>137856.12</v>
      </c>
      <c r="M528" s="8"/>
      <c r="N528" s="165"/>
    </row>
    <row r="529" spans="1:14" s="3" customFormat="1" ht="12.2" customHeight="1" thickBot="1" x14ac:dyDescent="0.2">
      <c r="A529" s="21" t="s">
        <v>635</v>
      </c>
      <c r="B529" s="22">
        <v>21</v>
      </c>
      <c r="C529" s="22">
        <v>7</v>
      </c>
      <c r="D529" s="2" t="s">
        <v>432</v>
      </c>
      <c r="E529" s="22"/>
      <c r="F529" s="18">
        <f>24533.39+49801.1+24533.39</f>
        <v>98867.87999999999</v>
      </c>
      <c r="G529" s="18">
        <f>7911.1+146.86+132.47+1718.36+5156.83+21.98+94.08+15713.96+291.76+268.29+3452.51+10437.16+43.96+221.68+7911.1+146.8+132.66+1770.05+5156.83+21.98+98.4</f>
        <v>60848.820000000014</v>
      </c>
      <c r="H529" s="18">
        <f>23232.24</f>
        <v>23232.240000000002</v>
      </c>
      <c r="I529" s="18"/>
      <c r="J529" s="18"/>
      <c r="K529" s="18"/>
      <c r="L529" s="69">
        <f>SUM(F529:K529)</f>
        <v>182948.94</v>
      </c>
      <c r="M529" s="8"/>
      <c r="N529" s="165"/>
    </row>
    <row r="530" spans="1:14" s="3" customFormat="1" ht="12.2" customHeight="1" thickTop="1" x14ac:dyDescent="0.15">
      <c r="A530" s="97" t="s">
        <v>65</v>
      </c>
      <c r="B530" s="41">
        <v>21</v>
      </c>
      <c r="C530" s="41">
        <v>8</v>
      </c>
      <c r="D530" s="115" t="s">
        <v>432</v>
      </c>
      <c r="E530" s="41"/>
      <c r="F530" s="70">
        <f>SUM(F527:F529)</f>
        <v>327354.93</v>
      </c>
      <c r="G530" s="70">
        <f t="shared" ref="G530:L530" si="37">SUM(G527:G529)</f>
        <v>199888.9</v>
      </c>
      <c r="H530" s="70">
        <f t="shared" si="37"/>
        <v>70467</v>
      </c>
      <c r="I530" s="70">
        <f t="shared" si="37"/>
        <v>3917.9699999999993</v>
      </c>
      <c r="J530" s="70">
        <f t="shared" si="37"/>
        <v>43296.4</v>
      </c>
      <c r="K530" s="70">
        <f t="shared" si="37"/>
        <v>4256.49</v>
      </c>
      <c r="L530" s="70">
        <f t="shared" si="37"/>
        <v>649181.68999999994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61126.35</v>
      </c>
      <c r="G532" s="18">
        <f>12966.6+314.77+432.84+4488.37+988.52+11370.92+42.76+241.14</f>
        <v>30845.920000000002</v>
      </c>
      <c r="H532" s="18"/>
      <c r="I532" s="18">
        <f>150.58</f>
        <v>150.58000000000001</v>
      </c>
      <c r="J532" s="18"/>
      <c r="K532" s="18"/>
      <c r="L532" s="69">
        <f>SUM(F532:K532)</f>
        <v>92122.85</v>
      </c>
      <c r="M532" s="8"/>
      <c r="N532" s="165"/>
    </row>
    <row r="533" spans="1:14" s="3" customFormat="1" ht="12.2" customHeight="1" x14ac:dyDescent="0.15">
      <c r="A533" s="21" t="s">
        <v>634</v>
      </c>
      <c r="B533" s="22">
        <v>21</v>
      </c>
      <c r="C533" s="22">
        <v>10</v>
      </c>
      <c r="D533" s="2" t="s">
        <v>432</v>
      </c>
      <c r="E533" s="22"/>
      <c r="F533" s="18">
        <v>18392.07</v>
      </c>
      <c r="G533" s="18">
        <f>13.19+73.53+3912.65+94.92+130.33+1350.33+304.2+3411.18</f>
        <v>9290.33</v>
      </c>
      <c r="H533" s="18">
        <f>53.06</f>
        <v>53.06</v>
      </c>
      <c r="I533" s="18">
        <v>41.6</v>
      </c>
      <c r="J533" s="18"/>
      <c r="K533" s="18"/>
      <c r="L533" s="69">
        <f>SUM(F533:K533)</f>
        <v>27777.06</v>
      </c>
      <c r="M533" s="8"/>
      <c r="N533" s="165"/>
    </row>
    <row r="534" spans="1:14" s="3" customFormat="1" ht="12.2" customHeight="1" thickBot="1" x14ac:dyDescent="0.2">
      <c r="A534" s="21" t="s">
        <v>635</v>
      </c>
      <c r="B534" s="22">
        <v>21</v>
      </c>
      <c r="C534" s="22">
        <v>11</v>
      </c>
      <c r="D534" s="2" t="s">
        <v>432</v>
      </c>
      <c r="E534" s="22"/>
      <c r="F534" s="18">
        <v>35431.58</v>
      </c>
      <c r="G534" s="18">
        <f>27.17+151.39+7576.11+183.61+250.61+2601.22+608.4+6538.42</f>
        <v>17936.93</v>
      </c>
      <c r="H534" s="18"/>
      <c r="I534" s="18">
        <v>85.8</v>
      </c>
      <c r="J534" s="18"/>
      <c r="K534" s="18"/>
      <c r="L534" s="69">
        <f>SUM(F534:K534)</f>
        <v>53454.310000000005</v>
      </c>
      <c r="M534" s="8"/>
      <c r="N534" s="165"/>
    </row>
    <row r="535" spans="1:14" s="3" customFormat="1" ht="12.2" customHeight="1" thickTop="1" x14ac:dyDescent="0.15">
      <c r="A535" s="97" t="s">
        <v>67</v>
      </c>
      <c r="B535" s="41">
        <v>21</v>
      </c>
      <c r="C535" s="41">
        <v>12</v>
      </c>
      <c r="D535" s="115" t="s">
        <v>432</v>
      </c>
      <c r="E535" s="41"/>
      <c r="F535" s="70">
        <f>SUM(F532:F534)</f>
        <v>114950</v>
      </c>
      <c r="G535" s="70">
        <f t="shared" ref="G535:L535" si="38">SUM(G532:G534)</f>
        <v>58073.18</v>
      </c>
      <c r="H535" s="70">
        <f t="shared" si="38"/>
        <v>53.06</v>
      </c>
      <c r="I535" s="70">
        <f t="shared" si="38"/>
        <v>277.98</v>
      </c>
      <c r="J535" s="70">
        <f t="shared" si="38"/>
        <v>0</v>
      </c>
      <c r="K535" s="70">
        <f t="shared" si="38"/>
        <v>0</v>
      </c>
      <c r="L535" s="70">
        <f t="shared" si="38"/>
        <v>173354.22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71000.14+583.27</f>
        <v>71583.41</v>
      </c>
      <c r="I542" s="18"/>
      <c r="J542" s="18"/>
      <c r="K542" s="18"/>
      <c r="L542" s="69">
        <f>SUM(F542:K542)</f>
        <v>71583.41</v>
      </c>
      <c r="M542" s="8"/>
      <c r="N542" s="165"/>
    </row>
    <row r="543" spans="1:14" s="3" customFormat="1" ht="12.2" customHeight="1" x14ac:dyDescent="0.15">
      <c r="A543" s="21" t="s">
        <v>634</v>
      </c>
      <c r="B543" s="22">
        <v>21</v>
      </c>
      <c r="C543" s="22">
        <v>18</v>
      </c>
      <c r="D543" s="2" t="s">
        <v>432</v>
      </c>
      <c r="E543" s="22"/>
      <c r="F543" s="18"/>
      <c r="G543" s="18"/>
      <c r="H543" s="18">
        <v>21037</v>
      </c>
      <c r="I543" s="18"/>
      <c r="J543" s="18"/>
      <c r="K543" s="18"/>
      <c r="L543" s="69">
        <f>SUM(F543:K543)</f>
        <v>21037</v>
      </c>
      <c r="M543" s="8"/>
      <c r="N543" s="165"/>
    </row>
    <row r="544" spans="1:14" s="3" customFormat="1" ht="12.2" customHeight="1" thickBot="1" x14ac:dyDescent="0.2">
      <c r="A544" s="21" t="s">
        <v>635</v>
      </c>
      <c r="B544" s="22">
        <v>21</v>
      </c>
      <c r="C544" s="22">
        <v>19</v>
      </c>
      <c r="D544" s="2" t="s">
        <v>432</v>
      </c>
      <c r="E544" s="22"/>
      <c r="F544" s="18"/>
      <c r="G544" s="18"/>
      <c r="H544" s="18">
        <f>39445+9979.19</f>
        <v>49424.19</v>
      </c>
      <c r="I544" s="18"/>
      <c r="J544" s="18"/>
      <c r="K544" s="18"/>
      <c r="L544" s="69">
        <f>SUM(F544:K544)</f>
        <v>49424.19</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142044.6</v>
      </c>
      <c r="I545" s="141">
        <f t="shared" si="40"/>
        <v>0</v>
      </c>
      <c r="J545" s="141">
        <f t="shared" si="40"/>
        <v>0</v>
      </c>
      <c r="K545" s="141">
        <f t="shared" si="40"/>
        <v>0</v>
      </c>
      <c r="L545" s="141">
        <f t="shared" si="40"/>
        <v>142044.6</v>
      </c>
      <c r="M545" s="8"/>
      <c r="N545" s="165"/>
    </row>
    <row r="546" spans="1:14" s="3" customFormat="1" ht="12.2" customHeight="1" thickTop="1" x14ac:dyDescent="0.15">
      <c r="A546" s="75" t="s">
        <v>72</v>
      </c>
      <c r="B546" s="41">
        <v>21</v>
      </c>
      <c r="C546" s="41">
        <v>21</v>
      </c>
      <c r="D546" s="115" t="s">
        <v>432</v>
      </c>
      <c r="E546" s="41"/>
      <c r="F546" s="70">
        <f>F525+F530+F535+F540+F545</f>
        <v>1983336.3799999997</v>
      </c>
      <c r="G546" s="70">
        <f t="shared" ref="G546:L546" si="41">G525+G530+G535+G540+G545</f>
        <v>1162960.8499999999</v>
      </c>
      <c r="H546" s="70">
        <f t="shared" si="41"/>
        <v>540442.27</v>
      </c>
      <c r="I546" s="70">
        <f t="shared" si="41"/>
        <v>84569.67</v>
      </c>
      <c r="J546" s="70">
        <f t="shared" si="41"/>
        <v>75571.72</v>
      </c>
      <c r="K546" s="70">
        <f t="shared" si="41"/>
        <v>8347.52</v>
      </c>
      <c r="L546" s="70">
        <f t="shared" si="41"/>
        <v>3855228.41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1702119.37</v>
      </c>
      <c r="G550" s="69">
        <f>L527</f>
        <v>328376.62999999995</v>
      </c>
      <c r="H550" s="69">
        <f>L532</f>
        <v>92122.85</v>
      </c>
      <c r="I550" s="69">
        <f>L537</f>
        <v>0</v>
      </c>
      <c r="J550" s="69">
        <f>L542</f>
        <v>71583.41</v>
      </c>
      <c r="K550" s="69">
        <f>SUM(F550:J550)</f>
        <v>2194202.2600000002</v>
      </c>
      <c r="L550" s="23" t="s">
        <v>288</v>
      </c>
      <c r="M550" s="8"/>
      <c r="N550" s="165"/>
    </row>
    <row r="551" spans="1:14" s="3" customFormat="1" ht="12.2" customHeight="1" x14ac:dyDescent="0.15">
      <c r="A551" s="21" t="s">
        <v>634</v>
      </c>
      <c r="B551" s="22">
        <v>21</v>
      </c>
      <c r="C551" s="22">
        <v>23</v>
      </c>
      <c r="D551" s="2" t="s">
        <v>432</v>
      </c>
      <c r="E551" s="22"/>
      <c r="F551" s="69">
        <f>L523</f>
        <v>482570.12999999995</v>
      </c>
      <c r="G551" s="69">
        <f>L528</f>
        <v>137856.12</v>
      </c>
      <c r="H551" s="69">
        <f>L533</f>
        <v>27777.06</v>
      </c>
      <c r="I551" s="69">
        <f>L538</f>
        <v>0</v>
      </c>
      <c r="J551" s="69">
        <f>L543</f>
        <v>21037</v>
      </c>
      <c r="K551" s="69">
        <f>SUM(F551:J551)</f>
        <v>669240.31000000006</v>
      </c>
      <c r="L551" s="23" t="s">
        <v>288</v>
      </c>
      <c r="M551" s="8"/>
      <c r="N551" s="165"/>
    </row>
    <row r="552" spans="1:14" s="3" customFormat="1" ht="12.2" customHeight="1" thickBot="1" x14ac:dyDescent="0.2">
      <c r="A552" s="21" t="s">
        <v>635</v>
      </c>
      <c r="B552" s="22">
        <v>21</v>
      </c>
      <c r="C552" s="22">
        <v>24</v>
      </c>
      <c r="D552" s="2" t="s">
        <v>432</v>
      </c>
      <c r="E552" s="22"/>
      <c r="F552" s="69">
        <f>L524</f>
        <v>705958.39999999991</v>
      </c>
      <c r="G552" s="69">
        <f>L529</f>
        <v>182948.94</v>
      </c>
      <c r="H552" s="69">
        <f>L534</f>
        <v>53454.310000000005</v>
      </c>
      <c r="I552" s="69">
        <f>L539</f>
        <v>0</v>
      </c>
      <c r="J552" s="69">
        <f>L544</f>
        <v>49424.19</v>
      </c>
      <c r="K552" s="69">
        <f>SUM(F552:J552)</f>
        <v>991785.83999999985</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2890647.9</v>
      </c>
      <c r="G553" s="70">
        <f t="shared" si="42"/>
        <v>649181.68999999994</v>
      </c>
      <c r="H553" s="70">
        <f t="shared" si="42"/>
        <v>173354.22</v>
      </c>
      <c r="I553" s="70">
        <f t="shared" si="42"/>
        <v>0</v>
      </c>
      <c r="J553" s="70">
        <f t="shared" si="42"/>
        <v>142044.6</v>
      </c>
      <c r="K553" s="70">
        <f t="shared" si="42"/>
        <v>3855228.41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75113.100000000006</v>
      </c>
      <c r="G563" s="18">
        <f>29353.25+735.4+463.01+5476.66+15606.51+100.7+302.78</f>
        <v>52038.31</v>
      </c>
      <c r="H563" s="18"/>
      <c r="I563" s="18">
        <f>1671.94</f>
        <v>1671.94</v>
      </c>
      <c r="J563" s="18">
        <v>274.62</v>
      </c>
      <c r="K563" s="18"/>
      <c r="L563" s="69">
        <f>SUM(F563:K563)</f>
        <v>129097.97</v>
      </c>
      <c r="M563" s="8"/>
      <c r="N563" s="165"/>
    </row>
    <row r="564" spans="1:14" s="3" customFormat="1" ht="12.2" customHeight="1" x14ac:dyDescent="0.15">
      <c r="A564" s="21" t="s">
        <v>634</v>
      </c>
      <c r="B564" s="22">
        <v>22</v>
      </c>
      <c r="C564" s="22">
        <v>6</v>
      </c>
      <c r="D564" s="2" t="s">
        <v>432</v>
      </c>
      <c r="E564" s="22"/>
      <c r="F564" s="18">
        <v>27595.5</v>
      </c>
      <c r="G564" s="18">
        <f>6361.99+242.15+164.59+2060.42+5746.64+31.17+104.89</f>
        <v>14711.85</v>
      </c>
      <c r="H564" s="18"/>
      <c r="I564" s="18"/>
      <c r="J564" s="18"/>
      <c r="K564" s="18"/>
      <c r="L564" s="69">
        <f>SUM(F564:K564)</f>
        <v>42307.35</v>
      </c>
      <c r="M564" s="8"/>
      <c r="N564" s="165"/>
    </row>
    <row r="565" spans="1:14" s="3" customFormat="1" ht="12.2" customHeight="1" thickBot="1" x14ac:dyDescent="0.2">
      <c r="A565" s="21" t="s">
        <v>635</v>
      </c>
      <c r="B565" s="22">
        <v>22</v>
      </c>
      <c r="C565" s="22">
        <v>7</v>
      </c>
      <c r="D565" s="2" t="s">
        <v>432</v>
      </c>
      <c r="E565" s="22"/>
      <c r="F565" s="18">
        <v>52001.4</v>
      </c>
      <c r="G565" s="18">
        <f>12020.68+457.41+310.8+3882.88+10829.48+67.93+228.17</f>
        <v>27797.35</v>
      </c>
      <c r="H565" s="18"/>
      <c r="I565" s="18">
        <f>211.21+177.36</f>
        <v>388.57000000000005</v>
      </c>
      <c r="J565" s="18">
        <v>65.64</v>
      </c>
      <c r="K565" s="18"/>
      <c r="L565" s="69">
        <f>SUM(F565:K565)</f>
        <v>80252.960000000006</v>
      </c>
      <c r="M565" s="8"/>
      <c r="N565" s="165"/>
    </row>
    <row r="566" spans="1:14" s="3" customFormat="1" ht="12.2" customHeight="1" thickTop="1" x14ac:dyDescent="0.15">
      <c r="A566" s="97" t="s">
        <v>65</v>
      </c>
      <c r="B566" s="41">
        <v>22</v>
      </c>
      <c r="C566" s="41">
        <v>8</v>
      </c>
      <c r="D566" s="115" t="s">
        <v>432</v>
      </c>
      <c r="E566" s="41"/>
      <c r="F566" s="70">
        <f t="shared" ref="F566:L566" si="44">SUM(F563:F565)</f>
        <v>154710</v>
      </c>
      <c r="G566" s="70">
        <f t="shared" si="44"/>
        <v>94547.510000000009</v>
      </c>
      <c r="H566" s="70">
        <f t="shared" si="44"/>
        <v>0</v>
      </c>
      <c r="I566" s="70">
        <f t="shared" si="44"/>
        <v>2060.5100000000002</v>
      </c>
      <c r="J566" s="70">
        <f t="shared" si="44"/>
        <v>340.26</v>
      </c>
      <c r="K566" s="70">
        <f t="shared" si="44"/>
        <v>0</v>
      </c>
      <c r="L566" s="70">
        <f t="shared" si="44"/>
        <v>251658.28000000003</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f>2672.08+110</f>
        <v>2782.08</v>
      </c>
      <c r="J568" s="18"/>
      <c r="K568" s="18"/>
      <c r="L568" s="69">
        <f>SUM(F568:K568)</f>
        <v>2782.08</v>
      </c>
      <c r="M568" s="8"/>
      <c r="N568" s="165"/>
    </row>
    <row r="569" spans="1:14" s="3" customFormat="1" ht="12.2" customHeight="1" x14ac:dyDescent="0.15">
      <c r="A569" s="21" t="s">
        <v>634</v>
      </c>
      <c r="B569" s="22">
        <v>22</v>
      </c>
      <c r="C569" s="22">
        <v>10</v>
      </c>
      <c r="D569" s="2" t="s">
        <v>432</v>
      </c>
      <c r="E569" s="22"/>
      <c r="F569" s="18"/>
      <c r="G569" s="18"/>
      <c r="H569" s="18"/>
      <c r="I569" s="18">
        <v>199.95</v>
      </c>
      <c r="J569" s="18"/>
      <c r="K569" s="18"/>
      <c r="L569" s="69">
        <f>SUM(F569:K569)</f>
        <v>199.95</v>
      </c>
      <c r="M569" s="8"/>
      <c r="N569" s="165"/>
    </row>
    <row r="570" spans="1:14" s="3" customFormat="1" ht="12.2" customHeight="1" thickBot="1" x14ac:dyDescent="0.2">
      <c r="A570" s="21" t="s">
        <v>635</v>
      </c>
      <c r="B570" s="22">
        <v>22</v>
      </c>
      <c r="C570" s="22">
        <v>11</v>
      </c>
      <c r="D570" s="2" t="s">
        <v>432</v>
      </c>
      <c r="E570" s="22"/>
      <c r="F570" s="18"/>
      <c r="G570" s="18"/>
      <c r="H570" s="18">
        <v>2950</v>
      </c>
      <c r="I570" s="18">
        <v>339.16</v>
      </c>
      <c r="J570" s="18"/>
      <c r="K570" s="18">
        <f>800</f>
        <v>800</v>
      </c>
      <c r="L570" s="69">
        <f>SUM(F570:K570)</f>
        <v>4089.16</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2950</v>
      </c>
      <c r="I571" s="141">
        <f t="shared" si="45"/>
        <v>3321.1899999999996</v>
      </c>
      <c r="J571" s="141">
        <f t="shared" si="45"/>
        <v>0</v>
      </c>
      <c r="K571" s="141">
        <f t="shared" si="45"/>
        <v>800</v>
      </c>
      <c r="L571" s="141">
        <f t="shared" si="45"/>
        <v>7071.19</v>
      </c>
      <c r="M571" s="8"/>
      <c r="N571" s="165"/>
    </row>
    <row r="572" spans="1:14" s="3" customFormat="1" ht="12.2" customHeight="1" thickTop="1" x14ac:dyDescent="0.15">
      <c r="A572" s="75" t="s">
        <v>88</v>
      </c>
      <c r="B572" s="41">
        <v>22</v>
      </c>
      <c r="C572" s="41">
        <v>13</v>
      </c>
      <c r="D572" s="115" t="s">
        <v>432</v>
      </c>
      <c r="E572" s="41"/>
      <c r="F572" s="70">
        <f>F561+F566+F571</f>
        <v>154710</v>
      </c>
      <c r="G572" s="70">
        <f t="shared" ref="G572:L572" si="46">G561+G566+G571</f>
        <v>94547.510000000009</v>
      </c>
      <c r="H572" s="70">
        <f t="shared" si="46"/>
        <v>2950</v>
      </c>
      <c r="I572" s="70">
        <f t="shared" si="46"/>
        <v>5381.7</v>
      </c>
      <c r="J572" s="70">
        <f t="shared" si="46"/>
        <v>340.26</v>
      </c>
      <c r="K572" s="70">
        <f t="shared" si="46"/>
        <v>800</v>
      </c>
      <c r="L572" s="70">
        <f t="shared" si="46"/>
        <v>258729.47000000003</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25250</v>
      </c>
      <c r="I576" s="69">
        <f>SUM(F576:H576)</f>
        <v>25250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72031.26</f>
        <v>72031.259999999995</v>
      </c>
      <c r="G583" s="18">
        <f>57314.24</f>
        <v>57314.239999999998</v>
      </c>
      <c r="H583" s="18">
        <v>17905.740000000002</v>
      </c>
      <c r="I583" s="69">
        <f t="shared" si="47"/>
        <v>147251.24</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v>2950</v>
      </c>
      <c r="I584" s="69">
        <f t="shared" si="47"/>
        <v>2950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14615.78</v>
      </c>
      <c r="I585" s="69">
        <f t="shared" si="47"/>
        <v>14615.78</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62801.25</f>
        <v>62801.25</v>
      </c>
      <c r="I592" s="18">
        <f>18608</f>
        <v>18608</v>
      </c>
      <c r="J592" s="18">
        <f>34889</f>
        <v>34889</v>
      </c>
      <c r="K592" s="80">
        <f t="shared" ref="K592:K598" si="48">SUM(H592:J592)</f>
        <v>116298.25</v>
      </c>
      <c r="L592" s="23" t="s">
        <v>288</v>
      </c>
      <c r="M592" s="8"/>
      <c r="N592" s="165"/>
    </row>
    <row r="593" spans="1:14" s="3" customFormat="1" ht="12.2" customHeight="1" x14ac:dyDescent="0.15">
      <c r="A593" s="3" t="s">
        <v>638</v>
      </c>
      <c r="B593" s="22">
        <v>23</v>
      </c>
      <c r="C593" s="22">
        <v>2</v>
      </c>
      <c r="D593" s="2" t="s">
        <v>432</v>
      </c>
      <c r="E593" s="22"/>
      <c r="F593" s="78">
        <v>2722</v>
      </c>
      <c r="G593" s="79" t="s">
        <v>97</v>
      </c>
      <c r="H593" s="18">
        <f>71000.14+583.27</f>
        <v>71583.41</v>
      </c>
      <c r="I593" s="18">
        <f>21037</f>
        <v>21037</v>
      </c>
      <c r="J593" s="18">
        <f>39445+9979.19</f>
        <v>49424.19</v>
      </c>
      <c r="K593" s="80">
        <f t="shared" si="48"/>
        <v>142044.6</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f>21962.7</f>
        <v>21962.7</v>
      </c>
      <c r="K594" s="80">
        <f t="shared" si="48"/>
        <v>21962.7</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f>826.48</f>
        <v>826.48</v>
      </c>
      <c r="J595" s="18">
        <f>44652.05</f>
        <v>44652.05</v>
      </c>
      <c r="K595" s="80">
        <f t="shared" si="48"/>
        <v>45478.530000000006</v>
      </c>
      <c r="L595" s="23" t="s">
        <v>288</v>
      </c>
      <c r="M595" s="8"/>
      <c r="N595" s="165"/>
    </row>
    <row r="596" spans="1:14" s="3" customFormat="1" ht="12.2" customHeight="1" x14ac:dyDescent="0.15">
      <c r="A596" s="103" t="s">
        <v>652</v>
      </c>
      <c r="B596" s="22">
        <v>23</v>
      </c>
      <c r="C596" s="22">
        <v>5</v>
      </c>
      <c r="D596" s="2" t="s">
        <v>432</v>
      </c>
      <c r="E596" s="22"/>
      <c r="F596" s="78">
        <v>2725</v>
      </c>
      <c r="G596" s="79" t="s">
        <v>97</v>
      </c>
      <c r="H596" s="18">
        <f>8393.99</f>
        <v>8393.99</v>
      </c>
      <c r="I596" s="18"/>
      <c r="J596" s="18"/>
      <c r="K596" s="80">
        <f t="shared" si="48"/>
        <v>8393.99</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f>2654.01+202.73+332.47+1006.35+26690</f>
        <v>30885.56</v>
      </c>
      <c r="I598" s="18">
        <f>786+60+99+299+7908</f>
        <v>9152</v>
      </c>
      <c r="J598" s="18">
        <f>1475+113+185+559+14828</f>
        <v>17160</v>
      </c>
      <c r="K598" s="80">
        <f t="shared" si="48"/>
        <v>57197.56</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173664.21</v>
      </c>
      <c r="I599" s="81">
        <f>SUM(I592:I598)</f>
        <v>49623.48</v>
      </c>
      <c r="J599" s="81">
        <f>SUM(J592:J598)</f>
        <v>168087.94</v>
      </c>
      <c r="K599" s="81">
        <f>SUM(K592:K598)</f>
        <v>391375.63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64558.88+150153.25</f>
        <v>214712.13</v>
      </c>
      <c r="I605" s="18">
        <f>25167.56+44490</f>
        <v>69657.56</v>
      </c>
      <c r="J605" s="18">
        <f>59281.66+100411.69+83418-30187.5</f>
        <v>212923.85</v>
      </c>
      <c r="K605" s="80">
        <f>SUM(H605:J605)</f>
        <v>497293.54000000004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214712.13</v>
      </c>
      <c r="I606" s="81">
        <f>SUM(I603:I605)</f>
        <v>69657.56</v>
      </c>
      <c r="J606" s="81">
        <f>SUM(J603:J605)</f>
        <v>212923.85</v>
      </c>
      <c r="K606" s="81">
        <f>SUM(K603:K605)</f>
        <v>497293.54000000004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1564607.9100000001</v>
      </c>
      <c r="H618" s="80">
        <f>SUM(F52)</f>
        <v>1564607.9100000001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132594.94</v>
      </c>
      <c r="H619" s="80">
        <f>SUM(G52)</f>
        <v>132594.94</v>
      </c>
      <c r="I619" s="87" t="s">
        <v>875</v>
      </c>
      <c r="J619" s="80">
        <f>G619-H619</f>
        <v>0</v>
      </c>
      <c r="K619" s="80"/>
      <c r="L619" s="80"/>
      <c r="M619" s="8"/>
    </row>
    <row r="620" spans="1:14" s="3" customFormat="1" ht="12.2" customHeight="1" x14ac:dyDescent="0.15">
      <c r="A620" s="74"/>
      <c r="B620" s="22"/>
      <c r="C620" s="22"/>
      <c r="D620" s="22"/>
      <c r="E620" s="22"/>
      <c r="F620" s="87" t="s">
        <v>685</v>
      </c>
      <c r="G620" s="80">
        <f>SUM(H19)</f>
        <v>186820.96000000002</v>
      </c>
      <c r="H620" s="80">
        <f>SUM(H52)</f>
        <v>186820.96</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864316.74</v>
      </c>
      <c r="H622" s="80">
        <f>SUM(J52)</f>
        <v>864316.74</v>
      </c>
      <c r="I622" s="87" t="s">
        <v>878</v>
      </c>
      <c r="J622" s="80">
        <f>G622-H622</f>
        <v>0</v>
      </c>
      <c r="K622" s="80"/>
      <c r="L622" s="80"/>
      <c r="M622" s="8"/>
    </row>
    <row r="623" spans="1:14" s="3" customFormat="1" ht="12.2" customHeight="1" x14ac:dyDescent="0.15">
      <c r="A623" s="74"/>
      <c r="B623" s="22"/>
      <c r="C623" s="22"/>
      <c r="D623" s="22"/>
      <c r="E623" s="22"/>
      <c r="F623" s="87" t="s">
        <v>864</v>
      </c>
      <c r="G623" s="80">
        <f>F51</f>
        <v>1265017.78</v>
      </c>
      <c r="H623" s="80">
        <f>F477</f>
        <v>1265017.7799999993</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106874.31</v>
      </c>
      <c r="H624" s="80">
        <f>G477</f>
        <v>106874.31</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864316.74</v>
      </c>
      <c r="H627" s="80">
        <f>J477</f>
        <v>864316.74</v>
      </c>
      <c r="I627" s="87" t="s">
        <v>105</v>
      </c>
      <c r="J627" s="80">
        <f t="shared" si="50"/>
        <v>0</v>
      </c>
      <c r="K627" s="67"/>
      <c r="L627" s="69"/>
      <c r="M627" s="8"/>
    </row>
    <row r="628" spans="1:13" s="3" customFormat="1" ht="12.2" customHeight="1" x14ac:dyDescent="0.15">
      <c r="A628" s="21"/>
      <c r="B628" s="22"/>
      <c r="C628" s="22"/>
      <c r="D628" s="22"/>
      <c r="E628" s="22"/>
      <c r="F628" s="86" t="s">
        <v>658</v>
      </c>
      <c r="G628" s="80">
        <f>F194</f>
        <v>16142099.470000001</v>
      </c>
      <c r="H628" s="80">
        <f>SUM(F469)</f>
        <v>16142099.470000001</v>
      </c>
      <c r="I628" s="87" t="s">
        <v>106</v>
      </c>
      <c r="J628" s="80">
        <f>G628-H628</f>
        <v>0</v>
      </c>
      <c r="K628" s="67"/>
      <c r="L628" s="69"/>
      <c r="M628" s="8"/>
    </row>
    <row r="629" spans="1:13" s="3" customFormat="1" ht="12.2" customHeight="1" x14ac:dyDescent="0.15">
      <c r="A629" s="21"/>
      <c r="B629" s="22"/>
      <c r="C629" s="22"/>
      <c r="D629" s="22"/>
      <c r="E629" s="22"/>
      <c r="F629" s="86" t="s">
        <v>659</v>
      </c>
      <c r="G629" s="80">
        <f>G194</f>
        <v>395348.98000000004</v>
      </c>
      <c r="H629" s="80">
        <f>SUM(G469)</f>
        <v>395348.98</v>
      </c>
      <c r="I629" s="87" t="s">
        <v>107</v>
      </c>
      <c r="J629" s="80">
        <f>G629-H629</f>
        <v>0</v>
      </c>
      <c r="K629" s="67"/>
      <c r="L629" s="69"/>
      <c r="M629" s="8"/>
    </row>
    <row r="630" spans="1:13" s="3" customFormat="1" ht="12.2" customHeight="1" x14ac:dyDescent="0.15">
      <c r="A630" s="21"/>
      <c r="B630" s="22"/>
      <c r="C630" s="22"/>
      <c r="D630" s="22"/>
      <c r="E630" s="22"/>
      <c r="F630" s="86" t="s">
        <v>660</v>
      </c>
      <c r="G630" s="80">
        <f>H194</f>
        <v>2681923.66</v>
      </c>
      <c r="H630" s="80">
        <f>SUM(H469)</f>
        <v>2681923.66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91198.15</v>
      </c>
      <c r="H632" s="80">
        <f>SUM(J469)</f>
        <v>91198.15</v>
      </c>
      <c r="I632" s="87" t="s">
        <v>110</v>
      </c>
      <c r="J632" s="80">
        <f>G632-H632</f>
        <v>0</v>
      </c>
      <c r="K632" s="67"/>
      <c r="L632" s="69"/>
      <c r="M632" s="8"/>
    </row>
    <row r="633" spans="1:13" s="3" customFormat="1" ht="12.2" customHeight="1" x14ac:dyDescent="0.15">
      <c r="A633" s="21"/>
      <c r="B633" s="22"/>
      <c r="C633" s="22"/>
      <c r="D633" s="22"/>
      <c r="E633" s="22"/>
      <c r="F633" s="86" t="s">
        <v>394</v>
      </c>
      <c r="G633" s="80">
        <f>SUM(L272)</f>
        <v>16180028.260000004</v>
      </c>
      <c r="H633" s="80">
        <f>SUM(F473)</f>
        <v>16180028.26</v>
      </c>
      <c r="I633" s="87" t="s">
        <v>111</v>
      </c>
      <c r="J633" s="80">
        <f t="shared" si="50"/>
        <v>0</v>
      </c>
      <c r="K633" s="67"/>
      <c r="L633" s="69"/>
      <c r="M633" s="8"/>
    </row>
    <row r="634" spans="1:13" s="3" customFormat="1" ht="12.2" customHeight="1" x14ac:dyDescent="0.15">
      <c r="A634" s="21"/>
      <c r="B634" s="22"/>
      <c r="C634" s="22"/>
      <c r="D634" s="22"/>
      <c r="E634" s="22"/>
      <c r="F634" s="86" t="s">
        <v>395</v>
      </c>
      <c r="G634" s="80">
        <f>SUM(L353)</f>
        <v>2681923.66</v>
      </c>
      <c r="H634" s="80">
        <f>SUM(H473)</f>
        <v>2681923.66</v>
      </c>
      <c r="I634" s="87" t="s">
        <v>112</v>
      </c>
      <c r="J634" s="80">
        <f>G634-H634</f>
        <v>0</v>
      </c>
      <c r="K634" s="67"/>
      <c r="L634" s="69"/>
      <c r="M634" s="8"/>
    </row>
    <row r="635" spans="1:13" s="124" customFormat="1" ht="12.2" customHeight="1" x14ac:dyDescent="0.15">
      <c r="A635" s="21"/>
      <c r="B635" s="22"/>
      <c r="C635" s="22"/>
      <c r="D635" s="22"/>
      <c r="E635" s="22"/>
      <c r="F635" s="99" t="s">
        <v>247</v>
      </c>
      <c r="G635" s="80">
        <f>I363</f>
        <v>7527.71</v>
      </c>
      <c r="H635" s="80">
        <f>I370</f>
        <v>7527.71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352183.44</v>
      </c>
      <c r="H636" s="80">
        <f>SUM(G473)</f>
        <v>352183.44</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91198.15</v>
      </c>
      <c r="H638" s="108">
        <f>SUM(J469)</f>
        <v>91198.15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98935</v>
      </c>
      <c r="H639" s="108">
        <f>SUM(J473)</f>
        <v>98935</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864316.74</v>
      </c>
      <c r="H640" s="80">
        <f>SUM(F462)</f>
        <v>864316.74</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864316.74</v>
      </c>
      <c r="H643" s="80">
        <f>SUM(I462)</f>
        <v>864316.74</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29394.09</v>
      </c>
      <c r="H645" s="80">
        <f>H409</f>
        <v>29394.09</v>
      </c>
      <c r="I645" s="87" t="s">
        <v>480</v>
      </c>
      <c r="J645" s="80">
        <f t="shared" si="50"/>
        <v>0</v>
      </c>
      <c r="K645" s="67"/>
      <c r="L645" s="69"/>
      <c r="M645" s="8"/>
    </row>
    <row r="646" spans="1:13" s="3" customFormat="1" ht="12.2" customHeight="1" x14ac:dyDescent="0.15">
      <c r="A646" s="21"/>
      <c r="B646" s="22"/>
      <c r="C646" s="22"/>
      <c r="D646" s="22"/>
      <c r="E646" s="22"/>
      <c r="F646" s="86" t="s">
        <v>664</v>
      </c>
      <c r="G646" s="80">
        <f>J184</f>
        <v>61804.06</v>
      </c>
      <c r="H646" s="80">
        <f>G409</f>
        <v>61804.06</v>
      </c>
      <c r="I646" s="87" t="s">
        <v>481</v>
      </c>
      <c r="J646" s="80">
        <f t="shared" si="50"/>
        <v>0</v>
      </c>
      <c r="K646" s="67"/>
      <c r="L646" s="69"/>
      <c r="M646" s="8"/>
    </row>
    <row r="647" spans="1:13" s="3" customFormat="1" ht="12.2" customHeight="1" x14ac:dyDescent="0.15">
      <c r="A647" s="21"/>
      <c r="B647" s="22"/>
      <c r="C647" s="22"/>
      <c r="D647" s="22"/>
      <c r="E647" s="22"/>
      <c r="F647" s="86" t="s">
        <v>662</v>
      </c>
      <c r="G647" s="80">
        <f>J194</f>
        <v>91198.15</v>
      </c>
      <c r="H647" s="80">
        <f>L409</f>
        <v>91198.15</v>
      </c>
      <c r="I647" s="87" t="s">
        <v>477</v>
      </c>
      <c r="J647" s="80">
        <f t="shared" si="50"/>
        <v>0</v>
      </c>
      <c r="K647" s="67"/>
      <c r="L647" s="69"/>
      <c r="M647" s="8"/>
    </row>
    <row r="648" spans="1:13" s="3" customFormat="1" ht="12.2" customHeight="1" x14ac:dyDescent="0.15">
      <c r="A648" s="21"/>
      <c r="B648" s="22"/>
      <c r="C648" s="22"/>
      <c r="D648" s="22"/>
      <c r="E648" s="22"/>
      <c r="F648" s="86" t="s">
        <v>51</v>
      </c>
      <c r="G648" s="80">
        <f>K599</f>
        <v>391375.63</v>
      </c>
      <c r="H648" s="80">
        <f>L209+L227+L245</f>
        <v>391375.63</v>
      </c>
      <c r="I648" s="87" t="s">
        <v>396</v>
      </c>
      <c r="J648" s="80">
        <f t="shared" si="50"/>
        <v>0</v>
      </c>
      <c r="K648" s="67"/>
      <c r="L648" s="69"/>
      <c r="M648" s="8"/>
    </row>
    <row r="649" spans="1:13" s="3" customFormat="1" ht="12.2" customHeight="1" x14ac:dyDescent="0.15">
      <c r="A649" s="21"/>
      <c r="B649" s="22"/>
      <c r="C649" s="22"/>
      <c r="D649" s="22"/>
      <c r="E649" s="22"/>
      <c r="F649" s="86" t="s">
        <v>52</v>
      </c>
      <c r="G649" s="80">
        <f>K606</f>
        <v>497293.54000000004</v>
      </c>
      <c r="H649" s="80">
        <f>(J258+J339)-(J256+J337)</f>
        <v>497293.54000000004</v>
      </c>
      <c r="I649" s="87" t="s">
        <v>699</v>
      </c>
      <c r="J649" s="80">
        <f t="shared" si="50"/>
        <v>0</v>
      </c>
      <c r="K649" s="67"/>
      <c r="L649" s="69"/>
      <c r="M649" s="8"/>
    </row>
    <row r="650" spans="1:13" s="3" customFormat="1" ht="12.2" customHeight="1" x14ac:dyDescent="0.15">
      <c r="A650" s="21"/>
      <c r="B650" s="22"/>
      <c r="C650" s="22"/>
      <c r="D650" s="22"/>
      <c r="E650" s="22"/>
      <c r="F650" s="86" t="s">
        <v>387</v>
      </c>
      <c r="G650" s="80">
        <f>L209</f>
        <v>173664.21</v>
      </c>
      <c r="H650" s="80">
        <f>H599</f>
        <v>173664.21</v>
      </c>
      <c r="I650" s="87" t="s">
        <v>388</v>
      </c>
      <c r="J650" s="80">
        <f t="shared" si="50"/>
        <v>0</v>
      </c>
      <c r="K650" s="67"/>
      <c r="L650" s="69"/>
      <c r="M650" s="8"/>
    </row>
    <row r="651" spans="1:13" s="3" customFormat="1" ht="12.2" customHeight="1" x14ac:dyDescent="0.15">
      <c r="A651" s="21"/>
      <c r="B651" s="22"/>
      <c r="C651" s="22"/>
      <c r="D651" s="22"/>
      <c r="E651" s="22"/>
      <c r="F651" s="86" t="s">
        <v>392</v>
      </c>
      <c r="G651" s="80">
        <f>L227</f>
        <v>49623.479999999996</v>
      </c>
      <c r="H651" s="80">
        <f>I599</f>
        <v>49623.48</v>
      </c>
      <c r="I651" s="87" t="s">
        <v>389</v>
      </c>
      <c r="J651" s="80">
        <f t="shared" si="50"/>
        <v>0</v>
      </c>
      <c r="K651" s="67"/>
      <c r="L651" s="69"/>
      <c r="M651" s="8"/>
    </row>
    <row r="652" spans="1:13" s="3" customFormat="1" ht="12.2" customHeight="1" x14ac:dyDescent="0.15">
      <c r="A652" s="21"/>
      <c r="B652" s="22"/>
      <c r="C652" s="22"/>
      <c r="D652" s="22"/>
      <c r="E652" s="22"/>
      <c r="F652" s="86" t="s">
        <v>393</v>
      </c>
      <c r="G652" s="80">
        <f>L245</f>
        <v>168087.94</v>
      </c>
      <c r="H652" s="80">
        <f>J599</f>
        <v>168087.94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1783.09</v>
      </c>
      <c r="H653" s="80">
        <f>K264+K346</f>
        <v>1783.09</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t="str">
        <f>K265</f>
        <v xml:space="preserve"> </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61804.06</v>
      </c>
      <c r="H656" s="80">
        <f>K267+K348</f>
        <v>61804.06</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9265367.3300000001</v>
      </c>
      <c r="G661" s="13">
        <f>(L230+L310+L360)</f>
        <v>2655638.19</v>
      </c>
      <c r="H661" s="13">
        <f>(L248+L329+L361)</f>
        <v>6099670.6500000013</v>
      </c>
      <c r="I661" s="13">
        <f>SUM(F661:H661)</f>
        <v>18020676.170000002</v>
      </c>
      <c r="J661" s="13"/>
      <c r="K661" s="13"/>
      <c r="L661" s="13"/>
      <c r="M661" s="9"/>
    </row>
    <row r="662" spans="1:13" s="3" customFormat="1" ht="12.2" customHeight="1" x14ac:dyDescent="0.2">
      <c r="A662" s="1" t="s">
        <v>127</v>
      </c>
      <c r="F662" s="13">
        <f>(L359/IF(SUM(L359:L361)=0,1,SUM(L359:L361))*(SUM(G97:G110)))</f>
        <v>66133.818034946802</v>
      </c>
      <c r="G662" s="13">
        <f>(L360/IF(SUM(L359:L361)=0,1,SUM(L359:L361))*(SUM(G97:G110)))</f>
        <v>20554.75035272527</v>
      </c>
      <c r="H662" s="13">
        <f>(L361/IF(SUM(L359:L361)=0,1,SUM(L359:L361))*(SUM(G97:G110)))</f>
        <v>38662.711612327941</v>
      </c>
      <c r="I662" s="13">
        <f>SUM(F662:H662)</f>
        <v>125351.28000000001</v>
      </c>
      <c r="J662"/>
      <c r="K662" s="13"/>
      <c r="L662" s="13"/>
      <c r="M662" s="8"/>
    </row>
    <row r="663" spans="1:13" s="3" customFormat="1" ht="12.2" customHeight="1" x14ac:dyDescent="0.2">
      <c r="A663" s="1" t="s">
        <v>128</v>
      </c>
      <c r="F663" s="13">
        <f>(L209+L288)-(J209+J288)</f>
        <v>152519.25999999998</v>
      </c>
      <c r="G663" s="13">
        <f>(L227+L307)-(J227+J307)</f>
        <v>65715.48</v>
      </c>
      <c r="H663" s="13">
        <f>(L245+L326)-(J245+J326)</f>
        <v>153259.94</v>
      </c>
      <c r="I663" s="13">
        <f>SUM(F663:H663)</f>
        <v>371494.68</v>
      </c>
      <c r="J663"/>
      <c r="K663" s="13"/>
      <c r="L663" s="13"/>
      <c r="M663" s="9"/>
    </row>
    <row r="664" spans="1:13" s="3" customFormat="1" ht="12.2" customHeight="1" x14ac:dyDescent="0.15">
      <c r="A664" s="142" t="s">
        <v>129</v>
      </c>
      <c r="B664" s="124"/>
      <c r="C664" s="124"/>
      <c r="D664" s="124"/>
      <c r="E664" s="124"/>
      <c r="F664" s="143">
        <f>SUM(F576:F588)+SUM(H603:H605)+SUM(L612)</f>
        <v>286743.39</v>
      </c>
      <c r="G664" s="143">
        <f>SUM(G576:G588)+SUM(I603:I605)+L613</f>
        <v>126971.79999999999</v>
      </c>
      <c r="H664" s="143">
        <f>SUM(H576:H588)+SUM(J603:J605)+L614</f>
        <v>273645.37</v>
      </c>
      <c r="I664" s="13">
        <f>SUM(F664:H664)</f>
        <v>687360.56</v>
      </c>
      <c r="J664" s="13"/>
      <c r="K664" s="13"/>
      <c r="L664" s="13"/>
      <c r="M664" s="9"/>
    </row>
    <row r="665" spans="1:13" s="3" customFormat="1" ht="12.2" customHeight="1" x14ac:dyDescent="0.15">
      <c r="A665" s="1" t="s">
        <v>130</v>
      </c>
      <c r="F665" s="13">
        <f>F661-SUM(F662:F664)</f>
        <v>8759970.8619650528</v>
      </c>
      <c r="G665" s="13">
        <f>G661-SUM(G662:G664)</f>
        <v>2442396.1596472748</v>
      </c>
      <c r="H665" s="13">
        <f>H661-SUM(H662:H664)</f>
        <v>5634102.6283876738</v>
      </c>
      <c r="I665" s="13">
        <f>I661-SUM(I662:I664)</f>
        <v>16836469.650000002</v>
      </c>
      <c r="J665" s="13"/>
      <c r="K665" s="13"/>
      <c r="L665" s="13"/>
      <c r="M665" s="8"/>
    </row>
    <row r="666" spans="1:13" s="3" customFormat="1" ht="12.2" customHeight="1" x14ac:dyDescent="0.2">
      <c r="A666" s="1" t="s">
        <v>131</v>
      </c>
      <c r="F666" s="183">
        <v>340.57</v>
      </c>
      <c r="G666" s="184">
        <v>101.14</v>
      </c>
      <c r="H666" s="184">
        <v>187.85</v>
      </c>
      <c r="I666" s="13">
        <f>SUM(F666:H666)</f>
        <v>629.55999999999995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25721.5</v>
      </c>
      <c r="G668" s="13">
        <f>ROUND(G665/G666,2)</f>
        <v>24148.67</v>
      </c>
      <c r="H668" s="13">
        <f>ROUND(H665/H666,2)</f>
        <v>29992.560000000001</v>
      </c>
      <c r="I668" s="13">
        <f>ROUND(I665/I666,2)</f>
        <v>26743.23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IF(AND(F666=0,F665&gt;0),F665*-1,"")</f>
        <v/>
      </c>
      <c r="G670" s="73" t="str">
        <f>IF(AND(G666=0,G665&gt;0),G665*-1,"")</f>
        <v/>
      </c>
      <c r="H670" s="73" t="str">
        <f>IF(AND(H666=0,H665&gt;0),H665*-1,"")</f>
        <v/>
      </c>
      <c r="I670" s="13">
        <f>SUM(F670:H670)</f>
        <v>0</v>
      </c>
      <c r="J670" s="13"/>
      <c r="K670" s="13"/>
      <c r="L670" s="13"/>
      <c r="M670" s="9"/>
    </row>
    <row r="671" spans="1:13" s="3" customFormat="1" ht="12.2" customHeight="1" x14ac:dyDescent="0.15">
      <c r="A671" s="1" t="s">
        <v>135</v>
      </c>
      <c r="F671" s="18"/>
      <c r="G671" s="18"/>
      <c r="H671" s="18">
        <v>17.78</v>
      </c>
      <c r="I671" s="13">
        <f>SUM(F671:H671)</f>
        <v>17.78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25721.5</v>
      </c>
      <c r="G673" s="13">
        <f>ROUND((G665+G670)/(G666+G671),2)</f>
        <v>24148.67</v>
      </c>
      <c r="H673" s="13">
        <f>ROUND((H665+H670)/(H666+H671),2)</f>
        <v>27399.22</v>
      </c>
      <c r="I673" s="13">
        <f>ROUND((I665+I670)/(I666+I671),2)</f>
        <v>26008.7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45" right="0" top="0.5" bottom="0.25" header="0.3" footer="0.3"/>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7" zoomScaleNormal="100" workbookViewId="0">
      <selection activeCell="E7" sqref="E7"/>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303072.94</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201177.26</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90038.87</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11856.81</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0"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Littleton</v>
      </c>
      <c r="C5" s="317"/>
      <c r="D5" s="317"/>
      <c r="E5" s="317"/>
      <c r="F5" s="317"/>
    </row>
    <row r="8" spans="1:9" ht="18" x14ac:dyDescent="0.25">
      <c r="A8" s="240" t="s">
        <v>1560</v>
      </c>
      <c r="F8" s="247" t="s">
        <v>1578</v>
      </c>
    </row>
    <row r="9" spans="1:9" ht="15" x14ac:dyDescent="0.2">
      <c r="A9" s="238" t="s">
        <v>1561</v>
      </c>
      <c r="B9" s="241">
        <f>'DOE25'!G97</f>
        <v>125351.28</v>
      </c>
      <c r="F9" s="238" t="s">
        <v>1574</v>
      </c>
    </row>
    <row r="10" spans="1:9" ht="15" x14ac:dyDescent="0.2">
      <c r="A10" s="238" t="s">
        <v>1562</v>
      </c>
      <c r="B10" s="241">
        <f>'DOE25'!G112-'DOE25'!G97</f>
        <v>0</v>
      </c>
      <c r="F10" s="238" t="s">
        <v>1575</v>
      </c>
    </row>
    <row r="11" spans="1:9" ht="15" x14ac:dyDescent="0.2">
      <c r="A11" s="238" t="s">
        <v>1563</v>
      </c>
      <c r="B11" s="241">
        <f>'DOE25'!G140</f>
        <v>4646.79</v>
      </c>
      <c r="F11" s="238" t="s">
        <v>1576</v>
      </c>
    </row>
    <row r="12" spans="1:9" ht="15" x14ac:dyDescent="0.2">
      <c r="A12" s="238" t="s">
        <v>1564</v>
      </c>
      <c r="B12" s="241">
        <f>'DOE25'!G170</f>
        <v>263567.82</v>
      </c>
      <c r="F12" s="238" t="s">
        <v>1577</v>
      </c>
    </row>
    <row r="13" spans="1:9" ht="15" x14ac:dyDescent="0.2">
      <c r="A13" s="238" t="s">
        <v>1565</v>
      </c>
      <c r="B13" s="241">
        <f>'DOE25'!G193-'DOE25'!G180</f>
        <v>0</v>
      </c>
      <c r="F13" s="238" t="s">
        <v>1587</v>
      </c>
    </row>
    <row r="14" spans="1:9" ht="18" x14ac:dyDescent="0.25">
      <c r="A14" s="240" t="s">
        <v>732</v>
      </c>
      <c r="B14" s="242">
        <f>SUM(B9:B13)</f>
        <v>393565.89</v>
      </c>
    </row>
    <row r="16" spans="1:9" ht="18" x14ac:dyDescent="0.25">
      <c r="A16" s="240" t="s">
        <v>786</v>
      </c>
      <c r="F16" s="247" t="s">
        <v>1579</v>
      </c>
    </row>
    <row r="17" spans="1:6" ht="15" x14ac:dyDescent="0.2">
      <c r="A17" s="238" t="s">
        <v>1566</v>
      </c>
      <c r="B17" s="241">
        <f>'DOE25'!L363-'DOE25'!L362</f>
        <v>352183.44</v>
      </c>
      <c r="F17" s="238" t="s">
        <v>1580</v>
      </c>
    </row>
    <row r="18" spans="1:6" ht="15" x14ac:dyDescent="0.2">
      <c r="A18" s="238" t="s">
        <v>1567</v>
      </c>
      <c r="B18" s="251">
        <v>0</v>
      </c>
      <c r="F18" s="247" t="s">
        <v>1604</v>
      </c>
    </row>
    <row r="19" spans="1:6" ht="18" x14ac:dyDescent="0.25">
      <c r="A19" s="240" t="s">
        <v>725</v>
      </c>
      <c r="B19" s="242">
        <f>SUM(B17:B18)</f>
        <v>352183.44</v>
      </c>
    </row>
    <row r="21" spans="1:6" ht="18.75" thickBot="1" x14ac:dyDescent="0.3">
      <c r="A21" s="240" t="s">
        <v>1568</v>
      </c>
    </row>
    <row r="22" spans="1:6" ht="18.75" thickTop="1" x14ac:dyDescent="0.25">
      <c r="A22" s="240" t="s">
        <v>1569</v>
      </c>
      <c r="B22" s="246">
        <f>B14-B19</f>
        <v>41382.450000000012</v>
      </c>
      <c r="F22" s="238" t="s">
        <v>1581</v>
      </c>
    </row>
    <row r="26" spans="1:6" ht="18" x14ac:dyDescent="0.25">
      <c r="A26" s="240" t="s">
        <v>186</v>
      </c>
    </row>
    <row r="27" spans="1:6" ht="15" x14ac:dyDescent="0.2">
      <c r="A27" s="238" t="s">
        <v>1570</v>
      </c>
      <c r="B27" s="241">
        <f>'DOE25'!G180</f>
        <v>1783.09</v>
      </c>
      <c r="F27" s="238" t="s">
        <v>1582</v>
      </c>
    </row>
    <row r="28" spans="1:6" ht="15" x14ac:dyDescent="0.2">
      <c r="A28" s="238" t="s">
        <v>1572</v>
      </c>
      <c r="B28" s="241">
        <f>'DOE25'!L362</f>
        <v>0</v>
      </c>
      <c r="F28" s="238" t="s">
        <v>1583</v>
      </c>
    </row>
    <row r="31" spans="1:6" ht="15" x14ac:dyDescent="0.2">
      <c r="A31" s="238" t="s">
        <v>1797</v>
      </c>
      <c r="B31" s="241">
        <f>'DOE25'!G466</f>
        <v>63708.77</v>
      </c>
      <c r="F31" s="238" t="s">
        <v>1584</v>
      </c>
    </row>
    <row r="33" spans="1:6" ht="15" x14ac:dyDescent="0.2">
      <c r="A33" s="238" t="s">
        <v>1798</v>
      </c>
      <c r="B33" s="241">
        <f>'DOE25'!G477</f>
        <v>106874.31</v>
      </c>
      <c r="F33" s="238" t="s">
        <v>1585</v>
      </c>
    </row>
    <row r="36" spans="1:6" ht="15" x14ac:dyDescent="0.2">
      <c r="A36" s="238" t="s">
        <v>1571</v>
      </c>
      <c r="B36" s="252">
        <v>29511.74</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2" sqref="B1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Littleton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3277197.9899999998</v>
      </c>
      <c r="C9" s="167">
        <f>'DOE25'!G198+'DOE25'!G216+'DOE25'!G234+'DOE25'!G277+'DOE25'!G296+'DOE25'!G315</f>
        <v>1895284.91</v>
      </c>
    </row>
    <row r="10" spans="1:3" x14ac:dyDescent="0.2">
      <c r="A10" t="s">
        <v>775</v>
      </c>
      <c r="B10" s="177">
        <v>3155182.07</v>
      </c>
      <c r="C10" s="177">
        <v>1867890.69</v>
      </c>
    </row>
    <row r="11" spans="1:3" x14ac:dyDescent="0.2">
      <c r="A11" t="s">
        <v>776</v>
      </c>
      <c r="B11" s="177">
        <f>32801.04+24995+2470+46302.83+23398.75+16001.75+7871.55+5175+3000-40000</f>
        <v>122015.91999999998</v>
      </c>
      <c r="C11" s="177">
        <f>12394.22+15000</f>
        <v>27394.22</v>
      </c>
    </row>
    <row r="12" spans="1:3" x14ac:dyDescent="0.2">
      <c r="A12" t="s">
        <v>777</v>
      </c>
      <c r="B12" s="177"/>
      <c r="C12" s="177"/>
    </row>
    <row r="13" spans="1:3" x14ac:dyDescent="0.2">
      <c r="A13" t="str">
        <f>IF(B9=B13,IF(C9=C13,"Check Total OK","Check Total Error"),"Check Total Error")</f>
        <v>Check Total OK</v>
      </c>
      <c r="B13" s="169">
        <f>SUM(B10:B12)</f>
        <v>3277197.9899999998</v>
      </c>
      <c r="C13" s="169">
        <f>SUM(C10:C12)</f>
        <v>1895284.91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1541031.45</v>
      </c>
      <c r="C18" s="167">
        <f>'DOE25'!G199+'DOE25'!G217+'DOE25'!G235+'DOE25'!G278+'DOE25'!G297+'DOE25'!G316</f>
        <v>904998.77</v>
      </c>
    </row>
    <row r="19" spans="1:3" x14ac:dyDescent="0.2">
      <c r="A19" t="s">
        <v>775</v>
      </c>
      <c r="B19" s="177">
        <v>816029.68</v>
      </c>
      <c r="C19" s="177">
        <f>62426.27+547109.86</f>
        <v>609536.13</v>
      </c>
    </row>
    <row r="20" spans="1:3" x14ac:dyDescent="0.2">
      <c r="A20" t="s">
        <v>776</v>
      </c>
      <c r="B20" s="177">
        <f>487.5+471819.88+54124.58+102031.66+32881.5+3247.5+6957.5+18512.43+34939.22</f>
        <v>725001.77</v>
      </c>
      <c r="C20" s="177">
        <f>55462.64+240000</f>
        <v>295462.64</v>
      </c>
    </row>
    <row r="21" spans="1:3" x14ac:dyDescent="0.2">
      <c r="A21" t="s">
        <v>777</v>
      </c>
      <c r="B21" s="177"/>
      <c r="C21" s="177"/>
    </row>
    <row r="22" spans="1:3" x14ac:dyDescent="0.2">
      <c r="A22" t="str">
        <f>IF(B18=B22,IF(C18=C22,"Check Total OK","Check Total Error"),"Check Total Error")</f>
        <v>Check Total OK</v>
      </c>
      <c r="B22" s="169">
        <f>SUM(B19:B21)</f>
        <v>1541031.4500000002</v>
      </c>
      <c r="C22" s="169">
        <f>SUM(C19:C21)</f>
        <v>904998.77</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663968.79</v>
      </c>
      <c r="C27" s="172">
        <f>'DOE25'!G200+'DOE25'!G218+'DOE25'!G236+'DOE25'!G279+'DOE25'!G298+'DOE25'!G317</f>
        <v>313234.64</v>
      </c>
    </row>
    <row r="28" spans="1:3" x14ac:dyDescent="0.2">
      <c r="A28" t="s">
        <v>775</v>
      </c>
      <c r="B28" s="177">
        <v>546963.82999999996</v>
      </c>
      <c r="C28" s="177">
        <v>269283.76</v>
      </c>
    </row>
    <row r="29" spans="1:3" x14ac:dyDescent="0.2">
      <c r="A29" t="s">
        <v>776</v>
      </c>
      <c r="B29" s="177">
        <f>117004.96</f>
        <v>117004.96</v>
      </c>
      <c r="C29" s="177">
        <f>8950.88+35000</f>
        <v>43950.879999999997</v>
      </c>
    </row>
    <row r="30" spans="1:3" x14ac:dyDescent="0.2">
      <c r="A30" t="s">
        <v>777</v>
      </c>
      <c r="B30" s="177"/>
      <c r="C30" s="177"/>
    </row>
    <row r="31" spans="1:3" x14ac:dyDescent="0.2">
      <c r="A31" t="str">
        <f>IF(B27=B31,IF(C27=C31,"Check Total OK","Check Total Error"),"Check Total Error")</f>
        <v>Check Total OK</v>
      </c>
      <c r="B31" s="169">
        <f>SUM(B28:B30)</f>
        <v>663968.78999999992</v>
      </c>
      <c r="C31" s="169">
        <f>SUM(C28:C30)</f>
        <v>313234.64</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181593.27</v>
      </c>
      <c r="C36" s="173">
        <f>'DOE25'!G201+'DOE25'!G219+'DOE25'!G237+'DOE25'!G280+'DOE25'!G299+'DOE25'!G318</f>
        <v>36721.54</v>
      </c>
    </row>
    <row r="37" spans="1:3" x14ac:dyDescent="0.2">
      <c r="A37" t="s">
        <v>775</v>
      </c>
      <c r="B37" s="177">
        <f>50000+5893.32+5893.32</f>
        <v>61786.64</v>
      </c>
      <c r="C37" s="177">
        <f>7726.68+12975.19</f>
        <v>20701.870000000003</v>
      </c>
    </row>
    <row r="38" spans="1:3" x14ac:dyDescent="0.2">
      <c r="A38" t="s">
        <v>776</v>
      </c>
      <c r="B38" s="177">
        <f>17500</f>
        <v>17500</v>
      </c>
      <c r="C38" s="177">
        <f>1338.75+2485</f>
        <v>3823.75</v>
      </c>
    </row>
    <row r="39" spans="1:3" x14ac:dyDescent="0.2">
      <c r="A39" t="s">
        <v>777</v>
      </c>
      <c r="B39" s="177">
        <f>53671.14+53671.14-5035.65</f>
        <v>102306.63</v>
      </c>
      <c r="C39" s="177">
        <f>7826.46+4369.46</f>
        <v>12195.92</v>
      </c>
    </row>
    <row r="40" spans="1:3" x14ac:dyDescent="0.2">
      <c r="A40" t="str">
        <f>IF(B36=B40,IF(C36=C40,"Check Total OK","Check Total Error"),"Check Total Error")</f>
        <v>Check Total OK</v>
      </c>
      <c r="B40" s="169">
        <f>SUM(B37:B39)</f>
        <v>181593.27000000002</v>
      </c>
      <c r="C40" s="169">
        <f>SUM(C37:C39)</f>
        <v>36721.54</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Littleton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8503305.959999999</v>
      </c>
      <c r="D5" s="19">
        <f>SUM('DOE25'!L198:L201)+SUM('DOE25'!L216:L219)+SUM('DOE25'!L234:L237)-F5-G5-H5</f>
        <v>8270767.5900000008</v>
      </c>
      <c r="E5" s="180"/>
      <c r="F5" s="181">
        <f>34920-25000+60000-25000+147250-25000</f>
        <v>167170</v>
      </c>
      <c r="G5" s="19">
        <f>SUM('DOE25'!J198:J201)+SUM('DOE25'!J216:J219)+SUM('DOE25'!J234:J237)</f>
        <v>47860.7</v>
      </c>
      <c r="H5" s="19">
        <f>SUM('DOE25'!K198:K201)+SUM('DOE25'!K216:K219)+SUM('DOE25'!K234:K237)</f>
        <v>17507.669999999998</v>
      </c>
      <c r="I5" s="192"/>
    </row>
    <row r="6" spans="1:9" x14ac:dyDescent="0.2">
      <c r="A6" s="31">
        <v>2100</v>
      </c>
      <c r="B6" t="s">
        <v>796</v>
      </c>
      <c r="C6" s="206">
        <f t="shared" si="0"/>
        <v>1505096.9500000002</v>
      </c>
      <c r="D6" s="19">
        <f>'DOE25'!L203+'DOE25'!L221+'DOE25'!L239-F6-G6-H6</f>
        <v>1498323.8600000003</v>
      </c>
      <c r="E6" s="180"/>
      <c r="F6" s="181"/>
      <c r="G6" s="19">
        <f>'DOE25'!J203+'DOE25'!J221+'DOE25'!J239</f>
        <v>2339.38</v>
      </c>
      <c r="H6" s="19">
        <f>'DOE25'!K203+'DOE25'!K221+'DOE25'!K239</f>
        <v>4433.71</v>
      </c>
      <c r="I6" s="192"/>
    </row>
    <row r="7" spans="1:9" x14ac:dyDescent="0.2">
      <c r="A7" s="31">
        <v>2200</v>
      </c>
      <c r="B7" t="s">
        <v>820</v>
      </c>
      <c r="C7" s="206">
        <f t="shared" si="0"/>
        <v>379237.79000000004</v>
      </c>
      <c r="D7" s="19">
        <f>'DOE25'!L204+'DOE25'!L222+'DOE25'!L240-F7-G7-H7</f>
        <v>330477.50000000006</v>
      </c>
      <c r="E7" s="180"/>
      <c r="F7" s="181"/>
      <c r="G7" s="19">
        <f>'DOE25'!J204+'DOE25'!J222+'DOE25'!J240</f>
        <v>38000</v>
      </c>
      <c r="H7" s="19">
        <f>'DOE25'!K204+'DOE25'!K222+'DOE25'!K240</f>
        <v>10760.29</v>
      </c>
      <c r="I7" s="192"/>
    </row>
    <row r="8" spans="1:9" x14ac:dyDescent="0.2">
      <c r="A8" s="31">
        <v>2300</v>
      </c>
      <c r="B8" t="s">
        <v>797</v>
      </c>
      <c r="C8" s="206">
        <f t="shared" si="0"/>
        <v>502134.67000000004</v>
      </c>
      <c r="D8" s="180"/>
      <c r="E8" s="19">
        <f>'DOE25'!L205+'DOE25'!L223+'DOE25'!L241-F8-G8-H8-D9-D11</f>
        <v>472953.23000000004</v>
      </c>
      <c r="F8" s="181">
        <v>0</v>
      </c>
      <c r="G8" s="19">
        <f>'DOE25'!J205+'DOE25'!J223+'DOE25'!J241</f>
        <v>2000</v>
      </c>
      <c r="H8" s="19">
        <f>'DOE25'!K205+'DOE25'!K223+'DOE25'!K241</f>
        <v>27181.439999999999</v>
      </c>
      <c r="I8" s="192"/>
    </row>
    <row r="9" spans="1:9" ht="14.25" x14ac:dyDescent="0.2">
      <c r="A9" s="31">
        <v>2310</v>
      </c>
      <c r="B9" s="71" t="s">
        <v>887</v>
      </c>
      <c r="C9" s="206">
        <f t="shared" si="0"/>
        <v>109537.56</v>
      </c>
      <c r="D9" s="181">
        <v>109537.56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1067791.1000000001</v>
      </c>
      <c r="D12" s="19">
        <f>'DOE25'!L206+'DOE25'!L224+'DOE25'!L242-F12-G12-H12</f>
        <v>1044095.2800000001</v>
      </c>
      <c r="E12" s="180"/>
      <c r="F12" s="181">
        <v>0</v>
      </c>
      <c r="G12" s="19">
        <f>'DOE25'!J206+'DOE25'!J224+'DOE25'!J242</f>
        <v>3610.72</v>
      </c>
      <c r="H12" s="19">
        <f>'DOE25'!K206+'DOE25'!K224+'DOE25'!K242</f>
        <v>20085.099999999999</v>
      </c>
      <c r="I12" s="192"/>
    </row>
    <row r="13" spans="1:9" x14ac:dyDescent="0.2">
      <c r="A13" s="31">
        <v>2500</v>
      </c>
      <c r="B13" t="s">
        <v>798</v>
      </c>
      <c r="C13" s="206">
        <f t="shared" si="0"/>
        <v>759302.86999999988</v>
      </c>
      <c r="D13" s="180"/>
      <c r="E13" s="19">
        <f>'DOE25'!L207+'DOE25'!L225+'DOE25'!L243-F13-G13-H13</f>
        <v>730572.67999999993</v>
      </c>
      <c r="F13" s="181">
        <v>0</v>
      </c>
      <c r="G13" s="19">
        <f>'DOE25'!J207+'DOE25'!J225+'DOE25'!J243</f>
        <v>27129.190000000002</v>
      </c>
      <c r="H13" s="19">
        <f>'DOE25'!K207+'DOE25'!K225+'DOE25'!K243</f>
        <v>1601</v>
      </c>
      <c r="I13" s="192"/>
    </row>
    <row r="14" spans="1:9" x14ac:dyDescent="0.2">
      <c r="A14" s="31">
        <v>2600</v>
      </c>
      <c r="B14" t="s">
        <v>818</v>
      </c>
      <c r="C14" s="206">
        <f t="shared" si="0"/>
        <v>1931781.2199999997</v>
      </c>
      <c r="D14" s="19">
        <f>'DOE25'!L208+'DOE25'!L226+'DOE25'!L244-F14-G14-H14</f>
        <v>1343985.8099999998</v>
      </c>
      <c r="E14" s="180"/>
      <c r="F14" s="181">
        <f>60241.46-25000+62263-25000+59294-25000+43221-25000+60241-25000+350160-25000+52184-25000</f>
        <v>512604.45999999996</v>
      </c>
      <c r="G14" s="19">
        <f>'DOE25'!J208+'DOE25'!J226+'DOE25'!J244</f>
        <v>72698.14</v>
      </c>
      <c r="H14" s="19">
        <f>'DOE25'!K208+'DOE25'!K226+'DOE25'!K244</f>
        <v>2492.81</v>
      </c>
      <c r="I14" s="192"/>
    </row>
    <row r="15" spans="1:9" x14ac:dyDescent="0.2">
      <c r="A15" s="31">
        <v>2700</v>
      </c>
      <c r="B15" t="s">
        <v>799</v>
      </c>
      <c r="C15" s="206">
        <f t="shared" si="0"/>
        <v>391375.63</v>
      </c>
      <c r="D15" s="19">
        <f>'DOE25'!L209+'DOE25'!L227+'DOE25'!L245-F15-G15-H15</f>
        <v>87986.069999999978</v>
      </c>
      <c r="E15" s="180"/>
      <c r="F15" s="181">
        <f>116298.25+21962.7+826.48+8393.99-25000+131482.14</f>
        <v>253963.56000000003</v>
      </c>
      <c r="G15" s="19">
        <f>'DOE25'!J209+'DOE25'!J227+'DOE25'!J245</f>
        <v>49426</v>
      </c>
      <c r="H15" s="19">
        <f>'DOE25'!K209+'DOE25'!K227+'DOE25'!K245</f>
        <v>0</v>
      </c>
      <c r="I15" s="192"/>
    </row>
    <row r="16" spans="1:9" x14ac:dyDescent="0.2">
      <c r="A16" s="31">
        <v>2800</v>
      </c>
      <c r="B16" t="s">
        <v>800</v>
      </c>
      <c r="C16" s="206">
        <f t="shared" si="0"/>
        <v>0</v>
      </c>
      <c r="D16" s="180"/>
      <c r="E16" s="19">
        <f>'DOE25'!L210+'DOE25'!L228+'DOE25'!L246-F16-G16-H16</f>
        <v>0</v>
      </c>
      <c r="F16" s="181">
        <v>0</v>
      </c>
      <c r="G16" s="19">
        <f>'DOE25'!J210+'DOE25'!J228+'DOE25'!J246</f>
        <v>0</v>
      </c>
      <c r="H16" s="19">
        <f>'DOE25'!K210+'DOE25'!K228+'DOE25'!K246</f>
        <v>0</v>
      </c>
      <c r="I16" s="192"/>
    </row>
    <row r="17" spans="1:9" x14ac:dyDescent="0.2">
      <c r="A17" s="31">
        <v>1600</v>
      </c>
      <c r="B17" t="s">
        <v>801</v>
      </c>
      <c r="C17" s="206">
        <f t="shared" si="0"/>
        <v>130633.36</v>
      </c>
      <c r="D17" s="19">
        <f>'DOE25'!L252-F17-G17-H17</f>
        <v>130483.36</v>
      </c>
      <c r="E17" s="180"/>
      <c r="F17" s="181">
        <v>0</v>
      </c>
      <c r="G17" s="19">
        <f>'DOE25'!J252</f>
        <v>0</v>
      </c>
      <c r="H17" s="19">
        <f>'DOE25'!K252</f>
        <v>150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243368.5</v>
      </c>
      <c r="D22" s="180"/>
      <c r="E22" s="180"/>
      <c r="F22" s="180"/>
      <c r="G22" s="19">
        <f>'DOE25'!L256+'DOE25'!L337</f>
        <v>243368.5</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623063</v>
      </c>
      <c r="D25" s="180"/>
      <c r="E25" s="180"/>
      <c r="F25" s="191"/>
      <c r="G25" s="180"/>
      <c r="H25" s="180"/>
      <c r="I25" s="190">
        <f>'DOE25'!L261+'DOE25'!L262+'DOE25'!L342+'DOE25'!L343</f>
        <v>623063</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226862.03000000003</v>
      </c>
      <c r="D29" s="212">
        <f>'DOE25'!L359+'DOE25'!L360+'DOE25'!L361-'DOE25'!I368-F29-G29-H29-F39</f>
        <v>218933.81000000003</v>
      </c>
      <c r="E29" s="180"/>
      <c r="F29" s="180"/>
      <c r="G29" s="19">
        <f>'DOE25'!J359+'DOE25'!J360+'DOE25'!J361</f>
        <v>7928.2199999999993</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2651736.16</v>
      </c>
      <c r="D31" s="19">
        <f>'DOE25'!L291+'DOE25'!L310+'DOE25'!L329+'DOE25'!L334+'DOE25'!L335+'DOE25'!L336-F31-G31-H31</f>
        <v>1860605.48</v>
      </c>
      <c r="E31" s="180"/>
      <c r="F31" s="181">
        <f>160352-25000+100000-25000+261000-25000</f>
        <v>446352</v>
      </c>
      <c r="G31" s="19">
        <f>'DOE25'!J291+'DOE25'!J310+'DOE25'!J329+'DOE25'!J334+'DOE25'!J335+'DOE25'!J336</f>
        <v>254229.41000000003</v>
      </c>
      <c r="H31" s="19">
        <f>'DOE25'!K291+'DOE25'!K310+'DOE25'!K329+'DOE25'!K334+'DOE25'!K335+'DOE25'!K336</f>
        <v>90549.270000000019</v>
      </c>
      <c r="I31" s="192"/>
    </row>
    <row r="32" spans="1:9" ht="12" thickBot="1" x14ac:dyDescent="0.25">
      <c r="C32" s="207"/>
      <c r="G32" s="188"/>
      <c r="H32" s="188"/>
      <c r="I32" s="194"/>
    </row>
    <row r="33" spans="1:9" ht="12" thickTop="1" x14ac:dyDescent="0.2">
      <c r="B33" t="s">
        <v>809</v>
      </c>
      <c r="D33" s="182">
        <f t="shared" ref="D33:I33" si="1">SUM(D5:D31)</f>
        <v>14895196.320000002</v>
      </c>
      <c r="E33" s="182">
        <f t="shared" si="1"/>
        <v>1203525.9099999999</v>
      </c>
      <c r="F33" s="182">
        <f t="shared" si="1"/>
        <v>1380090.02</v>
      </c>
      <c r="G33" s="182">
        <f t="shared" si="1"/>
        <v>748590.26</v>
      </c>
      <c r="H33" s="182">
        <f t="shared" si="1"/>
        <v>174761.29</v>
      </c>
      <c r="I33" s="182">
        <f t="shared" si="1"/>
        <v>623063</v>
      </c>
    </row>
    <row r="34" spans="1:9" ht="12" thickBot="1" x14ac:dyDescent="0.25"/>
    <row r="35" spans="1:9" ht="12" thickBot="1" x14ac:dyDescent="0.25">
      <c r="B35" s="188" t="s">
        <v>830</v>
      </c>
      <c r="D35" s="189">
        <f>E33</f>
        <v>1203525.9099999999</v>
      </c>
      <c r="E35" s="185"/>
      <c r="F35" s="295" t="s">
        <v>1608</v>
      </c>
      <c r="G35" s="296"/>
      <c r="H35" s="296"/>
      <c r="I35" s="297"/>
    </row>
    <row r="36" spans="1:9" ht="12" thickTop="1" x14ac:dyDescent="0.2">
      <c r="B36" t="s">
        <v>810</v>
      </c>
      <c r="D36" s="19">
        <f>D33</f>
        <v>14895196.320000002</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125321.41</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U725"/>
  <sheetViews>
    <sheetView zoomScale="80" zoomScaleNormal="80" workbookViewId="0">
      <selection activeCell="Q39" sqref="Q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Littleton</v>
      </c>
      <c r="B2">
        <f>'DOE25'!B2</f>
        <v>317</v>
      </c>
      <c r="J2" s="224" t="s">
        <v>1808</v>
      </c>
      <c r="K2" s="309">
        <f>SUM('DOE25'!L198:L201)+SUM('DOE25'!L216:L219)+SUM('DOE25'!L234:L237)+SUM('DOE25'!L277:L280)+SUM('DOE25'!L296:L299)+SUM('DOE25'!L315:L318)</f>
        <v>9690888.7800000012</v>
      </c>
      <c r="L2" s="309">
        <f>'DOE25'!L203+'DOE25'!L221+'DOE25'!L239+'DOE25'!L282+'DOE25'!L301+'DOE25'!L320</f>
        <v>1555245.1900000002</v>
      </c>
      <c r="M2" s="309">
        <f>'DOE25'!L204+'DOE25'!L222+'DOE25'!L240+'DOE25'!L283+'DOE25'!L302+'DOE25'!L321</f>
        <v>1288409.4700000002</v>
      </c>
      <c r="N2" s="309">
        <f>'DOE25'!L206+'DOE25'!L224+'DOE25'!L242+'DOE25'!L285+'DOE25'!L304+'DOE25'!L323</f>
        <v>1067791.1000000001</v>
      </c>
      <c r="O2" s="309">
        <f>'Salaries-Benefits'!B10+'Salaries-Benefits'!B12+'Salaries-Benefits'!B19+'Salaries-Benefits'!B21+'Salaries-Benefits'!B28+'Salaries-Benefits'!B30+'Salaries-Benefits'!B37+'Salaries-Benefits'!B39</f>
        <v>4682268.8499999996</v>
      </c>
      <c r="P2" s="309">
        <f>'Salaries-Benefits'!B11+'Salaries-Benefits'!B20+'Salaries-Benefits'!B29+'Salaries-Benefits'!B38</f>
        <v>981522.64999999991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 t="shared" ref="K3:P3" si="0">K21+K33+K43-K2</f>
        <v>0</v>
      </c>
      <c r="L3" s="311">
        <f t="shared" si="0"/>
        <v>0</v>
      </c>
      <c r="M3" s="311">
        <f t="shared" si="0"/>
        <v>0</v>
      </c>
      <c r="N3" s="311">
        <f t="shared" si="0"/>
        <v>0</v>
      </c>
      <c r="O3" s="311">
        <f t="shared" si="0"/>
        <v>0</v>
      </c>
      <c r="P3" s="311">
        <f t="shared" si="0"/>
        <v>40000</v>
      </c>
      <c r="Q3" s="310"/>
      <c r="R3" s="306"/>
      <c r="S3" s="215"/>
      <c r="T3" s="215"/>
      <c r="U3" s="216"/>
    </row>
    <row r="4" spans="1:21" ht="55.5" customHeight="1" thickBot="1" x14ac:dyDescent="0.25">
      <c r="A4" s="224" t="s">
        <v>1522</v>
      </c>
      <c r="B4" s="224" t="s">
        <v>1523</v>
      </c>
      <c r="C4" s="224" t="s">
        <v>896</v>
      </c>
      <c r="D4" s="224" t="s">
        <v>786</v>
      </c>
      <c r="E4" s="224" t="s">
        <v>786</v>
      </c>
      <c r="F4" s="228">
        <f>SUM(F5:F20)</f>
        <v>9079559.6100000013</v>
      </c>
      <c r="G4" s="229">
        <f>'DOE25'!L212+'DOE25'!L291</f>
        <v>9079559.6099999994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47089.64</v>
      </c>
      <c r="E5" s="220"/>
      <c r="F5" s="232">
        <f>D5+E5</f>
        <v>47089.64</v>
      </c>
      <c r="G5" s="223"/>
      <c r="H5" s="223"/>
      <c r="J5" s="223"/>
      <c r="K5" s="223"/>
      <c r="L5" s="223"/>
      <c r="M5" s="223"/>
      <c r="N5" s="223"/>
      <c r="O5" s="223"/>
      <c r="P5" s="223"/>
      <c r="Q5" s="223"/>
    </row>
    <row r="6" spans="1:21" x14ac:dyDescent="0.2">
      <c r="A6" t="str">
        <f t="array" ref="A6">IFERROR(INDEX('School Tables'!$A$4:$G$325,'School Tables'!$J4,3),"")</f>
        <v>Mildred C. Lakeway School</v>
      </c>
      <c r="B6" s="230">
        <f>IFERROR(VLOOKUP(A6,'School Tables'!$C$3:$D$365,2,FALSE),"")</f>
        <v>21450</v>
      </c>
      <c r="C6" s="223" t="str">
        <f>IFERROR(INDEX('School Tables'!$B$3:$B$365,MATCH('School Level Expenditures'!B6,'School Tables'!$D$3:$D$365,0)),"")</f>
        <v>Littleton</v>
      </c>
      <c r="D6" s="220">
        <v>7393234.5300000003</v>
      </c>
      <c r="E6" s="220">
        <v>1639235.44</v>
      </c>
      <c r="F6" s="232">
        <f t="shared" ref="F6:F20" si="1">D6+E6</f>
        <v>9032469.9700000007</v>
      </c>
      <c r="G6" s="223"/>
      <c r="H6" s="223"/>
      <c r="J6" t="str">
        <f>A6</f>
        <v>Mildred C. Lakeway School</v>
      </c>
      <c r="K6" s="20">
        <f>2794782.76+1481314.22+1102.7+552394.05+261704.04+77899.73</f>
        <v>5169197.5</v>
      </c>
      <c r="L6" s="20">
        <f>735221.93+7352.25</f>
        <v>742574.18</v>
      </c>
      <c r="M6" s="308">
        <f>184128.84+567990.8</f>
        <v>752119.64</v>
      </c>
      <c r="N6" s="20">
        <f>535763.24</f>
        <v>535763.24</v>
      </c>
      <c r="O6" s="20">
        <f>1918758.58+351107.71+41115.63+16001.75+7871.55+58000+609</f>
        <v>2393464.2199999997</v>
      </c>
      <c r="P6" s="20">
        <f>562497.42+27879.75</f>
        <v>590377.17000000004</v>
      </c>
      <c r="Q6" s="20">
        <f>1053.17+7286.5</f>
        <v>8339.67</v>
      </c>
    </row>
    <row r="7" spans="1:21" x14ac:dyDescent="0.2">
      <c r="A7" t="str">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7440324.1699999999</v>
      </c>
      <c r="E21" s="262">
        <f>SUM(E5:E20)</f>
        <v>1639235.44</v>
      </c>
      <c r="F21" s="217"/>
      <c r="G21" s="217"/>
      <c r="H21" s="217"/>
      <c r="K21" s="263">
        <f t="shared" ref="K21:Q21" si="3">SUM(K5:K20)</f>
        <v>5169197.5</v>
      </c>
      <c r="L21" s="263">
        <f t="shared" si="3"/>
        <v>742574.18</v>
      </c>
      <c r="M21" s="263">
        <f t="shared" si="3"/>
        <v>752119.64</v>
      </c>
      <c r="N21" s="263">
        <f t="shared" si="3"/>
        <v>535763.24</v>
      </c>
      <c r="O21" s="263">
        <f t="shared" si="3"/>
        <v>2393464.2199999997</v>
      </c>
      <c r="P21" s="263">
        <f t="shared" si="3"/>
        <v>590377.17000000004</v>
      </c>
      <c r="Q21" s="263">
        <f t="shared" si="3"/>
        <v>8339.67</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2597888.14</v>
      </c>
      <c r="G24" s="229">
        <f>'DOE25'!L230+'DOE25'!L310</f>
        <v>2597888.14</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86731.29</v>
      </c>
      <c r="E25" s="220"/>
      <c r="F25" s="232">
        <f>D25+E25</f>
        <v>86731.29</v>
      </c>
      <c r="G25" s="223"/>
      <c r="H25" s="223"/>
      <c r="J25" s="223"/>
      <c r="K25" s="223"/>
      <c r="L25" s="224"/>
      <c r="M25" s="223"/>
      <c r="N25" s="223"/>
      <c r="O25" s="223"/>
      <c r="P25" s="223"/>
      <c r="Q25" s="223"/>
    </row>
    <row r="26" spans="1:17" x14ac:dyDescent="0.2">
      <c r="A26" t="str">
        <f t="array" ref="A26">IFERROR(INDEX('School Tables'!$L$4:$R$75,'School Tables'!$U4,3),"")</f>
        <v>Daisy Bronson Junior High School</v>
      </c>
      <c r="B26" s="230">
        <f>IFERROR(VLOOKUP(A26,'School Tables'!$N$4:$O$75,2,FALSE),"")</f>
        <v>21440</v>
      </c>
      <c r="C26" s="223" t="str">
        <f>IFERROR(INDEX('School Tables'!$M$4:$M$75,MATCH('School Level Expenditures'!A26,'School Tables'!$N$4:$N$75,0)),"")</f>
        <v>Littleton</v>
      </c>
      <c r="D26" s="220">
        <v>2154351.41</v>
      </c>
      <c r="E26" s="220">
        <v>356805.44</v>
      </c>
      <c r="F26" s="232">
        <f t="shared" ref="F26:F32" si="4">D26+E26</f>
        <v>2511156.85</v>
      </c>
      <c r="G26" s="223"/>
      <c r="H26" s="223"/>
      <c r="J26" t="str">
        <f t="shared" ref="J26:J32" si="5">A26</f>
        <v>Daisy Bronson Junior High School</v>
      </c>
      <c r="K26" s="20">
        <f>670563.23+439076.53+20391.35+38590.97+38607.1</f>
        <v>1207229.1800000002</v>
      </c>
      <c r="L26" s="20">
        <f>270676.42+1092.99</f>
        <v>271769.40999999997</v>
      </c>
      <c r="M26" s="308">
        <f>65306.16+232026.38</f>
        <v>297332.54000000004</v>
      </c>
      <c r="N26" s="20">
        <f>175043.37</f>
        <v>175043.37</v>
      </c>
      <c r="O26" s="20">
        <f>581941.15</f>
        <v>581941.15</v>
      </c>
      <c r="P26" s="20">
        <f>78354.51+45554.8</f>
        <v>123909.31</v>
      </c>
      <c r="Q26" s="20">
        <f>2705.69</f>
        <v>2705.69</v>
      </c>
    </row>
    <row r="27" spans="1:17" x14ac:dyDescent="0.2">
      <c r="A27" t="str">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2241082.7000000002</v>
      </c>
      <c r="E33" s="262">
        <f>SUM(E25:E32)</f>
        <v>356805.44</v>
      </c>
      <c r="F33" s="217"/>
      <c r="G33" s="217"/>
      <c r="H33" s="217"/>
      <c r="K33" s="263">
        <f t="shared" ref="K33:Q33" si="6">SUM(K25:K32)</f>
        <v>1207229.1800000002</v>
      </c>
      <c r="L33" s="263">
        <f t="shared" si="6"/>
        <v>271769.40999999997</v>
      </c>
      <c r="M33" s="263">
        <f t="shared" si="6"/>
        <v>297332.54000000004</v>
      </c>
      <c r="N33" s="263">
        <f t="shared" si="6"/>
        <v>175043.37</v>
      </c>
      <c r="O33" s="263">
        <f t="shared" si="6"/>
        <v>581941.15</v>
      </c>
      <c r="P33" s="263">
        <f t="shared" si="6"/>
        <v>123909.31</v>
      </c>
      <c r="Q33" s="263">
        <f t="shared" si="6"/>
        <v>2705.69</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5991044.9799999995</v>
      </c>
      <c r="G36" s="229">
        <f>'DOE25'!L248+'DOE25'!L329</f>
        <v>5991044.9800000014</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60721.52</v>
      </c>
      <c r="E37" s="220"/>
      <c r="F37" s="232">
        <f t="shared" ref="F37:F42" si="7">D37+E37</f>
        <v>60721.52</v>
      </c>
      <c r="G37" s="223"/>
      <c r="H37" s="223"/>
      <c r="J37" s="223"/>
      <c r="K37" s="223"/>
      <c r="L37" s="224"/>
      <c r="M37" s="223"/>
      <c r="N37" s="223"/>
      <c r="O37" s="223"/>
      <c r="P37" s="223"/>
      <c r="Q37" s="223"/>
    </row>
    <row r="38" spans="1:18" x14ac:dyDescent="0.2">
      <c r="A38" t="str">
        <f t="array" ref="A38">IFERROR(INDEX('School Tables'!$W$4:$AC$100,'School Tables'!$AF4,3),"")</f>
        <v>Littleton High School</v>
      </c>
      <c r="B38" s="230">
        <f>IFERROR(VLOOKUP(A38,'School Tables'!$Y$4:$Z$100,2,FALSE),"")</f>
        <v>21445</v>
      </c>
      <c r="C38" s="223" t="str">
        <f>IFERROR(INDEX('School Tables'!$X$4:$X$100,MATCH('School Level Expenditures'!A38,'School Tables'!$Y$4:$Y$100,0)),"")</f>
        <v>Littleton</v>
      </c>
      <c r="D38" s="220">
        <v>5244440.68</v>
      </c>
      <c r="E38" s="220">
        <f>522888.1+162994.68</f>
        <v>685882.78</v>
      </c>
      <c r="F38" s="232">
        <f t="shared" si="7"/>
        <v>5930323.46</v>
      </c>
      <c r="G38" s="223"/>
      <c r="H38" s="223"/>
      <c r="J38" t="str">
        <f>A38</f>
        <v>Littleton High School</v>
      </c>
      <c r="K38" s="20">
        <f>1331364.23+607381.09+983956.11+173373.74+20147.53+62554.92+135684.48</f>
        <v>3314462.0999999996</v>
      </c>
      <c r="L38" s="20">
        <f>499198.6+41703</f>
        <v>540901.6</v>
      </c>
      <c r="M38" s="308">
        <f>129802.79+109154.5</f>
        <v>238957.28999999998</v>
      </c>
      <c r="N38" s="20">
        <f>356984.49</f>
        <v>356984.49</v>
      </c>
      <c r="O38" s="20">
        <f>1597251.87+99249.6+19232.82+4000+5362.25+3720.49-21953.55</f>
        <v>1706863.4800000002</v>
      </c>
      <c r="P38" s="20">
        <f>307236.17</f>
        <v>307236.17</v>
      </c>
      <c r="Q38" s="20">
        <f>17309.98+5040.43+779.28</f>
        <v>23129.69</v>
      </c>
    </row>
    <row r="39" spans="1:18" x14ac:dyDescent="0.2">
      <c r="A39" t="str">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A39</f>
        <v/>
      </c>
      <c r="K39" s="20"/>
      <c r="L39" s="20"/>
      <c r="M39" s="20"/>
      <c r="N39" s="20"/>
      <c r="O39" s="20"/>
      <c r="P39" s="20"/>
      <c r="Q39" s="20"/>
    </row>
    <row r="40" spans="1:18" x14ac:dyDescent="0.2">
      <c r="A40" t="str">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A40</f>
        <v/>
      </c>
      <c r="K40" s="20"/>
      <c r="L40" s="20"/>
      <c r="M40" s="20"/>
      <c r="N40" s="20"/>
      <c r="O40" s="20"/>
      <c r="P40" s="20"/>
      <c r="Q40" s="20"/>
    </row>
    <row r="41" spans="1:18" x14ac:dyDescent="0.2">
      <c r="A41" t="str">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A41</f>
        <v/>
      </c>
      <c r="K41" s="20"/>
      <c r="L41" s="20"/>
      <c r="M41" s="20"/>
      <c r="N41" s="20"/>
      <c r="O41" s="20"/>
      <c r="P41" s="20"/>
      <c r="Q41" s="20"/>
    </row>
    <row r="42" spans="1:18" x14ac:dyDescent="0.2">
      <c r="A42" t="str">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A42</f>
        <v/>
      </c>
      <c r="K42" s="20"/>
      <c r="L42" s="20"/>
      <c r="M42" s="20"/>
      <c r="N42" s="20"/>
      <c r="O42" s="20"/>
      <c r="P42" s="20"/>
      <c r="Q42" s="20"/>
    </row>
    <row r="43" spans="1:18" ht="12" thickBot="1" x14ac:dyDescent="0.25">
      <c r="D43" s="262">
        <f>SUM(D37:D42)</f>
        <v>5305162.1999999993</v>
      </c>
      <c r="E43" s="263">
        <f>SUM(E37:E42)</f>
        <v>685882.78</v>
      </c>
      <c r="K43" s="263">
        <f t="shared" ref="K43:Q43" si="8">SUM(K37:K42)</f>
        <v>3314462.0999999996</v>
      </c>
      <c r="L43" s="263">
        <f t="shared" si="8"/>
        <v>540901.6</v>
      </c>
      <c r="M43" s="263">
        <f t="shared" si="8"/>
        <v>238957.28999999998</v>
      </c>
      <c r="N43" s="263">
        <f t="shared" si="8"/>
        <v>356984.49</v>
      </c>
      <c r="O43" s="263">
        <f t="shared" si="8"/>
        <v>1706863.4800000002</v>
      </c>
      <c r="P43" s="263">
        <f t="shared" si="8"/>
        <v>307236.17</v>
      </c>
      <c r="Q43" s="263">
        <f t="shared" si="8"/>
        <v>23129.69</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7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K20" sqref="K2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Littleton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1328938.6100000001</v>
      </c>
      <c r="D8" s="73">
        <f>'DOE25'!G9</f>
        <v>0</v>
      </c>
      <c r="E8" s="73">
        <f>'DOE25'!H9</f>
        <v>0</v>
      </c>
      <c r="F8" s="73">
        <f>'DOE25'!I9</f>
        <v>0</v>
      </c>
      <c r="G8" s="73">
        <f>'DOE25'!J9</f>
        <v>864316.74</v>
      </c>
      <c r="H8" s="90">
        <f>SUM(C8:G8)</f>
        <v>2193255.35</v>
      </c>
      <c r="I8" s="90"/>
    </row>
    <row r="9" spans="1:9" x14ac:dyDescent="0.2">
      <c r="A9" s="1" t="s">
        <v>140</v>
      </c>
      <c r="B9" s="6">
        <v>110</v>
      </c>
      <c r="C9" s="73">
        <f>'DOE25'!F10</f>
        <v>0</v>
      </c>
      <c r="D9" s="73">
        <f>'DOE25'!G10</f>
        <v>0</v>
      </c>
      <c r="E9" s="73">
        <f>'DOE25'!H10</f>
        <v>0</v>
      </c>
      <c r="F9" s="73">
        <f>'DOE25'!I10</f>
        <v>0</v>
      </c>
      <c r="G9" s="73">
        <f>'DOE25'!J10</f>
        <v>0</v>
      </c>
      <c r="H9" s="90">
        <f t="shared" ref="H9:H18" si="0">SUM(C9:G9)</f>
        <v>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183378.03</v>
      </c>
      <c r="D11" s="73">
        <f>'DOE25'!G12</f>
        <v>44929.97</v>
      </c>
      <c r="E11" s="73">
        <f>'DOE25'!H12</f>
        <v>-271043</v>
      </c>
      <c r="F11" s="73">
        <f>'DOE25'!I12</f>
        <v>0</v>
      </c>
      <c r="G11" s="73">
        <f>'DOE25'!J12</f>
        <v>0</v>
      </c>
      <c r="H11" s="90">
        <f t="shared" si="0"/>
        <v>-42735</v>
      </c>
      <c r="I11" s="90"/>
    </row>
    <row r="12" spans="1:9" x14ac:dyDescent="0.2">
      <c r="A12" s="1" t="s">
        <v>143</v>
      </c>
      <c r="B12" s="6">
        <v>140</v>
      </c>
      <c r="C12" s="73">
        <f>'DOE25'!F13</f>
        <v>52291.27</v>
      </c>
      <c r="D12" s="73">
        <f>'DOE25'!G13</f>
        <v>87664.97</v>
      </c>
      <c r="E12" s="73">
        <f>'DOE25'!H13</f>
        <v>457863.96</v>
      </c>
      <c r="F12" s="73">
        <f>'DOE25'!I13</f>
        <v>0</v>
      </c>
      <c r="G12" s="73">
        <f>'DOE25'!J13</f>
        <v>0</v>
      </c>
      <c r="H12" s="90">
        <f t="shared" si="0"/>
        <v>597820.19999999995</v>
      </c>
      <c r="I12" s="90"/>
    </row>
    <row r="13" spans="1:9" x14ac:dyDescent="0.2">
      <c r="A13" s="1" t="s">
        <v>144</v>
      </c>
      <c r="B13" s="6">
        <v>150</v>
      </c>
      <c r="C13" s="73">
        <f>'DOE25'!F14</f>
        <v>0</v>
      </c>
      <c r="D13" s="73">
        <f>'DOE25'!G14</f>
        <v>0</v>
      </c>
      <c r="E13" s="73">
        <f>'DOE25'!H14</f>
        <v>0</v>
      </c>
      <c r="F13" s="73">
        <f>'DOE25'!I14</f>
        <v>0</v>
      </c>
      <c r="G13" s="73">
        <f>'DOE25'!J14</f>
        <v>0</v>
      </c>
      <c r="H13" s="90">
        <f t="shared" si="0"/>
        <v>0</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1564607.9100000001</v>
      </c>
      <c r="D18" s="38">
        <f>SUM(D8:D17)</f>
        <v>132594.94</v>
      </c>
      <c r="E18" s="38">
        <f>SUM(E8:E17)</f>
        <v>186820.96000000002</v>
      </c>
      <c r="F18" s="38">
        <f>SUM(F8:F17)</f>
        <v>0</v>
      </c>
      <c r="G18" s="38">
        <f>SUM(G8:G17)</f>
        <v>864316.74</v>
      </c>
      <c r="H18" s="38">
        <f t="shared" si="0"/>
        <v>2748340.55</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90">
        <f t="shared" ref="H21:H31" si="1">SUM(C21:G21)</f>
        <v>0</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299590.13</v>
      </c>
      <c r="D23" s="73">
        <f>'DOE25'!G24</f>
        <v>0</v>
      </c>
      <c r="E23" s="73">
        <f>'DOE25'!H24</f>
        <v>0</v>
      </c>
      <c r="F23" s="73">
        <f>'DOE25'!I24</f>
        <v>0</v>
      </c>
      <c r="G23" s="73">
        <f>'DOE25'!J24</f>
        <v>0</v>
      </c>
      <c r="H23" s="90">
        <f t="shared" si="1"/>
        <v>299590.13</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0</v>
      </c>
      <c r="D27" s="73">
        <f>'DOE25'!G28</f>
        <v>0</v>
      </c>
      <c r="E27" s="73">
        <f>'DOE25'!H28</f>
        <v>0</v>
      </c>
      <c r="F27" s="73">
        <f>'DOE25'!I28</f>
        <v>0</v>
      </c>
      <c r="G27" s="23" t="s">
        <v>288</v>
      </c>
      <c r="H27" s="90">
        <f t="shared" si="1"/>
        <v>0</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0</v>
      </c>
      <c r="D29" s="73">
        <f>'DOE25'!G30</f>
        <v>25720.63</v>
      </c>
      <c r="E29" s="73">
        <f>'DOE25'!H30</f>
        <v>186820.96</v>
      </c>
      <c r="F29" s="73">
        <f>'DOE25'!I30</f>
        <v>0</v>
      </c>
      <c r="G29" s="23" t="s">
        <v>288</v>
      </c>
      <c r="H29" s="90">
        <f t="shared" si="1"/>
        <v>212541.59</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299590.13</v>
      </c>
      <c r="D31" s="38">
        <f>SUM(D21:D30)</f>
        <v>25720.63</v>
      </c>
      <c r="E31" s="38">
        <f>SUM(E21:E30)</f>
        <v>186820.96</v>
      </c>
      <c r="F31" s="38">
        <f>SUM(F21:F30)</f>
        <v>0</v>
      </c>
      <c r="G31" s="38">
        <f>SUM(G21:G30)</f>
        <v>0</v>
      </c>
      <c r="H31" s="38">
        <f t="shared" si="1"/>
        <v>512131.72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90">
        <f t="shared" ref="H34:H51" si="2">SUM(C34:G34)</f>
        <v>0</v>
      </c>
      <c r="I34" s="90"/>
    </row>
    <row r="35" spans="1:9" x14ac:dyDescent="0.2">
      <c r="A35" s="1" t="s">
        <v>849</v>
      </c>
      <c r="B35" s="6">
        <v>752</v>
      </c>
      <c r="C35" s="73">
        <f>'DOE25'!F36</f>
        <v>0</v>
      </c>
      <c r="D35" s="73">
        <f>'DOE25'!G36</f>
        <v>0</v>
      </c>
      <c r="E35" s="73">
        <f>'DOE25'!H36</f>
        <v>0</v>
      </c>
      <c r="F35" s="73">
        <f>'DOE25'!I36</f>
        <v>0</v>
      </c>
      <c r="G35" s="23" t="s">
        <v>288</v>
      </c>
      <c r="H35" s="90">
        <f t="shared" si="2"/>
        <v>0</v>
      </c>
      <c r="I35" s="90"/>
    </row>
    <row r="36" spans="1:9" x14ac:dyDescent="0.2">
      <c r="A36" s="1" t="s">
        <v>855</v>
      </c>
      <c r="B36" s="6">
        <v>756</v>
      </c>
      <c r="C36" s="73">
        <f>'DOE25'!F37</f>
        <v>0</v>
      </c>
      <c r="D36" s="73">
        <f>'DOE25'!G37</f>
        <v>0</v>
      </c>
      <c r="E36" s="73">
        <f>'DOE25'!H37</f>
        <v>0</v>
      </c>
      <c r="F36" s="73">
        <f>'DOE25'!I37</f>
        <v>0</v>
      </c>
      <c r="G36" s="73">
        <f>'DOE25'!J37</f>
        <v>0</v>
      </c>
      <c r="H36" s="90">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90">
        <f t="shared" si="2"/>
        <v>0</v>
      </c>
      <c r="I38" s="90"/>
    </row>
    <row r="39" spans="1:9" x14ac:dyDescent="0.2">
      <c r="A39" s="1" t="s">
        <v>860</v>
      </c>
      <c r="B39" s="6"/>
      <c r="C39" s="23" t="s">
        <v>288</v>
      </c>
      <c r="D39" s="73">
        <f>'DOE25'!G40</f>
        <v>106874.31</v>
      </c>
      <c r="E39" s="23" t="s">
        <v>288</v>
      </c>
      <c r="F39" s="23" t="s">
        <v>288</v>
      </c>
      <c r="G39" s="23" t="s">
        <v>288</v>
      </c>
      <c r="H39" s="90">
        <f t="shared" si="2"/>
        <v>106874.31</v>
      </c>
      <c r="I39" s="90"/>
    </row>
    <row r="40" spans="1:9" x14ac:dyDescent="0.2">
      <c r="A40" s="1" t="s">
        <v>870</v>
      </c>
      <c r="B40" s="6"/>
      <c r="C40" s="23" t="s">
        <v>288</v>
      </c>
      <c r="D40" s="23" t="s">
        <v>288</v>
      </c>
      <c r="E40" s="23" t="s">
        <v>288</v>
      </c>
      <c r="F40" s="73">
        <f>'DOE25'!I41</f>
        <v>0</v>
      </c>
      <c r="G40" s="23" t="s">
        <v>288</v>
      </c>
      <c r="H40" s="90">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864316.74</v>
      </c>
      <c r="H42" s="90">
        <f t="shared" si="2"/>
        <v>864316.74</v>
      </c>
      <c r="I42" s="90"/>
    </row>
    <row r="43" spans="1:9" x14ac:dyDescent="0.2">
      <c r="A43" s="1" t="s">
        <v>862</v>
      </c>
      <c r="B43" s="6">
        <v>755</v>
      </c>
      <c r="C43" s="73">
        <f>'DOE25'!F44</f>
        <v>205000</v>
      </c>
      <c r="D43" s="73">
        <f>'DOE25'!G44</f>
        <v>0</v>
      </c>
      <c r="E43" s="73">
        <f>'DOE25'!H44</f>
        <v>0</v>
      </c>
      <c r="F43" s="73">
        <f>'DOE25'!I44</f>
        <v>0</v>
      </c>
      <c r="G43" s="23" t="s">
        <v>288</v>
      </c>
      <c r="H43" s="90">
        <f t="shared" si="2"/>
        <v>205000</v>
      </c>
      <c r="I43" s="90"/>
    </row>
    <row r="44" spans="1:9" x14ac:dyDescent="0.2">
      <c r="A44" s="1" t="s">
        <v>863</v>
      </c>
      <c r="B44" s="6">
        <v>753</v>
      </c>
      <c r="C44" s="73">
        <f>'DOE25'!F45</f>
        <v>0</v>
      </c>
      <c r="D44" s="73">
        <f>'DOE25'!G45</f>
        <v>0</v>
      </c>
      <c r="E44" s="73">
        <f>'DOE25'!H45</f>
        <v>0</v>
      </c>
      <c r="F44" s="73">
        <f>'DOE25'!I45</f>
        <v>0</v>
      </c>
      <c r="G44" s="73">
        <f>'DOE25'!J45</f>
        <v>0</v>
      </c>
      <c r="H44" s="90">
        <f t="shared" si="2"/>
        <v>0</v>
      </c>
      <c r="I44" s="90"/>
    </row>
    <row r="45" spans="1:9" x14ac:dyDescent="0.2">
      <c r="A45" s="1" t="s">
        <v>879</v>
      </c>
      <c r="B45" s="6"/>
      <c r="C45" s="73">
        <f>'DOE25'!F46</f>
        <v>536338</v>
      </c>
      <c r="D45" s="23" t="s">
        <v>288</v>
      </c>
      <c r="E45" s="23" t="s">
        <v>288</v>
      </c>
      <c r="F45" s="23" t="s">
        <v>288</v>
      </c>
      <c r="G45" s="23" t="s">
        <v>288</v>
      </c>
      <c r="H45" s="90">
        <f t="shared" si="2"/>
        <v>536338</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90">
        <f t="shared" si="2"/>
        <v>0</v>
      </c>
      <c r="I47" s="90"/>
    </row>
    <row r="48" spans="1:9" x14ac:dyDescent="0.2">
      <c r="A48" s="1" t="s">
        <v>881</v>
      </c>
      <c r="B48" s="6">
        <v>753</v>
      </c>
      <c r="C48" s="73">
        <f>'DOE25'!F49</f>
        <v>0</v>
      </c>
      <c r="D48" s="73">
        <f>'DOE25'!G49</f>
        <v>0</v>
      </c>
      <c r="E48" s="73">
        <f>'DOE25'!H49</f>
        <v>0</v>
      </c>
      <c r="F48" s="73">
        <f>'DOE25'!I49</f>
        <v>0</v>
      </c>
      <c r="G48" s="73">
        <f>'DOE25'!J49</f>
        <v>0</v>
      </c>
      <c r="H48" s="90">
        <f t="shared" si="2"/>
        <v>0</v>
      </c>
      <c r="I48" s="90"/>
    </row>
    <row r="49" spans="1:9" ht="12" thickBot="1" x14ac:dyDescent="0.25">
      <c r="A49" s="28" t="s">
        <v>882</v>
      </c>
      <c r="B49" s="56">
        <v>770</v>
      </c>
      <c r="C49" s="73">
        <f>'DOE25'!F50</f>
        <v>523679.78</v>
      </c>
      <c r="D49" s="23" t="s">
        <v>288</v>
      </c>
      <c r="E49" s="23" t="s">
        <v>288</v>
      </c>
      <c r="F49" s="23" t="s">
        <v>288</v>
      </c>
      <c r="G49" s="23" t="s">
        <v>288</v>
      </c>
      <c r="H49" s="90">
        <f t="shared" si="2"/>
        <v>523679.78</v>
      </c>
      <c r="I49" s="90"/>
    </row>
    <row r="50" spans="1:9" ht="12.75" thickTop="1" thickBot="1" x14ac:dyDescent="0.25">
      <c r="A50" s="35" t="s">
        <v>883</v>
      </c>
      <c r="B50" s="44"/>
      <c r="C50" s="38">
        <f>SUM(C34:C49)</f>
        <v>1265017.78</v>
      </c>
      <c r="D50" s="38">
        <f>SUM(D34:D49)</f>
        <v>106874.31</v>
      </c>
      <c r="E50" s="38">
        <f>SUM(E34:E49)</f>
        <v>0</v>
      </c>
      <c r="F50" s="38">
        <f>SUM(F34:F49)</f>
        <v>0</v>
      </c>
      <c r="G50" s="38">
        <f>SUM(G34:G49)</f>
        <v>864316.74</v>
      </c>
      <c r="H50" s="38">
        <f t="shared" si="2"/>
        <v>2236208.83</v>
      </c>
      <c r="I50" s="90"/>
    </row>
    <row r="51" spans="1:9" ht="12" thickTop="1" x14ac:dyDescent="0.2">
      <c r="A51" s="35" t="s">
        <v>884</v>
      </c>
      <c r="B51" s="2"/>
      <c r="C51" s="38">
        <f>C50+C31</f>
        <v>1564607.9100000001</v>
      </c>
      <c r="D51" s="38">
        <f>D50+D31</f>
        <v>132594.94</v>
      </c>
      <c r="E51" s="38">
        <f>E50+E31</f>
        <v>186820.96</v>
      </c>
      <c r="F51" s="38">
        <f>F50+F31</f>
        <v>0</v>
      </c>
      <c r="G51" s="38">
        <f>G50+G31</f>
        <v>864316.74</v>
      </c>
      <c r="H51" s="38">
        <f t="shared" si="2"/>
        <v>2748340.55</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9581528</v>
      </c>
      <c r="D56" s="73">
        <f>'DOE25'!G60</f>
        <v>0</v>
      </c>
      <c r="E56" s="73">
        <f>'DOE25'!H60</f>
        <v>0</v>
      </c>
      <c r="F56" s="73">
        <f>'DOE25'!I60</f>
        <v>0</v>
      </c>
      <c r="G56" s="73">
        <f>'DOE25'!J60</f>
        <v>0</v>
      </c>
      <c r="H56" s="90">
        <f t="shared" ref="H56:H63" si="3">SUM(C56:G56)</f>
        <v>9581528</v>
      </c>
      <c r="I56"/>
    </row>
    <row r="57" spans="1:9" x14ac:dyDescent="0.2">
      <c r="A57" s="1" t="s">
        <v>164</v>
      </c>
      <c r="B57" s="6" t="s">
        <v>165</v>
      </c>
      <c r="C57" s="73">
        <f>'DOE25'!F79</f>
        <v>125224.9</v>
      </c>
      <c r="D57" s="23" t="s">
        <v>288</v>
      </c>
      <c r="E57" s="73">
        <f>'DOE25'!H79</f>
        <v>0</v>
      </c>
      <c r="F57" s="23" t="s">
        <v>288</v>
      </c>
      <c r="G57" s="23" t="s">
        <v>288</v>
      </c>
      <c r="H57" s="90">
        <f t="shared" si="3"/>
        <v>125224.9</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72886.36</v>
      </c>
      <c r="D59" s="73">
        <f>'DOE25'!G96</f>
        <v>0</v>
      </c>
      <c r="E59" s="73">
        <f>'DOE25'!H96</f>
        <v>0</v>
      </c>
      <c r="F59" s="73">
        <f>'DOE25'!I96</f>
        <v>0</v>
      </c>
      <c r="G59" s="73">
        <f>'DOE25'!J96</f>
        <v>29394.09</v>
      </c>
      <c r="H59" s="90">
        <f t="shared" si="3"/>
        <v>102280.45</v>
      </c>
      <c r="I59"/>
    </row>
    <row r="60" spans="1:9" x14ac:dyDescent="0.2">
      <c r="A60" s="1" t="s">
        <v>170</v>
      </c>
      <c r="B60" s="22" t="s">
        <v>171</v>
      </c>
      <c r="C60" s="23" t="s">
        <v>288</v>
      </c>
      <c r="D60" s="73">
        <f>'DOE25'!G97</f>
        <v>125351.28</v>
      </c>
      <c r="E60" s="23" t="s">
        <v>288</v>
      </c>
      <c r="F60" s="23" t="s">
        <v>288</v>
      </c>
      <c r="G60" s="23" t="s">
        <v>288</v>
      </c>
      <c r="H60" s="90">
        <f t="shared" si="3"/>
        <v>125351.28</v>
      </c>
      <c r="I60"/>
    </row>
    <row r="61" spans="1:9" ht="12" thickBot="1" x14ac:dyDescent="0.25">
      <c r="A61" s="1" t="s">
        <v>172</v>
      </c>
      <c r="B61" s="22" t="s">
        <v>173</v>
      </c>
      <c r="C61" s="73">
        <f>SUM('DOE25'!F98:F110)</f>
        <v>171187.49</v>
      </c>
      <c r="D61" s="73">
        <f>SUM('DOE25'!G98:G110)</f>
        <v>0</v>
      </c>
      <c r="E61" s="73">
        <f>SUM('DOE25'!H98:H110)</f>
        <v>152670.88</v>
      </c>
      <c r="F61" s="73">
        <f>SUM('DOE25'!I98:I110)</f>
        <v>0</v>
      </c>
      <c r="G61" s="73">
        <f>SUM('DOE25'!J98:J110)</f>
        <v>0</v>
      </c>
      <c r="H61" s="90">
        <f t="shared" si="3"/>
        <v>323858.37</v>
      </c>
      <c r="I61"/>
    </row>
    <row r="62" spans="1:9" ht="12.75" thickTop="1" thickBot="1" x14ac:dyDescent="0.25">
      <c r="A62" s="28" t="s">
        <v>174</v>
      </c>
      <c r="B62" s="6"/>
      <c r="C62" s="93">
        <f>SUM(C57:C61)</f>
        <v>369298.75</v>
      </c>
      <c r="D62" s="93">
        <f>SUM(D57:D61)</f>
        <v>125351.28</v>
      </c>
      <c r="E62" s="93">
        <f>SUM(E57:E61)</f>
        <v>152670.88</v>
      </c>
      <c r="F62" s="93">
        <f>SUM(F57:F61)</f>
        <v>0</v>
      </c>
      <c r="G62" s="93">
        <f>SUM(G57:G61)</f>
        <v>29394.09</v>
      </c>
      <c r="H62" s="90">
        <f t="shared" si="3"/>
        <v>676715</v>
      </c>
      <c r="I62"/>
    </row>
    <row r="63" spans="1:9" ht="12" thickTop="1" x14ac:dyDescent="0.2">
      <c r="A63" s="28" t="s">
        <v>175</v>
      </c>
      <c r="B63" s="6"/>
      <c r="C63" s="21">
        <f>C56+C62</f>
        <v>9950826.75</v>
      </c>
      <c r="D63" s="21">
        <f>D56+D62</f>
        <v>125351.28</v>
      </c>
      <c r="E63" s="21">
        <f>E56+E62</f>
        <v>152670.88</v>
      </c>
      <c r="F63" s="21">
        <f>F56+F62</f>
        <v>0</v>
      </c>
      <c r="G63" s="21">
        <f>G56+G62</f>
        <v>29394.09</v>
      </c>
      <c r="H63" s="90">
        <f t="shared" si="3"/>
        <v>10258243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4237968.47</v>
      </c>
      <c r="D66" s="23" t="s">
        <v>288</v>
      </c>
      <c r="E66" s="23" t="s">
        <v>288</v>
      </c>
      <c r="F66" s="23" t="s">
        <v>288</v>
      </c>
      <c r="G66" s="23" t="s">
        <v>288</v>
      </c>
      <c r="H66" s="90">
        <f t="shared" ref="H66:H81" si="4">SUM(C66:G66)</f>
        <v>4237968.47</v>
      </c>
      <c r="I66"/>
    </row>
    <row r="67" spans="1:9" x14ac:dyDescent="0.2">
      <c r="A67" s="1" t="s">
        <v>770</v>
      </c>
      <c r="B67" s="6">
        <v>3112</v>
      </c>
      <c r="C67" s="73">
        <f>'DOE25'!F118</f>
        <v>1145232</v>
      </c>
      <c r="D67" s="23"/>
      <c r="E67" s="23"/>
      <c r="F67" s="23"/>
      <c r="G67" s="23"/>
      <c r="H67" s="90">
        <f t="shared" si="4"/>
        <v>1145232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8466.6299999999992</v>
      </c>
      <c r="D69" s="73">
        <f>'DOE25'!G120</f>
        <v>0</v>
      </c>
      <c r="E69" s="73">
        <f>'DOE25'!H120</f>
        <v>0</v>
      </c>
      <c r="F69" s="73">
        <f>'DOE25'!I120</f>
        <v>0</v>
      </c>
      <c r="G69" s="73">
        <f>'DOE25'!J120</f>
        <v>0</v>
      </c>
      <c r="H69" s="90">
        <f t="shared" si="4"/>
        <v>8466.6299999999992</v>
      </c>
      <c r="I69"/>
    </row>
    <row r="70" spans="1:9" ht="12" thickTop="1" x14ac:dyDescent="0.2">
      <c r="A70" s="28" t="s">
        <v>252</v>
      </c>
      <c r="B70" s="2"/>
      <c r="C70" s="97">
        <f>SUM(C66:C69)</f>
        <v>5391667.0999999996</v>
      </c>
      <c r="D70" s="97">
        <f>D69</f>
        <v>0</v>
      </c>
      <c r="E70" s="97">
        <f>E69</f>
        <v>0</v>
      </c>
      <c r="F70" s="97">
        <f>F69</f>
        <v>0</v>
      </c>
      <c r="G70" s="97">
        <f>G69</f>
        <v>0</v>
      </c>
      <c r="H70" s="90">
        <f t="shared" si="4"/>
        <v>5391667.0999999996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208806.95</v>
      </c>
      <c r="D72" s="23" t="s">
        <v>288</v>
      </c>
      <c r="E72" s="23" t="s">
        <v>288</v>
      </c>
      <c r="F72" s="73">
        <f>'DOE25'!I123</f>
        <v>0</v>
      </c>
      <c r="G72" s="23" t="s">
        <v>288</v>
      </c>
      <c r="H72" s="90">
        <f t="shared" si="4"/>
        <v>208806.95</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117767.59</v>
      </c>
      <c r="D75" s="23" t="s">
        <v>288</v>
      </c>
      <c r="E75" s="23" t="s">
        <v>288</v>
      </c>
      <c r="F75" s="23" t="s">
        <v>288</v>
      </c>
      <c r="G75" s="23" t="s">
        <v>288</v>
      </c>
      <c r="H75" s="90">
        <f t="shared" si="4"/>
        <v>117767.59</v>
      </c>
      <c r="I75"/>
    </row>
    <row r="76" spans="1:9" x14ac:dyDescent="0.2">
      <c r="A76" s="1" t="s">
        <v>257</v>
      </c>
      <c r="B76" s="6" t="s">
        <v>179</v>
      </c>
      <c r="C76" s="73">
        <f>SUM('DOE25'!F127:F130)</f>
        <v>224685.38999999998</v>
      </c>
      <c r="D76" s="23" t="s">
        <v>288</v>
      </c>
      <c r="E76" s="73">
        <f>SUM('DOE25'!H127:H130)</f>
        <v>0</v>
      </c>
      <c r="F76" s="73">
        <f>SUM('DOE25'!I127:I130)</f>
        <v>0</v>
      </c>
      <c r="G76" s="23" t="s">
        <v>288</v>
      </c>
      <c r="H76" s="90">
        <f t="shared" si="4"/>
        <v>224685.38999999998</v>
      </c>
      <c r="I76"/>
    </row>
    <row r="77" spans="1:9" ht="12" thickBot="1" x14ac:dyDescent="0.25">
      <c r="A77" s="1" t="s">
        <v>258</v>
      </c>
      <c r="B77" s="6" t="s">
        <v>180</v>
      </c>
      <c r="C77" s="73">
        <f>SUM('DOE25'!F131:F135)</f>
        <v>84955.73</v>
      </c>
      <c r="D77" s="73">
        <f>SUM('DOE25'!G131:G135)</f>
        <v>4646.79</v>
      </c>
      <c r="E77" s="73">
        <f>SUM('DOE25'!H131:H135)</f>
        <v>0</v>
      </c>
      <c r="F77" s="73">
        <f>SUM('DOE25'!I131:I135)</f>
        <v>0</v>
      </c>
      <c r="G77" s="73">
        <f>SUM('DOE25'!J131:J135)</f>
        <v>0</v>
      </c>
      <c r="H77" s="90">
        <f t="shared" si="4"/>
        <v>89602.51999999999</v>
      </c>
      <c r="I77"/>
    </row>
    <row r="78" spans="1:9" ht="12.75" thickTop="1" thickBot="1" x14ac:dyDescent="0.25">
      <c r="A78" s="28" t="s">
        <v>259</v>
      </c>
      <c r="B78" s="6"/>
      <c r="C78" s="93">
        <f>SUM(C72:C77)</f>
        <v>636215.66</v>
      </c>
      <c r="D78" s="93">
        <f>SUM(D72:D77)</f>
        <v>4646.79</v>
      </c>
      <c r="E78" s="93">
        <f>SUM(E72:E77)</f>
        <v>0</v>
      </c>
      <c r="F78" s="93">
        <f>SUM(F72:F77)</f>
        <v>0</v>
      </c>
      <c r="G78" s="93">
        <f>SUM(G72:G77)</f>
        <v>0</v>
      </c>
      <c r="H78" s="90">
        <f t="shared" si="4"/>
        <v>640862.45000000007</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885</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6027882.7599999998</v>
      </c>
      <c r="D81" s="93">
        <f>SUM(D79:D80)+D78+D70</f>
        <v>4646.79</v>
      </c>
      <c r="E81" s="93">
        <f>SUM(E79:E80)+E78+E70</f>
        <v>0</v>
      </c>
      <c r="F81" s="93">
        <f>SUM(F79:F80)+F78+F70</f>
        <v>0</v>
      </c>
      <c r="G81" s="93">
        <f>SUM(G79:G80)+G78+G70</f>
        <v>0</v>
      </c>
      <c r="H81" s="93">
        <f t="shared" si="4"/>
        <v>6032529.5499999998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59661.7</v>
      </c>
      <c r="D85" s="73">
        <f>'DOE25'!G147</f>
        <v>0</v>
      </c>
      <c r="E85" s="73">
        <f>'DOE25'!H147</f>
        <v>0</v>
      </c>
      <c r="F85" s="73">
        <f>'DOE25'!I147</f>
        <v>0</v>
      </c>
      <c r="G85" s="23" t="s">
        <v>288</v>
      </c>
      <c r="H85" s="90">
        <f t="shared" ref="H85:H104" si="5">SUM(C85:G85)</f>
        <v>59661.7</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3363.15</v>
      </c>
      <c r="D88" s="253">
        <f>SUM('DOE25'!G153:G162)</f>
        <v>263567.82</v>
      </c>
      <c r="E88" s="253">
        <f>SUM('DOE25'!H153:H162)</f>
        <v>2529252.7800000003</v>
      </c>
      <c r="F88" s="253">
        <f>SUM('DOE25'!I153:I162)</f>
        <v>0</v>
      </c>
      <c r="G88" s="23" t="s">
        <v>288</v>
      </c>
      <c r="H88" s="90">
        <f t="shared" si="5"/>
        <v>2796183.7500000005</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1430.11</v>
      </c>
      <c r="D90" s="23" t="s">
        <v>288</v>
      </c>
      <c r="E90" s="23" t="s">
        <v>288</v>
      </c>
      <c r="F90" s="23" t="s">
        <v>288</v>
      </c>
      <c r="G90" s="23" t="s">
        <v>288</v>
      </c>
      <c r="H90" s="90">
        <f t="shared" si="5"/>
        <v>1430.11</v>
      </c>
    </row>
    <row r="91" spans="1:9" ht="12.75" thickTop="1" thickBot="1" x14ac:dyDescent="0.25">
      <c r="A91" s="32" t="s">
        <v>750</v>
      </c>
      <c r="C91" s="94">
        <f>SUM(C85:C90)</f>
        <v>64454.96</v>
      </c>
      <c r="D91" s="94">
        <f>SUM(D85:D90)</f>
        <v>263567.82</v>
      </c>
      <c r="E91" s="94">
        <f>SUM(E85:E90)</f>
        <v>2529252.7800000003</v>
      </c>
      <c r="F91" s="94">
        <f>SUM(F85:F90)</f>
        <v>0</v>
      </c>
      <c r="G91" s="23" t="s">
        <v>288</v>
      </c>
      <c r="H91" s="90">
        <f t="shared" si="5"/>
        <v>2857275.5600000005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1783.09</v>
      </c>
      <c r="E96" s="73">
        <f>'DOE25'!H180</f>
        <v>0</v>
      </c>
      <c r="F96" s="73">
        <f>'DOE25'!I180</f>
        <v>0</v>
      </c>
      <c r="G96" s="73">
        <f>'DOE25'!J180</f>
        <v>61804.06</v>
      </c>
      <c r="H96" s="90">
        <f t="shared" si="5"/>
        <v>63587.149999999994</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98935</v>
      </c>
      <c r="D99" s="73">
        <f>'DOE25'!G186</f>
        <v>0</v>
      </c>
      <c r="E99" s="73">
        <f>'DOE25'!H186</f>
        <v>0</v>
      </c>
      <c r="F99" s="73">
        <f>'DOE25'!I186</f>
        <v>0</v>
      </c>
      <c r="G99" s="23" t="s">
        <v>288</v>
      </c>
      <c r="H99" s="90">
        <f t="shared" si="5"/>
        <v>98935</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98935</v>
      </c>
      <c r="D103" s="68">
        <f>SUM(D93:D102)</f>
        <v>1783.09</v>
      </c>
      <c r="E103" s="68">
        <f>SUM(E93:E102)</f>
        <v>0</v>
      </c>
      <c r="F103" s="68">
        <f>SUM(F93:F102)</f>
        <v>0</v>
      </c>
      <c r="G103" s="68">
        <f>SUM(G93:G102)</f>
        <v>61804.06</v>
      </c>
      <c r="H103" s="68">
        <f t="shared" si="5"/>
        <v>162522.15</v>
      </c>
    </row>
    <row r="104" spans="1:8" ht="12.75" thickTop="1" thickBot="1" x14ac:dyDescent="0.25">
      <c r="A104" s="32" t="s">
        <v>761</v>
      </c>
      <c r="C104" s="68">
        <f>C63+C81+C91+C103</f>
        <v>16142099.470000001</v>
      </c>
      <c r="D104" s="68">
        <f>D63+D81+D91+D103</f>
        <v>395348.98000000004</v>
      </c>
      <c r="E104" s="68">
        <f>E63+E81+E91+E103</f>
        <v>2681923.66</v>
      </c>
      <c r="F104" s="68">
        <f>F63+F81+F91+F103</f>
        <v>0</v>
      </c>
      <c r="G104" s="68">
        <f>G63+G81+G103</f>
        <v>91198.15</v>
      </c>
      <c r="H104" s="68">
        <f t="shared" si="5"/>
        <v>19310570.259999998</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4796710.22</v>
      </c>
      <c r="D109" s="23" t="s">
        <v>288</v>
      </c>
      <c r="E109" s="73">
        <f>('DOE25'!L277)+('DOE25'!L296)+('DOE25'!L315)</f>
        <v>611132.55000000005</v>
      </c>
      <c r="F109" s="23" t="s">
        <v>288</v>
      </c>
      <c r="G109" s="23" t="s">
        <v>288</v>
      </c>
      <c r="H109" s="90">
        <f t="shared" ref="H109:H115" si="6">SUM(C109:G109)</f>
        <v>5407842.7699999996</v>
      </c>
    </row>
    <row r="110" spans="1:8" x14ac:dyDescent="0.2">
      <c r="A110" t="s">
        <v>198</v>
      </c>
      <c r="B110" s="31" t="s">
        <v>199</v>
      </c>
      <c r="C110" s="73">
        <f>('DOE25'!L199)+('DOE25'!L217)+('DOE25'!L235)</f>
        <v>2527771.8400000003</v>
      </c>
      <c r="D110" s="23" t="s">
        <v>288</v>
      </c>
      <c r="E110" s="73">
        <f>('DOE25'!L278)+('DOE25'!L297)+('DOE25'!L316)</f>
        <v>362866.06</v>
      </c>
      <c r="F110" s="23" t="s">
        <v>288</v>
      </c>
      <c r="G110" s="23" t="s">
        <v>288</v>
      </c>
      <c r="H110" s="90">
        <f t="shared" si="6"/>
        <v>2890637.9000000004</v>
      </c>
    </row>
    <row r="111" spans="1:8" x14ac:dyDescent="0.2">
      <c r="A111" t="s">
        <v>200</v>
      </c>
      <c r="B111" s="31" t="s">
        <v>165</v>
      </c>
      <c r="C111" s="73">
        <f>('DOE25'!L200)+('DOE25'!L218)+('DOE25'!L236)</f>
        <v>983956.1100000001</v>
      </c>
      <c r="D111" s="23" t="s">
        <v>288</v>
      </c>
      <c r="E111" s="73">
        <f>('DOE25'!L279)+('DOE25'!L298)+('DOE25'!L317)</f>
        <v>135684.48000000001</v>
      </c>
      <c r="F111" s="23" t="s">
        <v>288</v>
      </c>
      <c r="G111" s="23" t="s">
        <v>288</v>
      </c>
      <c r="H111" s="90">
        <f t="shared" si="6"/>
        <v>1119640.5900000001</v>
      </c>
    </row>
    <row r="112" spans="1:8" x14ac:dyDescent="0.2">
      <c r="A112" t="s">
        <v>201</v>
      </c>
      <c r="B112" s="31" t="s">
        <v>167</v>
      </c>
      <c r="C112" s="73">
        <f>('DOE25'!L201)+('DOE25'!L219)+('DOE25'!L237)</f>
        <v>194867.79000000004</v>
      </c>
      <c r="D112" s="23" t="s">
        <v>288</v>
      </c>
      <c r="E112" s="73">
        <f>+('DOE25'!L280)+('DOE25'!L299)+('DOE25'!L318)</f>
        <v>77899.73</v>
      </c>
      <c r="F112" s="23" t="s">
        <v>288</v>
      </c>
      <c r="G112" s="23" t="s">
        <v>288</v>
      </c>
      <c r="H112" s="90">
        <f t="shared" si="6"/>
        <v>272767.52</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130633.36</v>
      </c>
      <c r="D114" s="23" t="s">
        <v>288</v>
      </c>
      <c r="E114" s="73">
        <f>+ SUM('DOE25'!L334:L336)</f>
        <v>132807.18</v>
      </c>
      <c r="F114" s="23" t="s">
        <v>288</v>
      </c>
      <c r="G114" s="23" t="s">
        <v>288</v>
      </c>
      <c r="H114" s="90">
        <f t="shared" si="6"/>
        <v>263440.53999999998</v>
      </c>
    </row>
    <row r="115" spans="1:8" ht="12.75" thickTop="1" thickBot="1" x14ac:dyDescent="0.25">
      <c r="A115" s="32" t="s">
        <v>205</v>
      </c>
      <c r="C115" s="68">
        <f>SUM(C109:C114)</f>
        <v>8633939.3200000003</v>
      </c>
      <c r="D115" s="68">
        <f>SUM(D109:D114)</f>
        <v>0</v>
      </c>
      <c r="E115" s="68">
        <f>SUM(E109:E114)</f>
        <v>1320390</v>
      </c>
      <c r="F115" s="68">
        <f>SUM(F109:F114)</f>
        <v>0</v>
      </c>
      <c r="G115" s="68">
        <f>SUM(G109:G114)</f>
        <v>0</v>
      </c>
      <c r="H115" s="68">
        <f t="shared" si="6"/>
        <v>9954329.3200000003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1505096.9500000002</v>
      </c>
      <c r="D118" s="23" t="s">
        <v>288</v>
      </c>
      <c r="E118" s="73">
        <f>+('DOE25'!L282)+('DOE25'!L301)+('DOE25'!L320)</f>
        <v>50148.24</v>
      </c>
      <c r="F118" s="23" t="s">
        <v>288</v>
      </c>
      <c r="G118" s="23" t="s">
        <v>288</v>
      </c>
      <c r="H118" s="90">
        <f t="shared" ref="H118:H145" si="7">SUM(C118:G118)</f>
        <v>1555245.1900000002</v>
      </c>
    </row>
    <row r="119" spans="1:8" x14ac:dyDescent="0.2">
      <c r="A119" t="s">
        <v>208</v>
      </c>
      <c r="B119" s="31" t="s">
        <v>209</v>
      </c>
      <c r="C119" s="73">
        <f>('DOE25'!L204)+('DOE25'!L222)+('DOE25'!L240)</f>
        <v>379237.79000000004</v>
      </c>
      <c r="D119" s="23" t="s">
        <v>288</v>
      </c>
      <c r="E119" s="73">
        <f>+('DOE25'!L283)+('DOE25'!L302)+('DOE25'!L321)</f>
        <v>909171.68</v>
      </c>
      <c r="F119" s="23" t="s">
        <v>288</v>
      </c>
      <c r="G119" s="23" t="s">
        <v>288</v>
      </c>
      <c r="H119" s="90">
        <f t="shared" si="7"/>
        <v>1288409.4700000002</v>
      </c>
    </row>
    <row r="120" spans="1:8" x14ac:dyDescent="0.2">
      <c r="A120" t="s">
        <v>210</v>
      </c>
      <c r="B120" s="31" t="s">
        <v>211</v>
      </c>
      <c r="C120" s="73">
        <f>('DOE25'!L205)+('DOE25'!L223)+('DOE25'!L241)</f>
        <v>611672.23</v>
      </c>
      <c r="D120" s="23" t="s">
        <v>288</v>
      </c>
      <c r="E120" s="73">
        <f>+('DOE25'!L284)+('DOE25'!L303)+('DOE25'!L322)</f>
        <v>40008.980000000003</v>
      </c>
      <c r="F120" s="23" t="s">
        <v>288</v>
      </c>
      <c r="G120" s="23" t="s">
        <v>288</v>
      </c>
      <c r="H120" s="90">
        <f t="shared" si="7"/>
        <v>651681.21</v>
      </c>
    </row>
    <row r="121" spans="1:8" x14ac:dyDescent="0.2">
      <c r="A121" t="s">
        <v>212</v>
      </c>
      <c r="B121" s="31" t="s">
        <v>213</v>
      </c>
      <c r="C121" s="73">
        <f>('DOE25'!L206)+('DOE25'!L224)+('DOE25'!L242)</f>
        <v>1067791.1000000001</v>
      </c>
      <c r="D121" s="23" t="s">
        <v>288</v>
      </c>
      <c r="E121" s="73">
        <f>+('DOE25'!L285)+('DOE25'!L304)+('DOE25'!L323)</f>
        <v>0</v>
      </c>
      <c r="F121" s="23" t="s">
        <v>288</v>
      </c>
      <c r="G121" s="23" t="s">
        <v>288</v>
      </c>
      <c r="H121" s="90">
        <f t="shared" si="7"/>
        <v>1067791.1000000001</v>
      </c>
    </row>
    <row r="122" spans="1:8" x14ac:dyDescent="0.2">
      <c r="A122" t="s">
        <v>214</v>
      </c>
      <c r="B122" s="31" t="s">
        <v>215</v>
      </c>
      <c r="C122" s="73">
        <f>('DOE25'!L207)+('DOE25'!L225)+('DOE25'!L243)</f>
        <v>759302.87</v>
      </c>
      <c r="D122" s="23" t="s">
        <v>288</v>
      </c>
      <c r="E122" s="73">
        <f>+('DOE25'!L286)+('DOE25'!L305)+('DOE25'!L324)</f>
        <v>21324.61</v>
      </c>
      <c r="F122" s="23" t="s">
        <v>288</v>
      </c>
      <c r="G122" s="23" t="s">
        <v>288</v>
      </c>
      <c r="H122" s="90">
        <f t="shared" si="7"/>
        <v>780627.48</v>
      </c>
    </row>
    <row r="123" spans="1:8" x14ac:dyDescent="0.2">
      <c r="A123" t="s">
        <v>216</v>
      </c>
      <c r="B123" s="31" t="s">
        <v>217</v>
      </c>
      <c r="C123" s="73">
        <f>('DOE25'!L208)+('DOE25'!L226)+('DOE25'!L244)</f>
        <v>1931781.2199999997</v>
      </c>
      <c r="D123" s="23" t="s">
        <v>288</v>
      </c>
      <c r="E123" s="73">
        <f>+('DOE25'!L287)+('DOE25'!L306)+('DOE25'!L325)</f>
        <v>139694.39999999999</v>
      </c>
      <c r="F123" s="23" t="s">
        <v>288</v>
      </c>
      <c r="G123" s="23" t="s">
        <v>288</v>
      </c>
      <c r="H123" s="90">
        <f t="shared" si="7"/>
        <v>2071475.6199999996</v>
      </c>
    </row>
    <row r="124" spans="1:8" x14ac:dyDescent="0.2">
      <c r="A124" t="s">
        <v>218</v>
      </c>
      <c r="B124" s="31" t="s">
        <v>219</v>
      </c>
      <c r="C124" s="73">
        <f>('DOE25'!L209)+('DOE25'!L227)+('DOE25'!L245+'DOE25'!L255)</f>
        <v>391375.63</v>
      </c>
      <c r="D124" s="23" t="s">
        <v>288</v>
      </c>
      <c r="E124" s="73">
        <f>+('DOE25'!L288)+('DOE25'!L307)+('DOE25'!L326)</f>
        <v>29545.05</v>
      </c>
      <c r="F124" s="23" t="s">
        <v>288</v>
      </c>
      <c r="G124" s="23" t="s">
        <v>288</v>
      </c>
      <c r="H124" s="90">
        <f t="shared" si="7"/>
        <v>420920.68</v>
      </c>
    </row>
    <row r="125" spans="1:8" x14ac:dyDescent="0.2">
      <c r="A125" t="s">
        <v>220</v>
      </c>
      <c r="B125" s="31" t="s">
        <v>221</v>
      </c>
      <c r="C125" s="73">
        <f>('DOE25'!L210)+('DOE25'!L228)+('DOE25'!L246)</f>
        <v>0</v>
      </c>
      <c r="D125" s="23" t="s">
        <v>288</v>
      </c>
      <c r="E125" s="73">
        <f>+('DOE25'!L289)+('DOE25'!L308)+('DOE25'!L327)</f>
        <v>141453.20000000001</v>
      </c>
      <c r="F125" s="23" t="s">
        <v>288</v>
      </c>
      <c r="G125" s="23" t="s">
        <v>288</v>
      </c>
      <c r="H125" s="90">
        <f t="shared" si="7"/>
        <v>141453.20000000001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352183.44</v>
      </c>
      <c r="E127" s="23" t="s">
        <v>288</v>
      </c>
      <c r="F127" s="23" t="s">
        <v>288</v>
      </c>
      <c r="G127" s="23" t="s">
        <v>288</v>
      </c>
      <c r="H127" s="90">
        <f t="shared" si="7"/>
        <v>352183.44</v>
      </c>
    </row>
    <row r="128" spans="1:8" ht="12.75" thickTop="1" thickBot="1" x14ac:dyDescent="0.25">
      <c r="A128" s="32" t="s">
        <v>226</v>
      </c>
      <c r="C128" s="68">
        <f>SUM(C118:C127)</f>
        <v>6646257.79</v>
      </c>
      <c r="D128" s="68">
        <f>SUM(D118:D127)</f>
        <v>352183.44</v>
      </c>
      <c r="E128" s="68">
        <f>SUM(E118:E127)</f>
        <v>1331346.1599999999</v>
      </c>
      <c r="F128" s="68">
        <f>SUM(F118:F127)</f>
        <v>0</v>
      </c>
      <c r="G128" s="68">
        <f>SUM(G118:G127)</f>
        <v>0</v>
      </c>
      <c r="H128" s="68">
        <f t="shared" si="7"/>
        <v>8329787.3900000006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213181</v>
      </c>
      <c r="D130" s="23" t="s">
        <v>288</v>
      </c>
      <c r="E130" s="92">
        <f>'DOE25'!L337</f>
        <v>30187.5</v>
      </c>
      <c r="F130" s="92">
        <f>SUM('DOE25'!L375:'DOE25'!L381)</f>
        <v>0</v>
      </c>
      <c r="G130" s="23" t="s">
        <v>288</v>
      </c>
      <c r="H130" s="90">
        <f t="shared" si="7"/>
        <v>243368.5</v>
      </c>
    </row>
    <row r="131" spans="1:8" x14ac:dyDescent="0.2">
      <c r="A131" t="s">
        <v>229</v>
      </c>
      <c r="B131" s="31">
        <v>5110</v>
      </c>
      <c r="C131" s="73">
        <f>'DOE25'!L261</f>
        <v>560000</v>
      </c>
      <c r="D131" s="23" t="s">
        <v>288</v>
      </c>
      <c r="E131" s="92">
        <f>'DOE25'!L342</f>
        <v>0</v>
      </c>
      <c r="F131" s="23" t="s">
        <v>288</v>
      </c>
      <c r="G131" s="23" t="s">
        <v>288</v>
      </c>
      <c r="H131" s="90">
        <f t="shared" si="7"/>
        <v>560000</v>
      </c>
    </row>
    <row r="132" spans="1:8" x14ac:dyDescent="0.2">
      <c r="A132" t="s">
        <v>230</v>
      </c>
      <c r="B132" s="31">
        <v>5120</v>
      </c>
      <c r="C132" s="73">
        <f>'DOE25'!L262</f>
        <v>63063</v>
      </c>
      <c r="D132" s="23" t="s">
        <v>288</v>
      </c>
      <c r="E132" s="92">
        <f>'DOE25'!L343</f>
        <v>0</v>
      </c>
      <c r="F132" s="23" t="s">
        <v>288</v>
      </c>
      <c r="G132" s="23" t="s">
        <v>288</v>
      </c>
      <c r="H132" s="90">
        <f t="shared" si="7"/>
        <v>63063</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98935</v>
      </c>
      <c r="H134" s="90">
        <f t="shared" si="7"/>
        <v>98935</v>
      </c>
    </row>
    <row r="135" spans="1:8" x14ac:dyDescent="0.2">
      <c r="A135" t="s">
        <v>233</v>
      </c>
      <c r="B135" s="31" t="s">
        <v>234</v>
      </c>
      <c r="C135" s="73">
        <f>'DOE25'!L264</f>
        <v>1783.09</v>
      </c>
      <c r="D135" s="23" t="s">
        <v>288</v>
      </c>
      <c r="E135" s="92">
        <f>'DOE25'!L346</f>
        <v>0</v>
      </c>
      <c r="F135" s="23" t="s">
        <v>288</v>
      </c>
      <c r="G135" s="23" t="s">
        <v>288</v>
      </c>
      <c r="H135" s="90">
        <f t="shared" si="7"/>
        <v>1783.09</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91198.15</v>
      </c>
      <c r="D138" s="23" t="s">
        <v>288</v>
      </c>
      <c r="E138" s="23" t="s">
        <v>288</v>
      </c>
      <c r="F138" s="23" t="s">
        <v>288</v>
      </c>
      <c r="G138" s="23" t="s">
        <v>288</v>
      </c>
      <c r="H138" s="90">
        <f t="shared" si="7"/>
        <v>91198.15</v>
      </c>
    </row>
    <row r="139" spans="1:8" x14ac:dyDescent="0.2">
      <c r="A139" t="s">
        <v>239</v>
      </c>
      <c r="B139" s="31">
        <v>5252</v>
      </c>
      <c r="C139" s="73">
        <f>'DOE25'!L402</f>
        <v>0</v>
      </c>
      <c r="D139" s="23" t="s">
        <v>288</v>
      </c>
      <c r="E139" s="23" t="s">
        <v>288</v>
      </c>
      <c r="F139" s="23" t="s">
        <v>288</v>
      </c>
      <c r="G139" s="23" t="s">
        <v>288</v>
      </c>
      <c r="H139" s="90">
        <f t="shared" si="7"/>
        <v>0</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-29394.089999999997</v>
      </c>
      <c r="D141" s="23" t="s">
        <v>288</v>
      </c>
      <c r="E141" s="23" t="s">
        <v>288</v>
      </c>
      <c r="F141" s="23" t="s">
        <v>288</v>
      </c>
      <c r="G141" s="23" t="s">
        <v>288</v>
      </c>
      <c r="H141" s="90">
        <f t="shared" si="7"/>
        <v>-29394.089999999997</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899831.15</v>
      </c>
      <c r="D144" s="98">
        <f>SUM(D130:D143)</f>
        <v>0</v>
      </c>
      <c r="E144" s="98">
        <f>SUM(E130:E143)</f>
        <v>30187.5</v>
      </c>
      <c r="F144" s="98">
        <f>SUM(F130:F143)</f>
        <v>0</v>
      </c>
      <c r="G144" s="98">
        <f>SUM(G130:G143)</f>
        <v>98935</v>
      </c>
      <c r="H144" s="98">
        <f t="shared" si="7"/>
        <v>1028953.65</v>
      </c>
    </row>
    <row r="145" spans="1:9" ht="12.75" thickTop="1" thickBot="1" x14ac:dyDescent="0.25">
      <c r="A145" s="32" t="s">
        <v>244</v>
      </c>
      <c r="C145" s="68">
        <f>(C115+C128+C144)</f>
        <v>16180028.26</v>
      </c>
      <c r="D145" s="68">
        <f>(D115+D128+D144)</f>
        <v>352183.44</v>
      </c>
      <c r="E145" s="68">
        <f>(E115+E128+E144)</f>
        <v>2681923.66</v>
      </c>
      <c r="F145" s="68">
        <f>(F115+F128+F144)</f>
        <v>0</v>
      </c>
      <c r="G145" s="68">
        <f>(G115+G128+G144)</f>
        <v>98935</v>
      </c>
      <c r="H145" s="68">
        <f t="shared" si="7"/>
        <v>19313070.359999999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pY9Ko+89n6vxnYC7GTovM6ZxeRnOgX3TkuMWnbYnXtzP3z5ZTV+tlICXFCC2exdGCfQiiHtzfKRBYloHqkgWjA==" saltValue="Pfh0/U6NfMusUQy04FJ2nQ==" spinCount="100000" sheet="1" objects="1" scenarios="1"/>
  <phoneticPr fontId="0" type="noConversion"/>
  <printOptions gridLines="1" gridLinesSet="0"/>
  <pageMargins left="0.5" right="0.5" top="1" bottom="1" header="0.5" footer="0.5"/>
  <pageSetup scale="88"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B17" sqref="B1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Littleton</v>
      </c>
    </row>
    <row r="3" spans="1:4" x14ac:dyDescent="0.2">
      <c r="B3" s="137" t="s">
        <v>1799</v>
      </c>
    </row>
    <row r="4" spans="1:4" x14ac:dyDescent="0.2">
      <c r="B4" t="s">
        <v>61</v>
      </c>
      <c r="C4" s="129">
        <f>IF('DOE25'!F666+'DOE25'!F671=0,0,ROUND('DOE25'!F673,0))</f>
        <v>25722</v>
      </c>
    </row>
    <row r="5" spans="1:4" x14ac:dyDescent="0.2">
      <c r="B5" t="s">
        <v>700</v>
      </c>
      <c r="C5" s="129">
        <f>IF('DOE25'!G666+'DOE25'!G671=0,0,ROUND('DOE25'!G673,0))</f>
        <v>24149</v>
      </c>
    </row>
    <row r="6" spans="1:4" x14ac:dyDescent="0.2">
      <c r="B6" t="s">
        <v>62</v>
      </c>
      <c r="C6" s="129">
        <f>IF('DOE25'!H666+'DOE25'!H671=0,0,ROUND('DOE25'!H673,0))</f>
        <v>27399</v>
      </c>
    </row>
    <row r="7" spans="1:4" x14ac:dyDescent="0.2">
      <c r="B7" t="s">
        <v>701</v>
      </c>
      <c r="C7" s="129">
        <f>IF('DOE25'!I666+'DOE25'!I671=0,0,ROUND('DOE25'!I673,0))</f>
        <v>26009</v>
      </c>
    </row>
    <row r="9" spans="1:4" x14ac:dyDescent="0.2">
      <c r="A9" s="136" t="s">
        <v>94</v>
      </c>
      <c r="B9" s="137" t="s">
        <v>1800</v>
      </c>
      <c r="C9" s="131" t="s">
        <v>720</v>
      </c>
      <c r="D9" s="131" t="s">
        <v>721</v>
      </c>
    </row>
    <row r="10" spans="1:4" x14ac:dyDescent="0.2">
      <c r="A10">
        <v>1100</v>
      </c>
      <c r="B10" t="s">
        <v>702</v>
      </c>
      <c r="C10" s="129">
        <f>ROUND('DOE25'!L198+'DOE25'!L216+'DOE25'!L234+'DOE25'!L277+'DOE25'!L296+'DOE25'!L315,0)</f>
        <v>5407843</v>
      </c>
      <c r="D10" s="132">
        <f>ROUND((C10/$C$28)*100,1)</f>
        <v>29.7</v>
      </c>
    </row>
    <row r="11" spans="1:4" x14ac:dyDescent="0.2">
      <c r="A11">
        <v>1200</v>
      </c>
      <c r="B11" t="s">
        <v>703</v>
      </c>
      <c r="C11" s="129">
        <f>ROUND('DOE25'!L199+'DOE25'!L217+'DOE25'!L235+'DOE25'!L278+'DOE25'!L297+'DOE25'!L316,0)</f>
        <v>2890638</v>
      </c>
      <c r="D11" s="132">
        <f>ROUND((C11/$C$28)*100,1)</f>
        <v>15.9</v>
      </c>
    </row>
    <row r="12" spans="1:4" x14ac:dyDescent="0.2">
      <c r="A12">
        <v>1300</v>
      </c>
      <c r="B12" t="s">
        <v>704</v>
      </c>
      <c r="C12" s="129">
        <f>ROUND('DOE25'!L200+'DOE25'!L218+'DOE25'!L236+'DOE25'!L279+'DOE25'!L298+'DOE25'!L317,0)</f>
        <v>1119641</v>
      </c>
      <c r="D12" s="132">
        <f>ROUND((C12/$C$28)*100,1)</f>
        <v>6.1</v>
      </c>
    </row>
    <row r="13" spans="1:4" x14ac:dyDescent="0.2">
      <c r="A13">
        <v>1400</v>
      </c>
      <c r="B13" t="s">
        <v>705</v>
      </c>
      <c r="C13" s="129">
        <f>ROUND('DOE25'!L201+'DOE25'!L219+'DOE25'!L237+'DOE25'!L280+'DOE25'!L299+'DOE25'!L318,0)</f>
        <v>272768</v>
      </c>
      <c r="D13" s="132">
        <f>ROUND((C13/$C$28)*100,1)</f>
        <v>1.5</v>
      </c>
    </row>
    <row r="14" spans="1:4" x14ac:dyDescent="0.2">
      <c r="D14" s="132"/>
    </row>
    <row r="15" spans="1:4" x14ac:dyDescent="0.2">
      <c r="A15">
        <v>2100</v>
      </c>
      <c r="B15" t="s">
        <v>706</v>
      </c>
      <c r="C15" s="129">
        <f>ROUND('DOE25'!L203+'DOE25'!L221+'DOE25'!L239+'DOE25'!L282+'DOE25'!L301+'DOE25'!L320,0)</f>
        <v>1555245</v>
      </c>
      <c r="D15" s="132">
        <f t="shared" ref="D15:D27" si="0">ROUND((C15/$C$28)*100,1)</f>
        <v>8.5</v>
      </c>
    </row>
    <row r="16" spans="1:4" x14ac:dyDescent="0.2">
      <c r="A16">
        <v>2200</v>
      </c>
      <c r="B16" t="s">
        <v>707</v>
      </c>
      <c r="C16" s="129">
        <f>ROUND('DOE25'!L204+'DOE25'!L222+'DOE25'!L240+'DOE25'!L283+'DOE25'!L302+'DOE25'!L321,0)</f>
        <v>1288409</v>
      </c>
      <c r="D16" s="132">
        <f t="shared" si="0"/>
        <v>7.1</v>
      </c>
    </row>
    <row r="17" spans="1:4" x14ac:dyDescent="0.2">
      <c r="A17" s="133" t="s">
        <v>723</v>
      </c>
      <c r="B17" t="s">
        <v>738</v>
      </c>
      <c r="C17" s="129">
        <f>ROUND('DOE25'!L205+'DOE25'!L210+'DOE25'!L223+'DOE25'!L228+'DOE25'!L241+'DOE25'!L246+'DOE25'!L284+'DOE25'!L289+'DOE25'!L303+'DOE25'!L308+'DOE25'!L322+'DOE25'!L327,0)</f>
        <v>793134</v>
      </c>
      <c r="D17" s="132">
        <f t="shared" si="0"/>
        <v>4.4000000000000004</v>
      </c>
    </row>
    <row r="18" spans="1:4" x14ac:dyDescent="0.2">
      <c r="A18">
        <v>2400</v>
      </c>
      <c r="B18" t="s">
        <v>711</v>
      </c>
      <c r="C18" s="129">
        <f>ROUND('DOE25'!L206+'DOE25'!L224+'DOE25'!L242+'DOE25'!L285+'DOE25'!L304+'DOE25'!L323,0)</f>
        <v>1067791</v>
      </c>
      <c r="D18" s="132">
        <f t="shared" si="0"/>
        <v>5.9</v>
      </c>
    </row>
    <row r="19" spans="1:4" x14ac:dyDescent="0.2">
      <c r="A19">
        <v>2500</v>
      </c>
      <c r="B19" t="s">
        <v>708</v>
      </c>
      <c r="C19" s="129">
        <f>ROUND('DOE25'!L207+'DOE25'!L225+'DOE25'!L243+'DOE25'!L286+'DOE25'!L305+'DOE25'!L324,0)</f>
        <v>780627</v>
      </c>
      <c r="D19" s="132">
        <f t="shared" si="0"/>
        <v>4.3</v>
      </c>
    </row>
    <row r="20" spans="1:4" x14ac:dyDescent="0.2">
      <c r="A20">
        <v>2600</v>
      </c>
      <c r="B20" t="s">
        <v>709</v>
      </c>
      <c r="C20" s="129">
        <f>ROUND('DOE25'!L208+'DOE25'!L226+'DOE25'!L244+'DOE25'!L287+'DOE25'!L306+'DOE25'!L325,0)</f>
        <v>2071476</v>
      </c>
      <c r="D20" s="132">
        <f t="shared" si="0"/>
        <v>11.4</v>
      </c>
    </row>
    <row r="21" spans="1:4" x14ac:dyDescent="0.2">
      <c r="A21">
        <v>2700</v>
      </c>
      <c r="B21" t="s">
        <v>710</v>
      </c>
      <c r="C21" s="129">
        <f>ROUND('DOE25'!L209+'DOE25'!L227+'DOE25'!L245+'DOE25'!L288+'DOE25'!L307+'DOE25'!L326,0)</f>
        <v>420921</v>
      </c>
      <c r="D21" s="132">
        <f t="shared" si="0"/>
        <v>2.2999999999999998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263441</v>
      </c>
      <c r="D24" s="132">
        <f t="shared" si="0"/>
        <v>1.4</v>
      </c>
    </row>
    <row r="25" spans="1:4" x14ac:dyDescent="0.2">
      <c r="A25">
        <v>5120</v>
      </c>
      <c r="B25" t="s">
        <v>716</v>
      </c>
      <c r="C25" s="129">
        <f>ROUND('DOE25'!L262+'DOE25'!L343,0)</f>
        <v>63063</v>
      </c>
      <c r="D25" s="132">
        <f t="shared" si="0"/>
        <v>0.3</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226831.72</v>
      </c>
      <c r="D27" s="132">
        <f t="shared" si="0"/>
        <v>1.2</v>
      </c>
    </row>
    <row r="28" spans="1:4" x14ac:dyDescent="0.2">
      <c r="B28" s="136" t="s">
        <v>719</v>
      </c>
      <c r="C28" s="130">
        <f>SUM(C10:C27)</f>
        <v>18221828.719999999</v>
      </c>
      <c r="D28" s="134">
        <f>ROUND(SUM(D10:D27),0)</f>
        <v>100</v>
      </c>
    </row>
    <row r="29" spans="1:4" x14ac:dyDescent="0.2">
      <c r="A29">
        <v>4000</v>
      </c>
      <c r="B29" t="s">
        <v>724</v>
      </c>
      <c r="C29" s="129">
        <f>ROUND('DOE25'!L256+'DOE25'!L337+'DOE25'!L375+'DOE25'!L376+'DOE25'!L377+'DOE25'!L378+'DOE25'!L379+'DOE25'!L380+'DOE25'!L381,0)</f>
        <v>243369</v>
      </c>
    </row>
    <row r="30" spans="1:4" x14ac:dyDescent="0.2">
      <c r="B30" s="136" t="s">
        <v>725</v>
      </c>
      <c r="C30" s="130">
        <f>SUM(C28:C29)</f>
        <v>18465197.719999999</v>
      </c>
    </row>
    <row r="31" spans="1:4" x14ac:dyDescent="0.2">
      <c r="B31" s="32"/>
      <c r="C31" s="130"/>
    </row>
    <row r="32" spans="1:4" x14ac:dyDescent="0.2">
      <c r="A32">
        <v>5100</v>
      </c>
      <c r="B32" s="32" t="s">
        <v>726</v>
      </c>
      <c r="C32" s="130">
        <f>ROUND('DOE25'!L261+'DOE25'!L342,0)</f>
        <v>560000</v>
      </c>
    </row>
    <row r="34" spans="1:4" x14ac:dyDescent="0.2">
      <c r="A34" s="136" t="s">
        <v>94</v>
      </c>
      <c r="B34" s="137" t="s">
        <v>1801</v>
      </c>
      <c r="C34" s="131" t="s">
        <v>720</v>
      </c>
      <c r="D34" s="131" t="s">
        <v>721</v>
      </c>
    </row>
    <row r="35" spans="1:4" x14ac:dyDescent="0.2">
      <c r="A35">
        <v>1100</v>
      </c>
      <c r="B35" s="71" t="s">
        <v>727</v>
      </c>
      <c r="C35" s="129">
        <f>ROUND('DOE25'!F60+'DOE25'!G60+'DOE25'!H60+'DOE25'!I60+'DOE25'!J60,0)</f>
        <v>9581528</v>
      </c>
      <c r="D35" s="132">
        <f t="shared" ref="D35:D40" si="1">ROUND((C35/$C$41)*100,1)</f>
        <v>50.4</v>
      </c>
    </row>
    <row r="36" spans="1:4" x14ac:dyDescent="0.2">
      <c r="B36" s="71" t="s">
        <v>739</v>
      </c>
      <c r="C36" s="129">
        <f>SUM('DOE25'!F112:J112)-SUM('DOE25'!G97:G110)+('DOE25'!F175+'DOE25'!F176+'DOE25'!I175+'DOE25'!I176)-C35</f>
        <v>551363.72000000067</v>
      </c>
      <c r="D36" s="132">
        <f t="shared" si="1"/>
        <v>2.9</v>
      </c>
    </row>
    <row r="37" spans="1:4" x14ac:dyDescent="0.2">
      <c r="A37" s="133" t="s">
        <v>834</v>
      </c>
      <c r="B37" s="71" t="s">
        <v>728</v>
      </c>
      <c r="C37" s="129">
        <f>ROUND('DOE25'!F117+'DOE25'!F118,0)</f>
        <v>5383200</v>
      </c>
      <c r="D37" s="132">
        <f t="shared" si="1"/>
        <v>28.3</v>
      </c>
    </row>
    <row r="38" spans="1:4" x14ac:dyDescent="0.2">
      <c r="A38" s="133" t="s">
        <v>734</v>
      </c>
      <c r="B38" s="71" t="s">
        <v>729</v>
      </c>
      <c r="C38" s="129">
        <f>ROUND(SUM('DOE25'!F140:J140)-SUM('DOE25'!F117:F119),0)</f>
        <v>649329</v>
      </c>
      <c r="D38" s="132">
        <f t="shared" si="1"/>
        <v>3.4</v>
      </c>
    </row>
    <row r="39" spans="1:4" x14ac:dyDescent="0.2">
      <c r="A39">
        <v>4000</v>
      </c>
      <c r="B39" s="71" t="s">
        <v>730</v>
      </c>
      <c r="C39" s="129">
        <f>ROUND('DOE25'!F170+'DOE25'!G170+'DOE25'!H170+'DOE25'!I170,0)</f>
        <v>2857276</v>
      </c>
      <c r="D39" s="132">
        <f t="shared" si="1"/>
        <v>15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19022696.719999999</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Littleton</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190</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11</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47</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f>IF('School Level Expenditures'!$B$2='School Tables'!L14,'School Tables'!S14,"")</f>
        <v>11</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38.25"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f>IF('School Level Expenditures'!$B$2='School Tables'!W50,'School Tables'!AD50,"")</f>
        <v>47</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51"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f>IF('School Level Expenditures'!$B$2=A193,'School Tables'!H193,"")</f>
        <v>190</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2023-08-18T16:26:36Z</cp:lastPrinted>
  <dcterms:created xsi:type="dcterms:W3CDTF">1997-12-04T19:04:30Z</dcterms:created>
  <dcterms:modified xsi:type="dcterms:W3CDTF">2023-12-28T19:01:31Z</dcterms:modified>
</cp:coreProperties>
</file>