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8F6CD041-45C8-48CD-841C-75E34DC075C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F46" i="1"/>
  <c r="G503" i="1"/>
  <c r="F613" i="1" l="1"/>
  <c r="F612" i="1"/>
  <c r="I612" i="1"/>
  <c r="D9" i="14" l="1"/>
  <c r="D8" i="14"/>
  <c r="D7" i="14"/>
  <c r="D6" i="14"/>
  <c r="D37" i="14"/>
  <c r="B38" i="12"/>
  <c r="B39" i="12"/>
  <c r="B19" i="12"/>
  <c r="B21" i="12"/>
  <c r="B20" i="12"/>
  <c r="B10" i="12"/>
  <c r="G97" i="1" l="1"/>
  <c r="E13" i="17" l="1"/>
  <c r="E9" i="17"/>
  <c r="G534" i="1" l="1"/>
  <c r="G533" i="1"/>
  <c r="G532" i="1"/>
  <c r="G529" i="1"/>
  <c r="G528" i="1"/>
  <c r="G527" i="1"/>
  <c r="G524" i="1"/>
  <c r="G523" i="1"/>
  <c r="G522" i="1"/>
  <c r="G569" i="1"/>
  <c r="G568" i="1"/>
  <c r="G565" i="1"/>
  <c r="G564" i="1"/>
  <c r="G563" i="1"/>
  <c r="H528" i="1"/>
  <c r="H543" i="1"/>
  <c r="F528" i="1"/>
  <c r="H544" i="1"/>
  <c r="I527" i="1"/>
  <c r="F529" i="1"/>
  <c r="F527" i="1"/>
  <c r="I524" i="1"/>
  <c r="I523" i="1"/>
  <c r="I522" i="1"/>
  <c r="H524" i="1"/>
  <c r="H523" i="1"/>
  <c r="H522" i="1"/>
  <c r="F523" i="1"/>
  <c r="F524" i="1"/>
  <c r="F522" i="1"/>
  <c r="J522" i="1"/>
  <c r="J596" i="1"/>
  <c r="J595" i="1"/>
  <c r="F568" i="1" l="1"/>
  <c r="F569" i="1"/>
  <c r="J605" i="1" l="1"/>
  <c r="I605" i="1"/>
  <c r="H605" i="1"/>
  <c r="H583" i="1"/>
  <c r="J246" i="1"/>
  <c r="K262" i="1"/>
  <c r="I252" i="1" l="1"/>
  <c r="H235" i="1"/>
  <c r="H217" i="1"/>
  <c r="H199" i="1"/>
  <c r="H245" i="1"/>
  <c r="I244" i="1"/>
  <c r="H244" i="1"/>
  <c r="H243" i="1"/>
  <c r="H242" i="1"/>
  <c r="I240" i="1"/>
  <c r="H240" i="1"/>
  <c r="I239" i="1"/>
  <c r="H239" i="1"/>
  <c r="J237" i="1"/>
  <c r="I237" i="1"/>
  <c r="I235" i="1"/>
  <c r="I234" i="1"/>
  <c r="H234" i="1"/>
  <c r="H227" i="1"/>
  <c r="I226" i="1"/>
  <c r="H226" i="1"/>
  <c r="H224" i="1"/>
  <c r="I222" i="1"/>
  <c r="I221" i="1"/>
  <c r="J219" i="1"/>
  <c r="I219" i="1"/>
  <c r="I217" i="1"/>
  <c r="I216" i="1"/>
  <c r="H216" i="1"/>
  <c r="J208" i="1"/>
  <c r="I208" i="1"/>
  <c r="H208" i="1"/>
  <c r="H206" i="1"/>
  <c r="H205" i="1"/>
  <c r="I204" i="1"/>
  <c r="H204" i="1"/>
  <c r="I203" i="1"/>
  <c r="H203" i="1"/>
  <c r="I201" i="1"/>
  <c r="K199" i="1"/>
  <c r="I199" i="1"/>
  <c r="J198" i="1"/>
  <c r="I198" i="1"/>
  <c r="H237" i="1" l="1"/>
  <c r="H198" i="1"/>
  <c r="I206" i="1"/>
  <c r="K204" i="1"/>
  <c r="F203" i="1" l="1"/>
  <c r="G240" i="1" l="1"/>
  <c r="G222" i="1"/>
  <c r="G204" i="1"/>
  <c r="G246" i="1"/>
  <c r="G210" i="1"/>
  <c r="G228" i="1"/>
  <c r="F66" i="1" l="1"/>
  <c r="F63" i="1"/>
  <c r="F44" i="1"/>
  <c r="F29" i="1"/>
  <c r="F17" i="1"/>
  <c r="F9" i="1"/>
  <c r="J359" i="1" l="1"/>
  <c r="J361" i="1"/>
  <c r="J360" i="1"/>
  <c r="G360" i="1"/>
  <c r="G361" i="1"/>
  <c r="G359" i="1"/>
  <c r="F361" i="1"/>
  <c r="F360" i="1"/>
  <c r="F359" i="1"/>
  <c r="G99" i="1"/>
  <c r="G158" i="1"/>
  <c r="G24" i="1" l="1"/>
  <c r="G9" i="1"/>
  <c r="I334" i="1"/>
  <c r="H296" i="1"/>
  <c r="I278" i="1"/>
  <c r="I277" i="1"/>
  <c r="H283" i="1"/>
  <c r="I321" i="1"/>
  <c r="I283" i="1"/>
  <c r="I302" i="1"/>
  <c r="H288" i="1"/>
  <c r="H307" i="1"/>
  <c r="H287" i="1"/>
  <c r="G321" i="1" l="1"/>
  <c r="G320" i="1"/>
  <c r="G301" i="1"/>
  <c r="G334" i="1"/>
  <c r="F320" i="1" l="1"/>
  <c r="F321" i="1"/>
  <c r="F334" i="1"/>
  <c r="F302" i="1"/>
  <c r="F280" i="1"/>
  <c r="F278" i="1"/>
  <c r="F277" i="1"/>
  <c r="F283" i="1"/>
  <c r="F301" i="1"/>
  <c r="H161" i="1" l="1"/>
  <c r="H43" i="1" l="1"/>
  <c r="H393" i="1"/>
  <c r="H390" i="1"/>
  <c r="F460" i="1"/>
  <c r="F440" i="1"/>
  <c r="G460" i="1"/>
  <c r="G440" i="1"/>
  <c r="K419" i="1"/>
  <c r="K416" i="1"/>
  <c r="G393" i="1"/>
  <c r="H137" i="2" l="1"/>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13" i="2"/>
  <c r="H97" i="2"/>
  <c r="H98" i="2"/>
  <c r="H99" i="2"/>
  <c r="H101" i="2"/>
  <c r="H102" i="2"/>
  <c r="H94" i="2"/>
  <c r="H93" i="2"/>
  <c r="H89" i="2"/>
  <c r="H90" i="2"/>
  <c r="H87" i="2"/>
  <c r="H85" i="2"/>
  <c r="H73" i="2"/>
  <c r="H74" i="2"/>
  <c r="H79" i="2"/>
  <c r="H80" i="2"/>
  <c r="H58" i="2"/>
  <c r="H40" i="2"/>
  <c r="H38" i="2"/>
  <c r="H36" i="2"/>
  <c r="H24" i="2"/>
  <c r="H25" i="2"/>
  <c r="H26" i="2"/>
  <c r="H30" i="2"/>
  <c r="H10"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H39" i="2" s="1"/>
  <c r="G656" i="1"/>
  <c r="F48" i="2"/>
  <c r="E48" i="2"/>
  <c r="D48" i="2"/>
  <c r="C48" i="2"/>
  <c r="H48" i="2" s="1"/>
  <c r="F47" i="2"/>
  <c r="E47" i="2"/>
  <c r="D47" i="2"/>
  <c r="C47" i="2"/>
  <c r="F44" i="2"/>
  <c r="E44" i="2"/>
  <c r="D44" i="2"/>
  <c r="C44" i="2"/>
  <c r="H44" i="2" s="1"/>
  <c r="F43" i="2"/>
  <c r="E43" i="2"/>
  <c r="D43" i="2"/>
  <c r="C43" i="2"/>
  <c r="H43" i="2" s="1"/>
  <c r="F42" i="2"/>
  <c r="E42" i="2"/>
  <c r="H42" i="2" s="1"/>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H8" i="2" s="1"/>
  <c r="C9" i="2"/>
  <c r="D9" i="2"/>
  <c r="E9" i="2"/>
  <c r="F9" i="2"/>
  <c r="I441" i="1"/>
  <c r="J10" i="1" s="1"/>
  <c r="G9" i="2" s="1"/>
  <c r="H9" i="2" s="1"/>
  <c r="C10" i="2"/>
  <c r="C11" i="2"/>
  <c r="D11" i="2"/>
  <c r="E11" i="2"/>
  <c r="F11" i="2"/>
  <c r="I442" i="1"/>
  <c r="J12" i="1" s="1"/>
  <c r="G11" i="2" s="1"/>
  <c r="C12" i="2"/>
  <c r="D12" i="2"/>
  <c r="E12" i="2"/>
  <c r="F12" i="2"/>
  <c r="I443" i="1"/>
  <c r="J13" i="1" s="1"/>
  <c r="G12" i="2" s="1"/>
  <c r="H12" i="2" s="1"/>
  <c r="C13" i="2"/>
  <c r="D13" i="2"/>
  <c r="E13" i="2"/>
  <c r="F13" i="2"/>
  <c r="I444" i="1"/>
  <c r="J14" i="1" s="1"/>
  <c r="G13" i="2" s="1"/>
  <c r="F14" i="2"/>
  <c r="C15" i="2"/>
  <c r="D15" i="2"/>
  <c r="H15" i="2" s="1"/>
  <c r="E15" i="2"/>
  <c r="F15" i="2"/>
  <c r="C16" i="2"/>
  <c r="H16" i="2" s="1"/>
  <c r="D16" i="2"/>
  <c r="E16" i="2"/>
  <c r="F16" i="2"/>
  <c r="I445" i="1"/>
  <c r="J17" i="1" s="1"/>
  <c r="C17" i="2"/>
  <c r="H17" i="2" s="1"/>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H29" i="2" s="1"/>
  <c r="D29" i="2"/>
  <c r="E29" i="2"/>
  <c r="F29" i="2"/>
  <c r="C30" i="2"/>
  <c r="D30" i="2"/>
  <c r="E30" i="2"/>
  <c r="F30" i="2"/>
  <c r="I452" i="1"/>
  <c r="J31" i="1" s="1"/>
  <c r="G30" i="2" s="1"/>
  <c r="C34" i="2"/>
  <c r="D34" i="2"/>
  <c r="H34" i="2" s="1"/>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H76" i="2" s="1"/>
  <c r="F76" i="2"/>
  <c r="C77" i="2"/>
  <c r="D77" i="2"/>
  <c r="D78" i="2" s="1"/>
  <c r="E77" i="2"/>
  <c r="H77" i="2" s="1"/>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E112" i="2"/>
  <c r="D115" i="2"/>
  <c r="F115" i="2"/>
  <c r="G115" i="2"/>
  <c r="C119" i="2"/>
  <c r="E120" i="2"/>
  <c r="E124"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I170" i="1"/>
  <c r="J652" i="1" l="1"/>
  <c r="H96" i="2"/>
  <c r="C125" i="2"/>
  <c r="H125" i="2" s="1"/>
  <c r="D15" i="13"/>
  <c r="C15" i="13" s="1"/>
  <c r="C110" i="2"/>
  <c r="C13" i="10"/>
  <c r="C12" i="10"/>
  <c r="E13" i="13"/>
  <c r="C13" i="13" s="1"/>
  <c r="D6" i="13"/>
  <c r="C6" i="13" s="1"/>
  <c r="H112" i="2"/>
  <c r="C121" i="2"/>
  <c r="C120" i="2"/>
  <c r="H120" i="2" s="1"/>
  <c r="H59" i="2"/>
  <c r="H13" i="2"/>
  <c r="G477" i="1"/>
  <c r="H624" i="1" s="1"/>
  <c r="J624" i="1" s="1"/>
  <c r="D29" i="13"/>
  <c r="C29" i="13" s="1"/>
  <c r="G662" i="1"/>
  <c r="H61" i="2"/>
  <c r="H27" i="2"/>
  <c r="H23" i="2"/>
  <c r="H11" i="2"/>
  <c r="A40" i="12"/>
  <c r="K2" i="14"/>
  <c r="K3" i="14" s="1"/>
  <c r="E121" i="2"/>
  <c r="N2" i="14"/>
  <c r="N3" i="14" s="1"/>
  <c r="M2" i="14"/>
  <c r="M3" i="14" s="1"/>
  <c r="L2" i="14"/>
  <c r="L3" i="14" s="1"/>
  <c r="I40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103" i="2"/>
  <c r="H110" i="2"/>
  <c r="H114" i="2"/>
  <c r="H123" i="2"/>
  <c r="H121" i="2"/>
  <c r="H91" i="2"/>
  <c r="F194" i="1"/>
  <c r="G628" i="1" s="1"/>
  <c r="J628" i="1" s="1"/>
  <c r="B33" i="16"/>
  <c r="I662" i="1"/>
  <c r="D128" i="2"/>
  <c r="D145" i="2" s="1"/>
  <c r="H127" i="2"/>
  <c r="D51" i="2"/>
  <c r="H18" i="2"/>
  <c r="G24" i="14"/>
  <c r="H24" i="14" s="1"/>
  <c r="I24" i="14" s="1"/>
  <c r="E128" i="2"/>
  <c r="H118" i="2"/>
  <c r="E81" i="2"/>
  <c r="H81" i="2" s="1"/>
  <c r="H78" i="2"/>
  <c r="H62" i="2"/>
  <c r="H50" i="2"/>
  <c r="G31" i="2"/>
  <c r="H31" i="2" s="1"/>
  <c r="H21" i="2"/>
  <c r="G144" i="2"/>
  <c r="G145" i="2" s="1"/>
  <c r="H134"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128" i="2"/>
  <c r="H51" i="2"/>
  <c r="M24" i="14"/>
  <c r="H104"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<sst xmlns="http://schemas.openxmlformats.org/spreadsheetml/2006/main" count="6567" uniqueCount="1821">
  <si>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</si>
  <si>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</si>
  <si>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</si>
  <si>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</si>
  <si>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</si>
  <si>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</si>
  <si>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</si>
  <si>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</si>
  <si>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</si>
  <si>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</si>
  <si>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</si>
  <si>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</si>
  <si>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</si>
  <si>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</si>
  <si>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</si>
  <si>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</si>
  <si>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</si>
  <si>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</si>
  <si>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</si>
  <si>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</si>
  <si>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</si>
  <si>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</si>
  <si>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</si>
  <si>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</si>
  <si>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</si>
  <si>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</si>
  <si>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</si>
  <si>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</si>
  <si>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</si>
  <si>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</si>
  <si>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</si>
  <si>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</si>
  <si>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</si>
  <si>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</si>
  <si>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</si>
  <si>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</si>
  <si>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</si>
  <si>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</si>
  <si>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</si>
  <si>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</si>
  <si>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</si>
  <si>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</si>
  <si>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</si>
  <si>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</si>
  <si>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</si>
  <si>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</si>
  <si>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</si>
  <si>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</si>
  <si>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</si>
  <si>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</si>
  <si>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</si>
  <si>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</si>
  <si>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</si>
  <si>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</si>
  <si>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</si>
  <si>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</si>
  <si>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</si>
  <si>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</si>
  <si>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</si>
  <si>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</si>
  <si>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</si>
  <si>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</si>
  <si>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</si>
  <si>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</si>
  <si>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</si>
  <si>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</si>
  <si>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</si>
  <si>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</si>
  <si>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</si>
  <si>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</si>
  <si>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</si>
  <si>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</si>
  <si>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</si>
  <si>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</si>
  <si>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</si>
  <si>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</si>
  <si>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</si>
  <si>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</si>
  <si>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</si>
  <si>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</si>
  <si>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</si>
  <si>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</si>
  <si>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</si>
  <si>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</si>
  <si>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</si>
  <si>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</si>
  <si>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</si>
  <si>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</si>
  <si>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</si>
  <si>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</si>
  <si>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</si>
  <si>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</si>
  <si>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</si>
  <si>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</si>
  <si>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</si>
  <si>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</si>
  <si>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</si>
  <si>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</si>
  <si>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</si>
  <si>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</si>
  <si>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</si>
  <si>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</si>
  <si>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</si>
  <si>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</si>
  <si>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</si>
  <si>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</si>
  <si>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</si>
  <si>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</si>
  <si>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</si>
  <si>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</si>
  <si>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</si>
  <si>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</si>
  <si>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</si>
  <si>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</si>
  <si>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</si>
  <si>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</si>
  <si>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</si>
  <si>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</si>
  <si>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</si>
  <si>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</si>
  <si>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</si>
  <si>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</si>
  <si>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</si>
  <si>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</si>
  <si>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</si>
  <si>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</si>
  <si>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</si>
  <si>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</si>
  <si>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</si>
  <si>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</si>
  <si>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</si>
  <si>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</si>
  <si>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</si>
  <si>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</si>
  <si>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</si>
  <si>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</si>
  <si>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</si>
  <si>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</si>
  <si>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</si>
  <si>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</si>
  <si>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</si>
  <si>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</si>
  <si>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</si>
  <si>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</si>
  <si>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</si>
  <si>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</si>
  <si>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</si>
  <si>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</si>
  <si>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</si>
  <si>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</si>
  <si>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</si>
  <si>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</si>
  <si>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</si>
  <si>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</si>
  <si>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</si>
  <si>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</si>
  <si>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</si>
  <si>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</si>
  <si>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</si>
  <si>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</si>
  <si>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</si>
  <si>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</si>
  <si>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</si>
  <si>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</si>
  <si>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</si>
  <si>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</si>
  <si>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</si>
  <si>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</si>
  <si>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</si>
  <si>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</si>
  <si>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</si>
  <si>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</si>
  <si>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</si>
  <si>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</si>
  <si>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</si>
  <si>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</si>
  <si>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</si>
  <si>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</si>
  <si>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</si>
  <si>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</si>
  <si>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</si>
  <si>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</si>
  <si>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</si>
  <si>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</si>
  <si>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</si>
  <si>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</si>
  <si>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</si>
  <si>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</si>
  <si>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</si>
  <si>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</si>
  <si>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</si>
  <si>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</si>
  <si>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</si>
  <si>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</si>
  <si>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</si>
  <si>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</si>
  <si>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</si>
  <si>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</si>
  <si>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</si>
  <si>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</si>
  <si>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</si>
  <si>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</si>
  <si>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</si>
  <si>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</si>
  <si>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</si>
  <si>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</si>
  <si>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</si>
  <si>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</si>
  <si>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</si>
  <si>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</si>
  <si>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</si>
  <si>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</si>
  <si>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</si>
  <si>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</si>
  <si>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</si>
  <si>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</si>
  <si>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</si>
  <si>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</si>
  <si>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</si>
  <si>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</si>
  <si>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</si>
  <si>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</si>
  <si>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</si>
  <si>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</si>
  <si>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</si>
  <si>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</si>
  <si>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</si>
  <si>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</si>
  <si>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</si>
  <si>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</si>
  <si>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</si>
  <si>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</si>
  <si>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</si>
  <si>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</si>
  <si>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</si>
  <si>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</si>
  <si>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</si>
  <si>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</si>
  <si>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</si>
  <si>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</si>
  <si>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</si>
  <si>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</si>
  <si>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</si>
  <si>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</si>
  <si>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</si>
  <si>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</si>
  <si>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</si>
  <si>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</si>
  <si>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</si>
  <si>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</si>
  <si>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</si>
  <si>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</si>
  <si>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</si>
  <si>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</si>
  <si>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</si>
  <si>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</si>
  <si>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</si>
  <si>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</si>
  <si>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</si>
  <si>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</si>
  <si>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</si>
  <si>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</si>
  <si>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</si>
  <si>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</si>
  <si>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</si>
  <si>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</si>
  <si>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</si>
  <si>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</si>
  <si>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</si>
  <si>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</si>
  <si>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</si>
  <si>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</si>
  <si>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</si>
  <si>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</si>
  <si>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</si>
  <si>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</si>
  <si>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</si>
  <si>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</si>
  <si>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</si>
  <si>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</si>
  <si>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</si>
  <si>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</si>
  <si>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</si>
  <si>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</si>
  <si>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</si>
  <si>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</si>
  <si>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</si>
  <si>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</si>
  <si>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</si>
  <si>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</si>
  <si>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</si>
  <si>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</si>
  <si>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</si>
  <si>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</si>
  <si>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</si>
  <si>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</si>
  <si>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</si>
  <si>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</si>
  <si>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</si>
  <si>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</si>
  <si>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</si>
  <si>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</si>
  <si>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</si>
  <si>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</si>
  <si>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</si>
  <si>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</si>
  <si>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</si>
  <si>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</si>
  <si>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</si>
  <si>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</si>
  <si>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</si>
  <si>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</si>
  <si>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</si>
  <si>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</si>
  <si>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</si>
  <si>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</si>
  <si>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</si>
  <si>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</si>
  <si>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</si>
  <si>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</si>
  <si>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</si>
  <si>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</si>
  <si>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</si>
  <si>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</si>
  <si>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</si>
  <si>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</si>
  <si>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</si>
  <si>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</si>
  <si>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</si>
  <si>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</si>
  <si>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</si>
  <si>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</si>
  <si>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</si>
  <si>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</si>
  <si>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</si>
  <si>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</si>
  <si>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</si>
  <si>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</si>
  <si>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</si>
  <si>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</si>
  <si>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</si>
  <si>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</si>
  <si>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</si>
  <si>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</si>
  <si>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</si>
  <si>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</si>
  <si>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</si>
  <si>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</si>
  <si>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</si>
  <si>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</si>
  <si>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</si>
  <si>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</si>
  <si>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</si>
  <si>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</si>
  <si>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</si>
  <si>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</si>
  <si>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</si>
  <si>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</si>
  <si>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</si>
  <si>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</si>
  <si>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</si>
  <si>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</si>
  <si>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</si>
  <si>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</si>
  <si>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</si>
  <si>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</si>
  <si>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</si>
  <si>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</si>
  <si>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</si>
  <si>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</si>
  <si>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</si>
  <si>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</si>
  <si>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</si>
  <si>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</si>
  <si>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</si>
  <si>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</si>
  <si>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</si>
  <si>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</si>
  <si>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</si>
  <si>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</si>
  <si>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</si>
  <si>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</si>
  <si>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</si>
  <si>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</si>
  <si>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</si>
  <si>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</si>
  <si>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</si>
  <si>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</si>
  <si>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</si>
  <si>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</si>
  <si>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</si>
  <si>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</si>
  <si>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</si>
  <si>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</si>
  <si>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</si>
  <si>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</si>
  <si>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</si>
  <si>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</si>
  <si>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</si>
  <si>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</si>
  <si>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</si>
  <si>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</si>
  <si>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</si>
  <si>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</si>
  <si>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</si>
  <si>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</si>
  <si>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</si>
  <si>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</si>
  <si>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</si>
  <si>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</si>
  <si>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</si>
  <si>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</si>
  <si>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</si>
  <si>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</si>
  <si>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</si>
  <si>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</si>
  <si>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</si>
  <si>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</si>
  <si>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</si>
  <si>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</si>
  <si>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</si>
  <si>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</si>
  <si>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</si>
  <si>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</si>
  <si>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</si>
  <si>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</si>
  <si>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</si>
  <si>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</si>
  <si>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</si>
  <si>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</si>
  <si>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</si>
  <si>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</si>
  <si>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</si>
  <si>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</si>
  <si>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</si>
  <si>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</si>
  <si>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</si>
  <si>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</si>
  <si>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</si>
  <si>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</si>
  <si>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</si>
  <si>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</si>
  <si>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</si>
  <si>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</si>
  <si>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</si>
  <si>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</si>
  <si>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</si>
  <si>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</si>
  <si>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</si>
  <si>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</si>
  <si>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</si>
  <si>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</si>
  <si>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</si>
  <si>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</si>
  <si>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</si>
  <si>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</si>
  <si>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</si>
  <si>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</si>
  <si>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</si>
  <si>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</si>
  <si>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</si>
  <si>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</si>
  <si>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</si>
  <si>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</si>
  <si>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</si>
  <si>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</si>
  <si>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</si>
  <si>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</si>
  <si>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</si>
  <si>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</si>
  <si>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</si>
  <si>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</si>
  <si>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</si>
  <si>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</si>
  <si>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</si>
  <si>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</si>
  <si>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</si>
  <si>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</si>
  <si>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</si>
  <si>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</si>
  <si>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</si>
  <si>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</si>
  <si>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</si>
  <si>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</si>
  <si>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</si>
  <si>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</si>
  <si>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</si>
  <si>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</si>
  <si>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</si>
  <si>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</si>
  <si>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</si>
  <si>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</si>
  <si>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</si>
  <si>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</si>
  <si>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</si>
  <si>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</si>
  <si>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</si>
  <si>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</si>
  <si>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</si>
  <si>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</si>
  <si>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</si>
  <si>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</si>
  <si>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</si>
  <si>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</si>
  <si>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</si>
  <si>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</si>
  <si>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</si>
  <si>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</si>
  <si>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</si>
  <si>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</si>
  <si>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</si>
  <si>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</si>
  <si>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</si>
  <si>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</si>
  <si>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</si>
  <si>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</si>
  <si>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</si>
  <si>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</si>
  <si>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</si>
  <si>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</si>
  <si>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</si>
  <si>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</si>
  <si>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</si>
  <si>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</si>
  <si>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</si>
  <si>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</si>
  <si>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</si>
  <si>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</si>
  <si>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</si>
  <si>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</si>
  <si>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</si>
  <si>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</si>
  <si>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</si>
  <si>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</si>
  <si>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</si>
  <si>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</si>
  <si>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</si>
  <si>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</si>
  <si>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</si>
  <si>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</si>
  <si>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</si>
  <si>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</si>
  <si>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</si>
  <si>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</si>
  <si>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</si>
  <si>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</si>
  <si>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</si>
  <si>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</si>
  <si>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</si>
  <si>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</si>
  <si>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</si>
  <si>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</si>
  <si>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</si>
  <si>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</si>
  <si>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</si>
  <si>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</si>
  <si>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</si>
  <si>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</si>
  <si>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</si>
  <si>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</si>
  <si>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</si>
  <si>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</si>
  <si>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</si>
  <si>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</si>
  <si>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</si>
  <si>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</si>
  <si>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</si>
  <si>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</si>
  <si>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</si>
  <si>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</si>
  <si>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</si>
  <si>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</si>
  <si>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</si>
  <si>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</si>
  <si>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</si>
  <si>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</si>
  <si>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</si>
  <si>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</si>
  <si>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</si>
  <si>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</si>
  <si>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</si>
  <si>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</si>
  <si>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</si>
  <si>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</si>
  <si>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</si>
  <si>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</si>
  <si>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</si>
  <si>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</si>
  <si>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</si>
  <si>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</si>
  <si>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</si>
  <si>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</si>
  <si>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</si>
  <si>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</si>
  <si>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</si>
  <si>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</si>
  <si>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</si>
  <si>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</si>
  <si>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</si>
  <si>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</si>
  <si>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</si>
  <si>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</si>
  <si>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</si>
  <si>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</si>
  <si>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</si>
  <si>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</si>
  <si>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</si>
  <si>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</si>
  <si>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</si>
  <si>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</si>
  <si>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</si>
  <si>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</si>
  <si>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</si>
  <si>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</si>
  <si>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</si>
  <si>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</si>
  <si>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</si>
  <si>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</si>
  <si>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</si>
  <si>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</si>
  <si>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</si>
  <si>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</si>
  <si>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</si>
  <si>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</si>
  <si>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</si>
  <si>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</si>
  <si>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</si>
  <si>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</si>
  <si>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</si>
  <si>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</si>
  <si>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</si>
  <si>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</si>
  <si>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</si>
  <si>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</si>
  <si>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</si>
  <si>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</si>
  <si>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</si>
  <si>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</si>
  <si>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</si>
  <si>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</si>
  <si>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</si>
  <si>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</si>
  <si>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</si>
  <si>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</si>
  <si>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</si>
  <si>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</si>
  <si>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</si>
  <si>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</si>
  <si>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</si>
  <si>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</si>
  <si>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</si>
  <si>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</si>
  <si>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</si>
  <si>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</si>
  <si>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</si>
  <si>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</si>
  <si>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</si>
  <si>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</si>
  <si>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</si>
  <si>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</si>
  <si>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</si>
  <si>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</si>
  <si>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</si>
  <si>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</si>
  <si>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</si>
  <si>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</si>
  <si>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</si>
  <si>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</si>
  <si>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</si>
  <si>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</si>
  <si>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</si>
  <si>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</si>
  <si>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</si>
  <si>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</si>
  <si>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</si>
  <si>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</si>
  <si>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</si>
  <si>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</si>
  <si>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</si>
  <si>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</si>
  <si>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</si>
  <si>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</si>
  <si>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</si>
  <si>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</si>
  <si>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</si>
  <si>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</si>
  <si>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</si>
  <si>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</si>
  <si>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</si>
  <si>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</si>
  <si>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</si>
  <si>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</si>
  <si>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</si>
  <si>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</si>
  <si>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</si>
  <si>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</si>
  <si>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</si>
  <si>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</si>
  <si>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</si>
  <si>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</si>
  <si>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</si>
  <si>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</si>
  <si>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</si>
  <si>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</si>
  <si>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</si>
  <si>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</si>
  <si>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</si>
  <si>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</si>
  <si>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</si>
  <si>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</si>
  <si>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</si>
  <si>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</si>
  <si>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</si>
  <si>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</si>
  <si>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</si>
  <si>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</si>
  <si>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</si>
  <si>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</si>
  <si>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</si>
  <si>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</si>
  <si>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</si>
  <si>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</si>
  <si>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</si>
  <si>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</si>
  <si>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</si>
  <si>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</si>
  <si>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</si>
  <si>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</si>
  <si>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</si>
  <si>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</si>
  <si>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</si>
  <si>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</si>
  <si>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</si>
  <si>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</si>
  <si>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</si>
  <si>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</si>
  <si>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</si>
  <si>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</si>
  <si>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</si>
  <si>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</si>
  <si>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</si>
  <si>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</si>
  <si>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</si>
  <si>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</si>
  <si>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</si>
  <si>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</si>
  <si>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</si>
  <si>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</si>
  <si>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</si>
  <si>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</si>
  <si>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</si>
  <si>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</si>
  <si>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</si>
  <si>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</si>
  <si>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</si>
  <si>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</si>
  <si>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</si>
  <si>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</si>
  <si>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</si>
  <si>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</si>
  <si>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</si>
  <si>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</si>
  <si>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</si>
  <si>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</si>
  <si>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</si>
  <si>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</si>
  <si>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</si>
  <si>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</si>
  <si>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</si>
  <si>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</si>
  <si>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</si>
  <si>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</si>
  <si>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</si>
  <si>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</si>
  <si>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</si>
  <si>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</si>
  <si>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</si>
  <si>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</si>
  <si>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</si>
  <si>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</si>
  <si>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</si>
  <si>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</si>
  <si>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</si>
  <si>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</si>
  <si>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</si>
  <si>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</si>
  <si>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</si>
  <si>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</si>
  <si>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</si>
  <si>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</si>
  <si>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</si>
  <si>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</si>
  <si>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</si>
  <si>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</si>
  <si>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</si>
  <si>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</si>
  <si>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</si>
  <si>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</si>
  <si>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</si>
  <si>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</si>
  <si>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</si>
  <si>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</si>
  <si>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</si>
  <si>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</si>
  <si>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</si>
  <si>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</si>
  <si>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</si>
  <si>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</si>
  <si>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</si>
  <si>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</si>
  <si>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</si>
  <si>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</si>
  <si>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</si>
  <si>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</si>
  <si>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</si>
  <si>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</si>
  <si>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</si>
  <si>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</si>
  <si>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</si>
  <si>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</si>
  <si>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</si>
  <si>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</si>
  <si>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</si>
  <si>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</si>
  <si>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</si>
  <si>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</si>
  <si>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</si>
  <si>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</si>
  <si>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</si>
  <si>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</si>
  <si>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</si>
  <si>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</si>
  <si>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</si>
  <si>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</si>
  <si>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</si>
  <si>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</si>
  <si>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</si>
  <si>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</si>
  <si>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</si>
  <si>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</si>
  <si>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</si>
  <si>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</si>
  <si>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</si>
  <si>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</si>
  <si>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</si>
  <si>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</si>
  <si>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</si>
  <si>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</si>
  <si>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</si>
  <si>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</si>
  <si>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</si>
  <si>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</si>
  <si>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</si>
  <si>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</si>
  <si>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</si>
  <si>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</si>
  <si>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</si>
  <si>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</si>
  <si>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</si>
  <si>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</si>
  <si>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</si>
  <si>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</si>
  <si>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</si>
  <si>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</si>
  <si>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</si>
  <si>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</si>
  <si>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</si>
  <si>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</si>
  <si>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</si>
  <si>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</si>
  <si>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</si>
  <si>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</si>
  <si>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</si>
  <si>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</si>
  <si>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</si>
  <si>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</si>
  <si>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</si>
  <si>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</si>
  <si>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</si>
  <si>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</si>
  <si>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</si>
  <si>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</si>
  <si>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</si>
  <si>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</si>
  <si>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</si>
  <si>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</si>
  <si>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</si>
  <si>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</si>
  <si>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</si>
  <si>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</si>
  <si>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</si>
  <si>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</si>
  <si>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</si>
  <si>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</si>
  <si>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</si>
  <si>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</si>
  <si>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</si>
  <si>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</si>
  <si>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</si>
  <si>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</si>
  <si>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</si>
  <si>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</si>
  <si>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</si>
  <si>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</si>
  <si>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</si>
  <si>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</si>
  <si>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</si>
  <si>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</si>
  <si>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</si>
  <si>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</si>
  <si>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</si>
  <si>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</si>
  <si>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</si>
  <si>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</si>
  <si>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</si>
  <si>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</si>
  <si>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</si>
  <si>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</si>
  <si>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</si>
  <si>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</si>
  <si>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</si>
  <si>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</si>
  <si>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</si>
  <si>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</si>
  <si>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</si>
  <si>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</si>
  <si>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</si>
  <si>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</si>
  <si>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</si>
  <si>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</si>
  <si>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</si>
  <si>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</si>
  <si>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</si>
  <si>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</si>
  <si>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</si>
  <si>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</si>
  <si>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</si>
  <si>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</si>
  <si>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</si>
  <si>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</si>
  <si>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</si>
  <si>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</si>
  <si>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</si>
  <si>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</si>
  <si>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</si>
  <si>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</si>
  <si>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</si>
  <si>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</si>
  <si>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</si>
  <si>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</si>
  <si>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</si>
  <si>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</si>
  <si>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</si>
  <si>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</si>
  <si>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</si>
  <si>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</si>
  <si>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</si>
  <si>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</si>
  <si>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</si>
  <si>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</si>
  <si>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</si>
  <si>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</si>
  <si>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</si>
  <si>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</si>
  <si>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</si>
  <si>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</si>
  <si>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</si>
  <si>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</si>
  <si>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</si>
  <si>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</si>
  <si>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</si>
  <si>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</si>
  <si>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</si>
  <si>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</si>
  <si>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</si>
  <si>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</si>
  <si>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</si>
  <si>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</si>
  <si>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</si>
  <si>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</si>
  <si>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</si>
  <si>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</si>
  <si>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</si>
  <si>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</si>
  <si>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</si>
  <si>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</si>
  <si>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</si>
  <si>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</si>
  <si>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</si>
  <si>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</si>
  <si>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</si>
  <si>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</si>
  <si>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</si>
  <si>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</si>
  <si>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</si>
  <si>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</si>
  <si>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</si>
  <si>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</si>
  <si>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</si>
  <si>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</si>
  <si>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</si>
  <si>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</si>
  <si>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</si>
  <si>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</si>
  <si>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</si>
  <si>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</si>
  <si>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</si>
  <si>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</si>
  <si>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</si>
  <si>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</si>
  <si>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</si>
  <si>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</si>
  <si>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</si>
  <si>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</si>
  <si>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</si>
  <si>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</si>
  <si>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</si>
  <si>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</si>
  <si>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</si>
  <si>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</si>
  <si>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</si>
  <si>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</si>
  <si>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</si>
  <si>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</si>
  <si>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</si>
  <si>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</si>
  <si>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</si>
  <si>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</si>
  <si>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</si>
  <si>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</si>
  <si>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</si>
  <si>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</si>
  <si>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</si>
  <si>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</si>
  <si>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</si>
  <si>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</si>
  <si>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</si>
  <si>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</si>
  <si>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</si>
  <si>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</si>
  <si>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</si>
  <si>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</si>
  <si>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</si>
  <si>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</si>
  <si>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</si>
  <si>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</si>
  <si>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</si>
  <si>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</si>
  <si>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</si>
  <si>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</si>
  <si>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</si>
  <si>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</si>
  <si>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</si>
  <si>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</si>
  <si>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</si>
  <si>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</si>
  <si>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</si>
  <si>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</si>
  <si>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</si>
  <si>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</si>
  <si>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</si>
  <si>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</si>
  <si>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</si>
  <si>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</si>
  <si>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</si>
  <si>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</si>
  <si>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</si>
  <si>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</si>
  <si>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</si>
  <si>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</si>
  <si>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</si>
  <si>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</si>
  <si>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</si>
  <si>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</si>
  <si>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</si>
  <si>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</si>
  <si>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</si>
  <si>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</si>
  <si>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</si>
  <si>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</si>
  <si>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</si>
  <si>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</si>
  <si>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</si>
  <si>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</si>
  <si>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</si>
  <si>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</si>
  <si>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</si>
  <si>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</si>
  <si>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</si>
  <si>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</si>
  <si>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</si>
  <si>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</si>
  <si>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</si>
  <si>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</si>
  <si>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</si>
  <si>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</si>
  <si>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</si>
  <si>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</si>
  <si>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</si>
  <si>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</si>
  <si>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</si>
  <si>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</si>
  <si>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</si>
  <si>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</si>
  <si>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</si>
  <si>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</si>
  <si>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</si>
  <si>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</si>
  <si>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</si>
  <si>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</si>
  <si>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</si>
  <si>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</si>
  <si>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</si>
  <si>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</si>
  <si>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</si>
  <si>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</si>
  <si>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</si>
  <si>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</si>
  <si>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</si>
  <si>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</si>
  <si>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</si>
  <si>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</si>
  <si>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</si>
  <si>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</si>
  <si>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</si>
  <si>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</si>
  <si>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</si>
  <si>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</si>
  <si>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</si>
  <si>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</si>
  <si>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</si>
  <si>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</si>
  <si>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</si>
  <si>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</si>
  <si>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</si>
  <si>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</si>
  <si>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</si>
  <si>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</si>
  <si>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</si>
  <si>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</si>
  <si>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</si>
  <si>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</si>
  <si>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</si>
  <si>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</si>
  <si>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</si>
  <si>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</si>
  <si>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</si>
  <si>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</si>
  <si>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</si>
  <si>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</si>
  <si>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</si>
  <si>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</si>
  <si>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</si>
  <si>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</si>
  <si>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</si>
  <si>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</si>
  <si>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</si>
  <si>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</si>
  <si>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</si>
  <si>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</si>
  <si>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</si>
  <si>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</si>
  <si>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</si>
  <si>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</si>
  <si>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</si>
  <si>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</si>
  <si>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</si>
  <si>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</si>
  <si>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</si>
  <si>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</si>
  <si>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</si>
  <si>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</si>
  <si>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</si>
  <si>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</si>
  <si>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</si>
  <si>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</si>
  <si>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</si>
  <si>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</si>
  <si>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</si>
  <si>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</si>
  <si>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</si>
  <si>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</si>
  <si>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</si>
  <si>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</si>
  <si>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</si>
  <si>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</si>
  <si>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</si>
  <si>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</si>
  <si>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</si>
  <si>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</si>
  <si>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</si>
  <si>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</si>
  <si>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</si>
  <si>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</si>
  <si>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</si>
  <si>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</si>
  <si>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</si>
  <si>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</si>
  <si>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</si>
  <si>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</si>
  <si>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</si>
  <si>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</si>
  <si>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</si>
  <si>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</si>
  <si>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</si>
  <si>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</si>
  <si>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</si>
  <si>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</si>
  <si>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</si>
  <si>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</si>
  <si>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</si>
  <si>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</si>
  <si>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</si>
  <si>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</si>
  <si>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</si>
  <si>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</si>
  <si>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</si>
  <si>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</si>
  <si>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</si>
  <si>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</si>
  <si>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</si>
  <si>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</si>
  <si>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</si>
  <si>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</si>
  <si>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</si>
  <si>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</si>
  <si>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</si>
  <si>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</si>
  <si>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</si>
  <si>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</si>
  <si>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</si>
  <si>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</si>
  <si>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</si>
  <si>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</si>
  <si>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</si>
  <si>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</si>
  <si>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</si>
  <si>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</si>
  <si>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</si>
  <si>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</si>
  <si>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</si>
  <si>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</si>
  <si>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</si>
  <si>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</si>
  <si>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</si>
  <si>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</si>
  <si>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</si>
  <si>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</si>
  <si>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</si>
  <si>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</si>
  <si>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</si>
  <si>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</si>
  <si>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</si>
  <si>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</si>
  <si>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</si>
  <si>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</si>
  <si>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</si>
  <si>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</si>
  <si>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</si>
  <si>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</si>
  <si>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</si>
  <si>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</si>
  <si>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</si>
  <si>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</si>
  <si>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</si>
  <si>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</si>
  <si>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</si>
  <si>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</si>
  <si>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</si>
  <si>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</si>
  <si>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</si>
  <si>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</si>
  <si>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</si>
  <si>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</si>
  <si>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</si>
  <si>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</si>
  <si>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</si>
  <si>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</si>
  <si>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</si>
  <si>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</si>
  <si>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</si>
  <si>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</si>
  <si>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</si>
  <si>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</si>
  <si>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</si>
  <si>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</si>
  <si>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</si>
  <si>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</si>
  <si>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</si>
  <si>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</si>
  <si>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</si>
  <si>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</si>
  <si>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</si>
  <si>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</si>
  <si>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</si>
  <si>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</si>
  <si>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</si>
  <si>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</si>
  <si>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</si>
  <si>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</si>
  <si>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</si>
  <si>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</si>
  <si>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</si>
  <si>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</si>
  <si>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</si>
  <si>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</si>
  <si>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</si>
  <si>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</si>
  <si>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</si>
  <si>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</si>
  <si>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</si>
  <si>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</si>
  <si>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</si>
  <si>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</si>
  <si>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</si>
  <si>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</si>
  <si>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</si>
  <si>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</si>
  <si>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</si>
  <si>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</si>
  <si>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</si>
  <si>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</si>
  <si>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</si>
  <si>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</si>
  <si>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</si>
  <si>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</si>
  <si>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</si>
  <si>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</si>
  <si>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</si>
  <si>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</si>
  <si>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</si>
  <si>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</si>
  <si>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</si>
  <si>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</si>
  <si>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</si>
  <si>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</si>
  <si>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</si>
  <si>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</si>
  <si>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</si>
  <si>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</si>
  <si>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</si>
  <si>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</si>
  <si>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</si>
  <si>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</si>
  <si>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</si>
  <si>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</si>
  <si>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</si>
  <si>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</si>
  <si>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</si>
  <si>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</si>
  <si>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</si>
  <si>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</si>
  <si>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</si>
  <si>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</si>
  <si>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</si>
  <si>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</si>
  <si>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</si>
  <si>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</si>
  <si>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</si>
  <si>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</si>
  <si>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</si>
  <si>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</si>
  <si>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</si>
  <si>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</si>
  <si>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</si>
  <si>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</si>
  <si>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</si>
  <si>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</si>
  <si>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</si>
  <si>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</si>
  <si>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</si>
  <si>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</si>
  <si>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</si>
  <si>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</si>
  <si>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</si>
  <si>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</si>
  <si>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</si>
  <si>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</si>
  <si>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</si>
  <si>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</si>
  <si>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</si>
  <si>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</si>
  <si>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</si>
  <si>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</si>
  <si>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</si>
  <si>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</si>
  <si>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</si>
  <si>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</si>
  <si>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</si>
  <si>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</si>
  <si>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</si>
  <si>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</si>
  <si>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</si>
  <si>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</si>
  <si>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</si>
  <si>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</si>
  <si>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</si>
  <si>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</si>
  <si>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</si>
  <si>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</si>
  <si>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</si>
  <si>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</si>
  <si>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</si>
  <si>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</si>
  <si>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</si>
  <si>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</si>
  <si>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</si>
  <si>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</si>
  <si>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</si>
  <si>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</si>
  <si>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</si>
  <si>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</si>
  <si>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</si>
  <si>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</si>
  <si>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</si>
  <si>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</si>
  <si>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</si>
  <si>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</si>
  <si>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</si>
  <si>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</si>
  <si>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</si>
  <si>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</si>
  <si>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</si>
  <si>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</si>
  <si>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</si>
  <si>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</si>
  <si>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</si>
  <si>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</si>
  <si>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</si>
  <si>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</si>
  <si>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</si>
  <si>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</si>
  <si>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</si>
  <si>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</si>
  <si>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</si>
  <si>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</si>
  <si>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</si>
  <si>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</si>
  <si>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</si>
  <si>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</si>
  <si>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</si>
  <si>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</si>
  <si>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</si>
  <si>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</si>
  <si>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</si>
  <si>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</si>
  <si>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</si>
  <si>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</si>
  <si>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</si>
  <si>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</si>
  <si>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</si>
  <si>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</si>
  <si>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</si>
  <si>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</si>
  <si>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</si>
  <si>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</si>
  <si>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</si>
  <si>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</si>
  <si>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</si>
  <si>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</si>
  <si>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</si>
  <si>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</si>
  <si>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</si>
  <si>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</si>
  <si>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</si>
  <si>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</si>
  <si>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</si>
  <si>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</si>
  <si>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</si>
  <si>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</si>
  <si>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</si>
  <si>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</si>
  <si>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</si>
  <si>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</si>
  <si>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</si>
  <si>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</si>
  <si>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</si>
  <si>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</si>
  <si>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</si>
  <si>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</si>
  <si>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</si>
  <si>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</si>
  <si>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</si>
  <si>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</si>
  <si>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</si>
  <si>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</si>
  <si>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</si>
  <si>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</si>
  <si>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</si>
  <si>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</si>
  <si>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</si>
  <si>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</si>
  <si>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</si>
  <si>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</si>
  <si>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</si>
  <si>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</si>
  <si>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</si>
  <si>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</si>
  <si>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</si>
  <si>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</si>
  <si>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</si>
  <si>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</si>
  <si>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</si>
  <si>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</si>
  <si>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</si>
  <si>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</si>
  <si>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</si>
  <si>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</si>
  <si>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</si>
  <si>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</si>
  <si>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</si>
  <si>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</si>
  <si>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</si>
  <si>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</si>
  <si>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</si>
  <si>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</si>
  <si>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</si>
  <si>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</si>
  <si>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</si>
  <si>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</si>
  <si>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</si>
  <si>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</si>
  <si>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</si>
  <si>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</si>
  <si>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</si>
  <si>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</si>
  <si>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</si>
  <si>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</si>
  <si>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</si>
  <si>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</si>
  <si>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</si>
  <si>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</si>
  <si>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</si>
  <si>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</si>
  <si>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</si>
  <si>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</si>
  <si>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</si>
  <si>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</si>
  <si>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</si>
  <si>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</si>
  <si>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</si>
  <si>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</si>
  <si>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</si>
  <si>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</si>
  <si>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</si>
  <si>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</si>
  <si>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</si>
  <si>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</si>
  <si>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</si>
  <si>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</si>
  <si>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</si>
  <si>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</si>
  <si>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</si>
  <si>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</si>
  <si>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</si>
  <si>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</si>
  <si>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</si>
  <si>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</si>
  <si>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</si>
  <si>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</si>
  <si>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</si>
  <si>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</si>
  <si>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</si>
  <si>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</si>
  <si>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</si>
  <si>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</si>
  <si>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</si>
  <si>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</si>
  <si>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</si>
  <si>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</si>
  <si>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</si>
  <si>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</si>
  <si>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</si>
  <si>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</si>
  <si>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</si>
  <si>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</si>
  <si>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</si>
  <si>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</si>
  <si>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</si>
  <si>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</si>
  <si>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</si>
  <si>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</si>
  <si>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</si>
  <si>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</si>
  <si>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</si>
  <si>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</si>
  <si>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</si>
  <si>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</si>
  <si>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</si>
  <si>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</si>
  <si>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</si>
  <si>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</si>
  <si>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</si>
  <si>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</si>
  <si>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</si>
  <si>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</si>
  <si>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</si>
  <si>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</si>
  <si>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</si>
  <si>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</si>
  <si>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</si>
  <si>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</si>
  <si>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</si>
  <si>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</si>
  <si>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</si>
  <si>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</si>
  <si>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</si>
  <si>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</si>
  <si>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</si>
  <si>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</si>
  <si>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</si>
  <si>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</si>
  <si>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</si>
  <si>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</si>
  <si>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</si>
  <si>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</si>
  <si>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</si>
  <si>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</si>
  <si>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</si>
  <si>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</si>
  <si>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</si>
  <si>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</si>
  <si>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</si>
  <si>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</si>
  <si>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</si>
  <si>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</si>
  <si>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</si>
  <si>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</si>
  <si>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</si>
  <si>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</si>
  <si>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</si>
  <si>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</si>
  <si>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</si>
  <si>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</si>
  <si>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</si>
  <si>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</si>
  <si>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</si>
  <si>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</si>
  <si>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</si>
  <si>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</si>
  <si>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</si>
  <si>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</si>
  <si>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</si>
  <si>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</si>
  <si>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</si>
  <si>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</si>
  <si>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</si>
  <si>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</si>
  <si>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</si>
  <si>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</si>
  <si>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</si>
  <si>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</si>
  <si>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</si>
  <si>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</si>
  <si>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</si>
  <si>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</si>
  <si>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</si>
  <si>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</si>
  <si>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</si>
  <si>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</si>
  <si>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</si>
  <si>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</si>
  <si>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</si>
  <si>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</si>
  <si>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</si>
  <si>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</si>
  <si>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</si>
  <si>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</si>
  <si>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</si>
  <si>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</si>
  <si>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</si>
  <si>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</si>
  <si>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</si>
  <si>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</si>
  <si>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</si>
  <si>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</si>
  <si>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</si>
  <si>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</si>
  <si>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</si>
  <si>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</si>
  <si>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</si>
  <si>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</si>
  <si>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</si>
  <si>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</si>
  <si>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</si>
  <si>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</si>
  <si>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</si>
  <si>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</si>
  <si>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</si>
  <si>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</si>
  <si>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</si>
  <si>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</si>
  <si>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</si>
  <si>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</si>
  <si>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</si>
  <si>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</si>
  <si>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</si>
  <si>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</si>
  <si>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</si>
  <si>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</si>
  <si>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</si>
  <si>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</si>
  <si>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</si>
  <si>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</si>
  <si>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</si>
  <si>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</si>
  <si>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</si>
  <si>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</si>
  <si>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</si>
  <si>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</si>
  <si>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</si>
  <si>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</si>
  <si>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</si>
  <si>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</si>
  <si>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</si>
  <si>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</si>
  <si>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</si>
  <si>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</si>
  <si>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</si>
  <si>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</si>
  <si>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</si>
  <si>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</si>
  <si>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</si>
  <si>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</si>
  <si>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</si>
  <si>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</si>
  <si>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</si>
  <si>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</si>
  <si>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</si>
  <si>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</si>
  <si>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</si>
  <si>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</si>
  <si>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</si>
  <si>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</si>
  <si>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</si>
  <si>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</si>
  <si>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</si>
  <si>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</si>
  <si>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</si>
  <si>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</si>
  <si>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</si>
  <si>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</si>
  <si>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</si>
  <si>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</si>
  <si>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</si>
  <si>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</si>
  <si>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</si>
  <si>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</si>
  <si>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</si>
  <si>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</si>
  <si>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</si>
  <si>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</si>
  <si>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</si>
  <si>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</si>
  <si>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</si>
  <si>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</si>
  <si>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</si>
  <si>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</si>
  <si>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</si>
  <si>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</si>
  <si>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</si>
  <si>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</si>
  <si>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</si>
  <si>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</si>
  <si>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</si>
  <si>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</si>
  <si>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</si>
  <si>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</si>
  <si>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</si>
  <si>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</si>
  <si>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</si>
  <si>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</si>
  <si>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</si>
  <si>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</si>
  <si>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</si>
  <si>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</si>
  <si>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</si>
  <si>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</si>
  <si>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</si>
  <si>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</si>
  <si>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</si>
  <si>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</si>
  <si>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</si>
  <si>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</si>
  <si>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</si>
  <si>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</si>
  <si>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</si>
  <si>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</si>
  <si>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</si>
  <si>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</si>
  <si>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</si>
  <si>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</si>
  <si>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</si>
  <si>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</si>
  <si>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</si>
  <si>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</si>
  <si>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</si>
  <si>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</si>
  <si>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</si>
  <si>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</si>
  <si>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</si>
  <si>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</si>
  <si>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</si>
  <si>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</si>
  <si>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</si>
  <si>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</si>
  <si>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</si>
  <si>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</si>
  <si>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</si>
  <si>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</si>
  <si>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</si>
  <si>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</si>
  <si>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04/02</t>
  </si>
  <si>
    <t>7/22</t>
  </si>
  <si>
    <t>05/2017</t>
  </si>
  <si>
    <t>07/2028</t>
  </si>
  <si>
    <t xml:space="preserve"> 05/14</t>
  </si>
  <si>
    <t xml:space="preserve"> 08/25</t>
  </si>
  <si>
    <t xml:space="preserve"> 07/14</t>
  </si>
  <si>
    <t xml:space="preserve"> 07/24</t>
  </si>
  <si>
    <t>School Board Vote on 9/6/23 increased Retained Fund to $1,375,000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</si>
</sst>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1191</v>
      </c>
      <c r="B2">
        <f>INDEX('School Tables'!$AH$3:$AH$209,MATCH('DOE25'!A2,'School Tables'!$AJ$3:$AJ$209,0))</f>
        <v>319</v>
      </c>
      <c r="C2">
        <f>INDEX('School Tables'!$AI$3:$AI$209,MATCH('DOE25'!A2,'School Tables'!$AJ$3:$AJ$209,0))</f>
        <v>319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3972136.7+3300</f>
        <v>3975436.7</v>
      </c>
      <c r="G9" s="18">
        <f>5000+100+800</f>
        <v>5900</v>
      </c>
      <c r="H9" s="18"/>
      <c r="I9" s="18"/>
      <c r="J9" s="13">
        <f>SUM(I440)</f>
        <v>643394.92999999993</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v>902906</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86688.05</v>
      </c>
      <c r="H13" s="18">
        <v>439515.27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4430</v>
      </c>
      <c r="G14" s="18">
        <v>46174.73</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29893.85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19641.98+9629</f>
        <v>29270.98</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4009137.68</v>
      </c>
      <c r="G19" s="38">
        <f>SUM(G9:G18)</f>
        <v>1071562.6300000001</v>
      </c>
      <c r="H19" s="38">
        <f>SUM(H9:H18)</f>
        <v>439515.27</v>
      </c>
      <c r="I19" s="38">
        <f>SUM(I9:I18)</f>
        <v>0</v>
      </c>
      <c r="J19" s="38">
        <f>SUM(J9:J18)</f>
        <v>643394.92999999993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528552.73</v>
      </c>
      <c r="G22" s="18"/>
      <c r="H22" s="18">
        <v>324789.27</v>
      </c>
      <c r="I22" s="18"/>
      <c r="J22" s="13">
        <f>SUM(I449)</f>
        <v>49564</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492176.3</v>
      </c>
      <c r="G24" s="18">
        <f>42610.7+56996.75</f>
        <v>99607.45</v>
      </c>
      <c r="H24" s="18">
        <v>27708</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637783.68000000005</v>
      </c>
      <c r="G28" s="18">
        <v>13131.66</v>
      </c>
      <c r="H28" s="18">
        <v>64251.42</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20702.74+166537.07+8686.64+2450.72+105.41</f>
        <v>198482.58000000002</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24660</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1881655.29</v>
      </c>
      <c r="G32" s="38">
        <f>SUM(G22:G31)</f>
        <v>112739.11</v>
      </c>
      <c r="H32" s="38">
        <f>SUM(H22:H31)</f>
        <v>416748.69</v>
      </c>
      <c r="I32" s="38">
        <f>SUM(I22:I31)</f>
        <v>0</v>
      </c>
      <c r="J32" s="38">
        <f>SUM(J22:J31)</f>
        <v>49564</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29893.85</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29270.98</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928929.67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f>2518080.49-2516576.71+21262.8</f>
        <v>22766.58000000026</v>
      </c>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80000+73500+250000</f>
        <v>403500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f>1125000+250000</f>
        <v>1375000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593830.93244910799</v>
      </c>
      <c r="K48" s="23" t="s">
        <v>288</v>
      </c>
      <c r="L48" s="23" t="s">
        <v>288</v>
      </c>
      <c r="M48" s="8"/>
      <c r="N48" s="165"/>
    </row>
    <row r="49" spans="1:14" s="3" customFormat="1" ht="12.2" customHeight="1" x14ac:dyDescent="0.15">
      <c r="A49" s="1" t="s">
        <v>858</v>
      </c>
      <c r="B49" s="2" t="s">
        <v>289</v>
      </c>
      <c r="C49" s="6">
        <v>34</v>
      </c>
      <c r="D49" s="2"/>
      <c r="E49" s="6">
        <v>753</v>
      </c>
      <c r="F49" s="18">
        <v>84560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1610151.41-1125000-250000</f>
        <v>235151.40999999992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2127482.3899999997</v>
      </c>
      <c r="G51" s="38">
        <f>SUM(G35:G50)</f>
        <v>958823.52</v>
      </c>
      <c r="H51" s="38">
        <f>SUM(H35:H50)</f>
        <v>22766.58000000026</v>
      </c>
      <c r="I51" s="38">
        <f>SUM(I35:I50)</f>
        <v>0</v>
      </c>
      <c r="J51" s="38">
        <f>SUM(J35:J50)</f>
        <v>593830.93244910799</v>
      </c>
      <c r="K51" s="42" t="s">
        <v>288</v>
      </c>
      <c r="L51" s="42" t="s">
        <v>288</v>
      </c>
      <c r="N51" s="131"/>
    </row>
    <row r="52" spans="1:14" s="3" customFormat="1" ht="12.2" customHeight="1" thickTop="1" x14ac:dyDescent="0.15">
      <c r="A52" s="35" t="s">
        <v>455</v>
      </c>
      <c r="B52" s="36" t="s">
        <v>289</v>
      </c>
      <c r="C52" s="6">
        <v>37</v>
      </c>
      <c r="D52" s="36" t="s">
        <v>653</v>
      </c>
      <c r="E52" s="36"/>
      <c r="F52" s="38">
        <f>F51+F32</f>
        <v>4009137.6799999997</v>
      </c>
      <c r="G52" s="38">
        <f>G51+G32</f>
        <v>1071562.6300000001</v>
      </c>
      <c r="H52" s="38">
        <f>H51+H32</f>
        <v>439515.27000000025</v>
      </c>
      <c r="I52" s="38">
        <f>I51+I32</f>
        <v>0</v>
      </c>
      <c r="J52" s="38">
        <f>J51+J32</f>
        <v>643394.93244910799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63348064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63348064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45902.68+67445</f>
        <v>113347.68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8770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f>2005.37+16225.13</f>
        <v>18230.5</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1510444.16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1650792.3399999999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23168.91</v>
      </c>
      <c r="G96" s="18">
        <v>7.24</v>
      </c>
      <c r="H96" s="18"/>
      <c r="I96" s="18"/>
      <c r="J96" s="18">
        <v>1233.08</v>
      </c>
      <c r="K96" s="23" t="s">
        <v>288</v>
      </c>
      <c r="L96" s="23" t="s">
        <v>288</v>
      </c>
      <c r="M96" s="8"/>
      <c r="N96" s="165"/>
    </row>
    <row r="97" spans="1:14" s="3" customFormat="1" ht="12.2" customHeight="1" x14ac:dyDescent="0.15">
      <c r="A97" s="1" t="s">
        <v>503</v>
      </c>
      <c r="B97" s="2" t="s">
        <v>315</v>
      </c>
      <c r="C97" s="6">
        <v>12</v>
      </c>
      <c r="D97" s="2" t="s">
        <v>430</v>
      </c>
      <c r="E97" s="6">
        <v>1600</v>
      </c>
      <c r="F97" s="23" t="s">
        <v>288</v>
      </c>
      <c r="G97" s="18">
        <f>423552.28+269186.01+470055.49-4443.49</f>
        <v>1158350.29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19440.21</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34160</v>
      </c>
      <c r="G99" s="18">
        <f>36100.62+7.5</f>
        <v>36108.120000000003</v>
      </c>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59189.29</v>
      </c>
      <c r="G110" s="18"/>
      <c r="H110" s="18">
        <v>11759.33</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135958.41</v>
      </c>
      <c r="G111" s="38">
        <f>SUM(G96:G110)</f>
        <v>1194465.6500000001</v>
      </c>
      <c r="H111" s="38">
        <f>SUM(H96:H110)</f>
        <v>11759.33</v>
      </c>
      <c r="I111" s="38">
        <f>SUM(I96:I110)</f>
        <v>0</v>
      </c>
      <c r="J111" s="38">
        <f>SUM(J96:J110)</f>
        <v>1233.08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65134814.75</v>
      </c>
      <c r="G112" s="38">
        <f>G60+G111</f>
        <v>1194465.6500000001</v>
      </c>
      <c r="H112" s="38">
        <f>H60+H79+H94+H111</f>
        <v>11759.33</v>
      </c>
      <c r="I112" s="38">
        <f>I60+I111</f>
        <v>0</v>
      </c>
      <c r="J112" s="38">
        <f>J60+J111</f>
        <v>1233.08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12964712.09</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5318525</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483819.61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18767056.699999999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244367.83</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521256.15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5250</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20738.7</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4950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21435.3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78847.199999999997</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791612.67999999993</v>
      </c>
      <c r="G136" s="38">
        <f>SUM(G123:G135)</f>
        <v>21435.3</v>
      </c>
      <c r="H136" s="38">
        <f>SUM(H123:H135)</f>
        <v>83797.2</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19558669.379999999</v>
      </c>
      <c r="G140" s="38">
        <f>G121+SUM(G136:G137)</f>
        <v>21435.3</v>
      </c>
      <c r="H140" s="38">
        <f>H121+SUM(H136:H139)</f>
        <v>83797.2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195298.77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189806.16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45243.73</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466951.23+110989.02+5053.83</f>
        <v>582994.07999999996</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1367600.15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294300.62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61269.16</v>
      </c>
      <c r="H161" s="18">
        <f>17719.75+24116.58+20908.84+13513.55</f>
        <v>76258.720000000001</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548316.43000000005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294300.62</v>
      </c>
      <c r="G163" s="38">
        <f>SUM(G150:G162)</f>
        <v>644263.24</v>
      </c>
      <c r="H163" s="38">
        <f>SUM(H150:H162)</f>
        <v>2422523.96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294300.62</v>
      </c>
      <c r="G170" s="38">
        <f>G147+G163+SUM(G164:G169)</f>
        <v>644263.24</v>
      </c>
      <c r="H170" s="38">
        <f>H147+H163+SUM(H164:H169)</f>
        <v>2422523.96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4443.49</v>
      </c>
      <c r="H180" s="18"/>
      <c r="I180" s="18"/>
      <c r="J180" s="18">
        <v>870000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4443.49</v>
      </c>
      <c r="H184" s="38">
        <f>SUM(H180:H183)</f>
        <v>0</v>
      </c>
      <c r="I184" s="38">
        <f>SUM(I180:I183)</f>
        <v>0</v>
      </c>
      <c r="J184" s="38">
        <f>SUM(J180:J183)</f>
        <v>870000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14.05</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759514.09</v>
      </c>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759528.14</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759528.14</v>
      </c>
      <c r="G193" s="38">
        <f>G184+SUM(G189:G192)</f>
        <v>4443.49</v>
      </c>
      <c r="H193" s="38">
        <f>+H184+SUM(H189:H192)</f>
        <v>0</v>
      </c>
      <c r="I193" s="38">
        <f>I178+I184+SUM(I189:I192)</f>
        <v>0</v>
      </c>
      <c r="J193" s="38">
        <f>J184</f>
        <v>870000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85747312.890000001</v>
      </c>
      <c r="G194" s="38">
        <f>G112+G140+G170+G193</f>
        <v>1864607.6800000002</v>
      </c>
      <c r="H194" s="38">
        <f>H112+H140+H170+H193</f>
        <v>2518080.4899999998</v>
      </c>
      <c r="I194" s="38">
        <f>I112+I140+I170+I193</f>
        <v>0</v>
      </c>
      <c r="J194" s="38">
        <f>J112+J140+J193</f>
        <v>871233.08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7479846.5499999998</v>
      </c>
      <c r="G198" s="18">
        <v>4266196.16</v>
      </c>
      <c r="H198" s="18">
        <f>2912+1366.81+626.84</f>
        <v>4905.6499999999996</v>
      </c>
      <c r="I198" s="18">
        <f>102723.22+204515.99+89435.51+144</f>
        <v>396818.72</v>
      </c>
      <c r="J198" s="18">
        <f>826.53+3701.66+10373</f>
        <v>14901.189999999999</v>
      </c>
      <c r="K198" s="18"/>
      <c r="L198" s="13">
        <f>SUM(F198:K198)</f>
        <v>12162668.270000001</v>
      </c>
      <c r="M198" s="8"/>
      <c r="N198" s="165"/>
    </row>
    <row r="199" spans="1:14" s="3" customFormat="1" ht="12.2" customHeight="1" x14ac:dyDescent="0.15">
      <c r="A199" s="1" t="s">
        <v>439</v>
      </c>
      <c r="B199" s="2" t="s">
        <v>341</v>
      </c>
      <c r="C199" s="2" t="s">
        <v>291</v>
      </c>
      <c r="D199" s="2" t="s">
        <v>431</v>
      </c>
      <c r="E199" s="6">
        <v>1200</v>
      </c>
      <c r="F199" s="18">
        <v>5243750.88</v>
      </c>
      <c r="G199" s="18">
        <v>3165878.15</v>
      </c>
      <c r="H199" s="18">
        <f>253155.58+46178.2</f>
        <v>299333.77999999997</v>
      </c>
      <c r="I199" s="18">
        <f>11051.01+20218.52+19289.91</f>
        <v>50559.44</v>
      </c>
      <c r="J199" s="18">
        <v>14355.37</v>
      </c>
      <c r="K199" s="18">
        <f>196.5+181.25</f>
        <v>377.75</v>
      </c>
      <c r="L199" s="13">
        <f>SUM(F199:K199)</f>
        <v>8774255.3699999973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219744.39</v>
      </c>
      <c r="G201" s="18">
        <v>173029.27</v>
      </c>
      <c r="H201" s="18"/>
      <c r="I201" s="18">
        <f>613.09+3059.54</f>
        <v>3672.63</v>
      </c>
      <c r="J201" s="18"/>
      <c r="K201" s="18"/>
      <c r="L201" s="13">
        <f>SUM(F201:K201)</f>
        <v>396446.29000000004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2461420.6-200</f>
        <v>2461220.6</v>
      </c>
      <c r="G203" s="18">
        <v>1341291.04</v>
      </c>
      <c r="H203" s="18">
        <f>256792.58</f>
        <v>256792.58</v>
      </c>
      <c r="I203" s="18">
        <f>1584.37+9644.48+1857.95</f>
        <v>13086.8</v>
      </c>
      <c r="J203" s="18"/>
      <c r="K203" s="18"/>
      <c r="L203" s="13">
        <f t="shared" ref="L203:L209" si="0">SUM(F203:K203)</f>
        <v>4072391.02</v>
      </c>
      <c r="M203" s="8"/>
      <c r="N203" s="165"/>
    </row>
    <row r="204" spans="1:14" s="3" customFormat="1" ht="12.2" customHeight="1" x14ac:dyDescent="0.15">
      <c r="A204" s="1" t="s">
        <v>443</v>
      </c>
      <c r="B204" s="2" t="s">
        <v>341</v>
      </c>
      <c r="C204" s="2" t="s">
        <v>295</v>
      </c>
      <c r="D204" s="2" t="s">
        <v>431</v>
      </c>
      <c r="E204" s="6">
        <v>2200</v>
      </c>
      <c r="F204" s="18">
        <v>455753.78</v>
      </c>
      <c r="G204" s="18">
        <f>258828.91+124856.5+4150.26</f>
        <v>387835.67000000004</v>
      </c>
      <c r="H204" s="18">
        <f>32334.6+8997.94</f>
        <v>41332.54</v>
      </c>
      <c r="I204" s="18">
        <f>10601.26+43150.09+3369+27735.98</f>
        <v>84856.33</v>
      </c>
      <c r="J204" s="18"/>
      <c r="K204" s="18">
        <f>217+357.48</f>
        <v>574.48</v>
      </c>
      <c r="L204" s="13">
        <f t="shared" si="0"/>
        <v>970352.8</v>
      </c>
      <c r="M204" s="8"/>
      <c r="N204" s="165"/>
    </row>
    <row r="205" spans="1:14" s="3" customFormat="1" ht="12.2" customHeight="1" x14ac:dyDescent="0.15">
      <c r="A205" s="1" t="s">
        <v>444</v>
      </c>
      <c r="B205" s="2" t="s">
        <v>341</v>
      </c>
      <c r="C205" s="2" t="s">
        <v>296</v>
      </c>
      <c r="D205" s="2" t="s">
        <v>431</v>
      </c>
      <c r="E205" s="6">
        <v>2300</v>
      </c>
      <c r="F205" s="18">
        <v>142836.87</v>
      </c>
      <c r="G205" s="18">
        <v>80457.59</v>
      </c>
      <c r="H205" s="18">
        <f>328412.64</f>
        <v>328412.64</v>
      </c>
      <c r="I205" s="18">
        <v>26425.79</v>
      </c>
      <c r="J205" s="18">
        <v>655.62</v>
      </c>
      <c r="K205" s="18">
        <v>7217.47</v>
      </c>
      <c r="L205" s="13">
        <f t="shared" si="0"/>
        <v>586005.98</v>
      </c>
      <c r="M205" s="8"/>
      <c r="N205" s="165"/>
    </row>
    <row r="206" spans="1:14" s="3" customFormat="1" ht="12.2" customHeight="1" x14ac:dyDescent="0.15">
      <c r="A206" s="1" t="s">
        <v>445</v>
      </c>
      <c r="B206" s="2" t="s">
        <v>341</v>
      </c>
      <c r="C206" s="2" t="s">
        <v>297</v>
      </c>
      <c r="D206" s="2" t="s">
        <v>431</v>
      </c>
      <c r="E206" s="6">
        <v>2400</v>
      </c>
      <c r="F206" s="18">
        <v>1010753.19</v>
      </c>
      <c r="G206" s="18">
        <v>622697.54</v>
      </c>
      <c r="H206" s="18">
        <f>10147.93+1129.55+5859.1+2049.16</f>
        <v>19185.740000000002</v>
      </c>
      <c r="I206" s="18">
        <f>5749.01</f>
        <v>5749.01</v>
      </c>
      <c r="J206" s="18"/>
      <c r="K206" s="18">
        <v>5262</v>
      </c>
      <c r="L206" s="13">
        <f t="shared" si="0"/>
        <v>1663647.48</v>
      </c>
      <c r="M206" s="8"/>
      <c r="N206" s="165"/>
    </row>
    <row r="207" spans="1:14" s="3" customFormat="1" ht="12.2" customHeight="1" x14ac:dyDescent="0.15">
      <c r="A207" s="1" t="s">
        <v>446</v>
      </c>
      <c r="B207" s="2" t="s">
        <v>341</v>
      </c>
      <c r="C207" s="2" t="s">
        <v>298</v>
      </c>
      <c r="D207" s="2" t="s">
        <v>431</v>
      </c>
      <c r="E207" s="6">
        <v>2500</v>
      </c>
      <c r="F207" s="18">
        <v>280051.78999999998</v>
      </c>
      <c r="G207" s="18">
        <v>159895.26</v>
      </c>
      <c r="H207" s="18">
        <v>22991.07</v>
      </c>
      <c r="I207" s="18"/>
      <c r="J207" s="18"/>
      <c r="K207" s="18"/>
      <c r="L207" s="13">
        <f t="shared" si="0"/>
        <v>462938.12</v>
      </c>
      <c r="M207" s="8"/>
      <c r="N207" s="165"/>
    </row>
    <row r="208" spans="1:14" s="3" customFormat="1" ht="12.2" customHeight="1" x14ac:dyDescent="0.15">
      <c r="A208" s="1" t="s">
        <v>447</v>
      </c>
      <c r="B208" s="2" t="s">
        <v>341</v>
      </c>
      <c r="C208" s="2" t="s">
        <v>299</v>
      </c>
      <c r="D208" s="2" t="s">
        <v>431</v>
      </c>
      <c r="E208" s="6">
        <v>2600</v>
      </c>
      <c r="F208" s="18">
        <v>1186947.6599999999</v>
      </c>
      <c r="G208" s="18">
        <v>648019.77</v>
      </c>
      <c r="H208" s="18">
        <f>35057.16+43909.82+10702.96+21325.9+130734.97+37210+30780.75+2740.73+1041657.74</f>
        <v>1354120.03</v>
      </c>
      <c r="I208" s="18">
        <f>100833.14+73836.02+188200.02+71121.24+30528.37</f>
        <v>464518.79</v>
      </c>
      <c r="J208" s="18">
        <f>2567.95+49630.31</f>
        <v>52198.259999999995</v>
      </c>
      <c r="K208" s="18">
        <v>67.5</v>
      </c>
      <c r="L208" s="13">
        <f t="shared" si="0"/>
        <v>3705872.01</v>
      </c>
      <c r="M208" s="8"/>
      <c r="N208" s="165"/>
    </row>
    <row r="209" spans="1:14" s="3" customFormat="1" ht="12.2" customHeight="1" x14ac:dyDescent="0.15">
      <c r="A209" s="1" t="s">
        <v>448</v>
      </c>
      <c r="B209" s="2" t="s">
        <v>341</v>
      </c>
      <c r="C209" s="2" t="s">
        <v>300</v>
      </c>
      <c r="D209" s="2" t="s">
        <v>431</v>
      </c>
      <c r="E209" s="6">
        <v>2700</v>
      </c>
      <c r="F209" s="18"/>
      <c r="G209" s="18"/>
      <c r="H209" s="18">
        <v>2444184.21</v>
      </c>
      <c r="I209" s="18"/>
      <c r="J209" s="18"/>
      <c r="K209" s="18"/>
      <c r="L209" s="13">
        <f t="shared" si="0"/>
        <v>2444184.21</v>
      </c>
      <c r="M209" s="8"/>
      <c r="N209" s="165"/>
    </row>
    <row r="210" spans="1:14" s="3" customFormat="1" ht="12.2" customHeight="1" x14ac:dyDescent="0.15">
      <c r="A210" s="1" t="s">
        <v>449</v>
      </c>
      <c r="B210" s="2" t="s">
        <v>341</v>
      </c>
      <c r="C210" s="2" t="s">
        <v>343</v>
      </c>
      <c r="D210" s="2" t="s">
        <v>431</v>
      </c>
      <c r="E210" s="6">
        <v>2800</v>
      </c>
      <c r="F210" s="18">
        <v>273993.62</v>
      </c>
      <c r="G210" s="18">
        <f>150330.31+0.01</f>
        <v>150330.32</v>
      </c>
      <c r="H210" s="18">
        <v>89022.23</v>
      </c>
      <c r="I210" s="18">
        <v>154793.24</v>
      </c>
      <c r="J210" s="18">
        <v>131695.32</v>
      </c>
      <c r="K210" s="18"/>
      <c r="L210" s="13">
        <f>SUM(F210:K210)</f>
        <v>799834.73</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18754899.329999998</v>
      </c>
      <c r="G212" s="38">
        <f t="shared" si="1"/>
        <v>10995630.770000001</v>
      </c>
      <c r="H212" s="38">
        <f t="shared" si="1"/>
        <v>4860280.4700000007</v>
      </c>
      <c r="I212" s="38">
        <f t="shared" si="1"/>
        <v>1200480.75</v>
      </c>
      <c r="J212" s="38">
        <f t="shared" si="1"/>
        <v>213805.76</v>
      </c>
      <c r="K212" s="38">
        <f t="shared" si="1"/>
        <v>13499.2</v>
      </c>
      <c r="L212" s="38">
        <f t="shared" si="1"/>
        <v>36038596.280000001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4946080.29</v>
      </c>
      <c r="G216" s="18">
        <v>2689818.71</v>
      </c>
      <c r="H216" s="18">
        <f>3808.26+1579+10184.03+1507.25+1452.46</f>
        <v>18531</v>
      </c>
      <c r="I216" s="18">
        <f>61928.44+21084.36+950+21270.47</f>
        <v>105233.27</v>
      </c>
      <c r="J216" s="18">
        <v>9143.6</v>
      </c>
      <c r="K216" s="18"/>
      <c r="L216" s="13">
        <f>SUM(F216:K216)</f>
        <v>7768806.8699999992</v>
      </c>
      <c r="M216" s="8"/>
      <c r="N216" s="165"/>
    </row>
    <row r="217" spans="1:14" s="3" customFormat="1" ht="12.2" customHeight="1" x14ac:dyDescent="0.15">
      <c r="A217" s="1" t="s">
        <v>439</v>
      </c>
      <c r="B217" s="2" t="s">
        <v>346</v>
      </c>
      <c r="C217" s="2" t="s">
        <v>291</v>
      </c>
      <c r="D217" s="2" t="s">
        <v>431</v>
      </c>
      <c r="E217" s="6">
        <v>1200</v>
      </c>
      <c r="F217" s="18">
        <v>1885183.81</v>
      </c>
      <c r="G217" s="18">
        <v>1113292.54</v>
      </c>
      <c r="H217" s="18">
        <f>123764.95+763159.88</f>
        <v>886924.83</v>
      </c>
      <c r="I217" s="18">
        <f>6202.61+9231.17</f>
        <v>15433.779999999999</v>
      </c>
      <c r="J217" s="18"/>
      <c r="K217" s="18">
        <v>181.25</v>
      </c>
      <c r="L217" s="13">
        <f>SUM(F217:K217)</f>
        <v>3901016.21</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243510.56</v>
      </c>
      <c r="G219" s="18">
        <v>141092.74</v>
      </c>
      <c r="H219" s="18">
        <v>18310.060000000001</v>
      </c>
      <c r="I219" s="18">
        <f>6746.49+295.02+159.09</f>
        <v>7200.6</v>
      </c>
      <c r="J219" s="18">
        <f>17493.6+6997.77</f>
        <v>24491.37</v>
      </c>
      <c r="K219" s="18">
        <v>2055</v>
      </c>
      <c r="L219" s="13">
        <f>SUM(F219:K219)</f>
        <v>436660.32999999996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791599.67</v>
      </c>
      <c r="G221" s="18">
        <v>496104.01</v>
      </c>
      <c r="H221" s="18">
        <v>30138.799999999999</v>
      </c>
      <c r="I221" s="18">
        <f>246.54+11489+260.79+2699.39+908.33</f>
        <v>15604.050000000001</v>
      </c>
      <c r="J221" s="18"/>
      <c r="K221" s="18">
        <v>100</v>
      </c>
      <c r="L221" s="13">
        <f t="shared" ref="L221:L227" si="2">SUM(F221:K221)</f>
        <v>1333546.5300000003</v>
      </c>
      <c r="M221" s="8"/>
      <c r="N221" s="165"/>
    </row>
    <row r="222" spans="1:14" s="3" customFormat="1" ht="12.2" customHeight="1" x14ac:dyDescent="0.15">
      <c r="A222" s="1" t="s">
        <v>443</v>
      </c>
      <c r="B222" s="2" t="s">
        <v>346</v>
      </c>
      <c r="C222" s="2" t="s">
        <v>295</v>
      </c>
      <c r="D222" s="2" t="s">
        <v>431</v>
      </c>
      <c r="E222" s="6">
        <v>2200</v>
      </c>
      <c r="F222" s="18">
        <v>248367.3</v>
      </c>
      <c r="G222" s="18">
        <f>137994.42+38603.03+2029.02</f>
        <v>178626.47</v>
      </c>
      <c r="H222" s="18">
        <v>4398.99</v>
      </c>
      <c r="I222" s="18">
        <f>1919.27+32596.54+1739+13559.81</f>
        <v>49814.619999999995</v>
      </c>
      <c r="J222" s="18"/>
      <c r="K222" s="18">
        <v>212</v>
      </c>
      <c r="L222" s="13">
        <f t="shared" si="2"/>
        <v>481419.38</v>
      </c>
      <c r="M222" s="8"/>
      <c r="N222" s="165"/>
    </row>
    <row r="223" spans="1:14" s="3" customFormat="1" ht="12.2" customHeight="1" x14ac:dyDescent="0.15">
      <c r="A223" s="1" t="s">
        <v>444</v>
      </c>
      <c r="B223" s="2" t="s">
        <v>346</v>
      </c>
      <c r="C223" s="2" t="s">
        <v>296</v>
      </c>
      <c r="D223" s="2" t="s">
        <v>431</v>
      </c>
      <c r="E223" s="6">
        <v>2300</v>
      </c>
      <c r="F223" s="18">
        <v>69831.360000000001</v>
      </c>
      <c r="G223" s="18">
        <v>39356.01</v>
      </c>
      <c r="H223" s="18">
        <v>160557.29</v>
      </c>
      <c r="I223" s="18">
        <v>12919.28</v>
      </c>
      <c r="J223" s="18">
        <v>320.52999999999997</v>
      </c>
      <c r="K223" s="18">
        <v>3528.54</v>
      </c>
      <c r="L223" s="13">
        <f t="shared" si="2"/>
        <v>286513.01000000007</v>
      </c>
      <c r="M223" s="8"/>
      <c r="N223" s="165"/>
    </row>
    <row r="224" spans="1:14" s="3" customFormat="1" ht="12.2" customHeight="1" x14ac:dyDescent="0.15">
      <c r="A224" s="1" t="s">
        <v>445</v>
      </c>
      <c r="B224" s="2" t="s">
        <v>346</v>
      </c>
      <c r="C224" s="2" t="s">
        <v>297</v>
      </c>
      <c r="D224" s="2" t="s">
        <v>431</v>
      </c>
      <c r="E224" s="6">
        <v>2400</v>
      </c>
      <c r="F224" s="18">
        <v>484702.36</v>
      </c>
      <c r="G224" s="18">
        <v>281773.90000000002</v>
      </c>
      <c r="H224" s="18">
        <f>5021.71+188.65+180.88+1001.81</f>
        <v>6393.0499999999993</v>
      </c>
      <c r="I224" s="18"/>
      <c r="J224" s="18"/>
      <c r="K224" s="18">
        <v>3285.98</v>
      </c>
      <c r="L224" s="13">
        <f t="shared" si="2"/>
        <v>776155.29</v>
      </c>
      <c r="M224" s="8"/>
      <c r="N224" s="165"/>
    </row>
    <row r="225" spans="1:14" s="3" customFormat="1" ht="12.2" customHeight="1" x14ac:dyDescent="0.15">
      <c r="A225" s="1" t="s">
        <v>446</v>
      </c>
      <c r="B225" s="2" t="s">
        <v>346</v>
      </c>
      <c r="C225" s="2" t="s">
        <v>298</v>
      </c>
      <c r="D225" s="2" t="s">
        <v>431</v>
      </c>
      <c r="E225" s="6">
        <v>2500</v>
      </c>
      <c r="F225" s="18">
        <v>136914.21</v>
      </c>
      <c r="G225" s="18">
        <v>78059.8</v>
      </c>
      <c r="H225" s="18">
        <v>11240.08</v>
      </c>
      <c r="I225" s="18"/>
      <c r="J225" s="18"/>
      <c r="K225" s="18"/>
      <c r="L225" s="13">
        <f t="shared" si="2"/>
        <v>226214.09</v>
      </c>
      <c r="M225" s="8"/>
      <c r="N225" s="165"/>
    </row>
    <row r="226" spans="1:14" s="3" customFormat="1" ht="12.2" customHeight="1" x14ac:dyDescent="0.15">
      <c r="A226" s="1" t="s">
        <v>447</v>
      </c>
      <c r="B226" s="2" t="s">
        <v>346</v>
      </c>
      <c r="C226" s="2" t="s">
        <v>299</v>
      </c>
      <c r="D226" s="2" t="s">
        <v>431</v>
      </c>
      <c r="E226" s="6">
        <v>2600</v>
      </c>
      <c r="F226" s="18">
        <v>746409.13</v>
      </c>
      <c r="G226" s="18">
        <v>406198.07</v>
      </c>
      <c r="H226" s="18">
        <f>171.52+1624.58+20066.45+4095+60463.12+15311+394629.1</f>
        <v>496360.76999999996</v>
      </c>
      <c r="I226" s="18">
        <f>26681.68+377.96+40189.18+74685.61+15041.8</f>
        <v>156976.22999999998</v>
      </c>
      <c r="J226" s="18">
        <v>22178.2</v>
      </c>
      <c r="K226" s="18">
        <v>33</v>
      </c>
      <c r="L226" s="13">
        <f t="shared" si="2"/>
        <v>1828155.4</v>
      </c>
      <c r="M226" s="8"/>
      <c r="N226" s="165"/>
    </row>
    <row r="227" spans="1:14" s="3" customFormat="1" ht="12.2" customHeight="1" x14ac:dyDescent="0.15">
      <c r="A227" s="1" t="s">
        <v>448</v>
      </c>
      <c r="B227" s="2" t="s">
        <v>346</v>
      </c>
      <c r="C227" s="2" t="s">
        <v>300</v>
      </c>
      <c r="D227" s="2" t="s">
        <v>431</v>
      </c>
      <c r="E227" s="6">
        <v>2700</v>
      </c>
      <c r="F227" s="18"/>
      <c r="G227" s="18"/>
      <c r="H227" s="18">
        <f>11823.67+1106.5+1130037.51</f>
        <v>1142967.68</v>
      </c>
      <c r="I227" s="18"/>
      <c r="J227" s="18"/>
      <c r="K227" s="18"/>
      <c r="L227" s="13">
        <f t="shared" si="2"/>
        <v>1142967.68</v>
      </c>
      <c r="M227" s="8"/>
      <c r="N227" s="165"/>
    </row>
    <row r="228" spans="1:14" s="3" customFormat="1" ht="12.2" customHeight="1" x14ac:dyDescent="0.15">
      <c r="A228" s="1" t="s">
        <v>449</v>
      </c>
      <c r="B228" s="2" t="s">
        <v>346</v>
      </c>
      <c r="C228" s="2" t="s">
        <v>343</v>
      </c>
      <c r="D228" s="2" t="s">
        <v>431</v>
      </c>
      <c r="E228" s="6">
        <v>2800</v>
      </c>
      <c r="F228" s="18">
        <v>133952.43</v>
      </c>
      <c r="G228" s="18">
        <f>73584.85</f>
        <v>73584.850000000006</v>
      </c>
      <c r="H228" s="18">
        <v>43521.98</v>
      </c>
      <c r="I228" s="18">
        <v>75676.7</v>
      </c>
      <c r="J228" s="18">
        <v>36398</v>
      </c>
      <c r="K228" s="18"/>
      <c r="L228" s="13">
        <f>SUM(F228:K228)</f>
        <v>363133.96</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9686551.120000001</v>
      </c>
      <c r="G230" s="38">
        <f>SUM(G216:G229)</f>
        <v>5497907.0999999996</v>
      </c>
      <c r="H230" s="38">
        <f>SUM(H216:H229)</f>
        <v>2819344.53</v>
      </c>
      <c r="I230" s="38">
        <f>SUM(I216:I229)</f>
        <v>438858.52999999997</v>
      </c>
      <c r="J230" s="38">
        <f>SUM(J216:J229)</f>
        <v>92531.7</v>
      </c>
      <c r="K230" s="38">
        <f t="shared" si="3"/>
        <v>9395.77</v>
      </c>
      <c r="L230" s="38">
        <f t="shared" si="3"/>
        <v>18544588.749999996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7316569.3700000001</v>
      </c>
      <c r="G234" s="18">
        <v>4016079.82</v>
      </c>
      <c r="H234" s="18">
        <f>1325+3529.76+2553.44+6953.45</f>
        <v>14361.650000000001</v>
      </c>
      <c r="I234" s="18">
        <f>176083.4+3629.72+12375+49107.79+17955</f>
        <v>259150.91</v>
      </c>
      <c r="J234" s="18">
        <v>12135.39</v>
      </c>
      <c r="K234" s="18">
        <v>4888.8</v>
      </c>
      <c r="L234" s="13">
        <f>SUM(F234:K234)</f>
        <v>11623185.940000001</v>
      </c>
      <c r="M234" s="8"/>
      <c r="N234" s="165"/>
    </row>
    <row r="235" spans="1:14" s="3" customFormat="1" ht="12.2" customHeight="1" x14ac:dyDescent="0.15">
      <c r="A235" s="1" t="s">
        <v>439</v>
      </c>
      <c r="B235" s="2" t="s">
        <v>350</v>
      </c>
      <c r="C235" s="2" t="s">
        <v>291</v>
      </c>
      <c r="D235" s="2" t="s">
        <v>431</v>
      </c>
      <c r="E235" s="6">
        <v>1200</v>
      </c>
      <c r="F235" s="18">
        <v>1434081.63</v>
      </c>
      <c r="G235" s="18">
        <v>1015060.66</v>
      </c>
      <c r="H235" s="18">
        <f>185647.42+1158009.92+4851.09</f>
        <v>1348508.43</v>
      </c>
      <c r="I235" s="18">
        <f>11008.21+13469.83</f>
        <v>24478.04</v>
      </c>
      <c r="J235" s="18">
        <v>489.87</v>
      </c>
      <c r="K235" s="18"/>
      <c r="L235" s="13">
        <f>SUM(F235:K235)</f>
        <v>3822618.63</v>
      </c>
      <c r="M235" s="8"/>
      <c r="N235" s="165"/>
    </row>
    <row r="236" spans="1:14" s="3" customFormat="1" ht="12.2" customHeight="1" x14ac:dyDescent="0.15">
      <c r="A236" s="1" t="s">
        <v>440</v>
      </c>
      <c r="B236" s="2" t="s">
        <v>350</v>
      </c>
      <c r="C236" s="2" t="s">
        <v>292</v>
      </c>
      <c r="D236" s="2" t="s">
        <v>431</v>
      </c>
      <c r="E236" s="6">
        <v>1300</v>
      </c>
      <c r="F236" s="18"/>
      <c r="G236" s="18"/>
      <c r="H236" s="18">
        <v>184946.65</v>
      </c>
      <c r="I236" s="18"/>
      <c r="J236" s="18"/>
      <c r="K236" s="18"/>
      <c r="L236" s="13">
        <f>SUM(F236:K236)</f>
        <v>184946.65</v>
      </c>
      <c r="M236" s="8"/>
      <c r="N236" s="165"/>
    </row>
    <row r="237" spans="1:14" s="3" customFormat="1" ht="12.2" customHeight="1" x14ac:dyDescent="0.15">
      <c r="A237" s="1" t="s">
        <v>441</v>
      </c>
      <c r="B237" s="2" t="s">
        <v>350</v>
      </c>
      <c r="C237" s="2" t="s">
        <v>293</v>
      </c>
      <c r="D237" s="2" t="s">
        <v>431</v>
      </c>
      <c r="E237" s="6">
        <v>1400</v>
      </c>
      <c r="F237" s="18">
        <v>780047.91</v>
      </c>
      <c r="G237" s="18">
        <v>450951.23</v>
      </c>
      <c r="H237" s="18">
        <f>50414.9+15883.64+87263.03</f>
        <v>153561.57</v>
      </c>
      <c r="I237" s="18">
        <f>41065.43+238.63</f>
        <v>41304.06</v>
      </c>
      <c r="J237" s="18">
        <f>25645.5+8814.45+27991.07</f>
        <v>62451.02</v>
      </c>
      <c r="K237" s="18">
        <v>53331.35</v>
      </c>
      <c r="L237" s="13">
        <f>SUM(F237:K237)</f>
        <v>1541647.1400000004</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1308692.5</v>
      </c>
      <c r="G239" s="18">
        <v>735184.48</v>
      </c>
      <c r="H239" s="18">
        <f>680+339442.08</f>
        <v>340122.08</v>
      </c>
      <c r="I239" s="18">
        <f>2932.13+1362.5</f>
        <v>4294.63</v>
      </c>
      <c r="J239" s="18"/>
      <c r="K239" s="18">
        <v>7255.03</v>
      </c>
      <c r="L239" s="13">
        <f t="shared" ref="L239:L245" si="4">SUM(F239:K239)</f>
        <v>2395548.7199999997</v>
      </c>
      <c r="M239" s="8"/>
      <c r="N239" s="165"/>
    </row>
    <row r="240" spans="1:14" s="3" customFormat="1" ht="12.2" customHeight="1" x14ac:dyDescent="0.15">
      <c r="A240" s="1" t="s">
        <v>443</v>
      </c>
      <c r="B240" s="2" t="s">
        <v>350</v>
      </c>
      <c r="C240" s="2" t="s">
        <v>295</v>
      </c>
      <c r="D240" s="2" t="s">
        <v>431</v>
      </c>
      <c r="E240" s="6">
        <v>2200</v>
      </c>
      <c r="F240" s="18">
        <v>269927.28000000003</v>
      </c>
      <c r="G240" s="18">
        <f>175889.26+82237.17+3043.53</f>
        <v>261169.96</v>
      </c>
      <c r="H240" s="18">
        <f>5890.71+6598.49</f>
        <v>12489.2</v>
      </c>
      <c r="I240" s="18">
        <f>2480.75+2545+61814.33+20339.72</f>
        <v>87179.8</v>
      </c>
      <c r="J240" s="18"/>
      <c r="K240" s="18">
        <v>571</v>
      </c>
      <c r="L240" s="13">
        <f t="shared" si="4"/>
        <v>631337.24</v>
      </c>
      <c r="M240" s="8"/>
      <c r="N240" s="165"/>
    </row>
    <row r="241" spans="1:14" s="3" customFormat="1" ht="12.2" customHeight="1" x14ac:dyDescent="0.15">
      <c r="A241" s="1" t="s">
        <v>444</v>
      </c>
      <c r="B241" s="2" t="s">
        <v>350</v>
      </c>
      <c r="C241" s="2" t="s">
        <v>296</v>
      </c>
      <c r="D241" s="2" t="s">
        <v>431</v>
      </c>
      <c r="E241" s="6">
        <v>2300</v>
      </c>
      <c r="F241" s="18">
        <v>104747.04</v>
      </c>
      <c r="G241" s="18">
        <v>59034.01</v>
      </c>
      <c r="H241" s="18">
        <v>240835.93</v>
      </c>
      <c r="I241" s="18">
        <v>19378.91</v>
      </c>
      <c r="J241" s="18">
        <v>480.79</v>
      </c>
      <c r="K241" s="18">
        <v>5292.81</v>
      </c>
      <c r="L241" s="13">
        <f t="shared" si="4"/>
        <v>429769.48999999993</v>
      </c>
      <c r="M241" s="8"/>
      <c r="N241" s="165"/>
    </row>
    <row r="242" spans="1:14" s="3" customFormat="1" ht="12.2" customHeight="1" x14ac:dyDescent="0.15">
      <c r="A242" s="1" t="s">
        <v>445</v>
      </c>
      <c r="B242" s="2" t="s">
        <v>350</v>
      </c>
      <c r="C242" s="2" t="s">
        <v>297</v>
      </c>
      <c r="D242" s="2" t="s">
        <v>431</v>
      </c>
      <c r="E242" s="6">
        <v>2400</v>
      </c>
      <c r="F242" s="18">
        <v>1071964.3799999999</v>
      </c>
      <c r="G242" s="18">
        <v>614090.71</v>
      </c>
      <c r="H242" s="18">
        <f>4740+24446.87+5941.88+3557.19+1502.71</f>
        <v>40188.65</v>
      </c>
      <c r="I242" s="18">
        <v>11811.13</v>
      </c>
      <c r="J242" s="18"/>
      <c r="K242" s="18">
        <v>4342</v>
      </c>
      <c r="L242" s="13">
        <f t="shared" si="4"/>
        <v>1742396.8699999996</v>
      </c>
      <c r="M242" s="8"/>
      <c r="N242" s="165"/>
    </row>
    <row r="243" spans="1:14" s="3" customFormat="1" ht="12.2" customHeight="1" x14ac:dyDescent="0.15">
      <c r="A243" s="1" t="s">
        <v>446</v>
      </c>
      <c r="B243" s="2" t="s">
        <v>350</v>
      </c>
      <c r="C243" s="2" t="s">
        <v>298</v>
      </c>
      <c r="D243" s="2" t="s">
        <v>431</v>
      </c>
      <c r="E243" s="6">
        <v>2500</v>
      </c>
      <c r="F243" s="18">
        <v>205371.31</v>
      </c>
      <c r="G243" s="18">
        <v>117208.86</v>
      </c>
      <c r="H243" s="18">
        <f>16860.12</f>
        <v>16860.12</v>
      </c>
      <c r="I243" s="18"/>
      <c r="J243" s="18"/>
      <c r="K243" s="18"/>
      <c r="L243" s="13">
        <f t="shared" si="4"/>
        <v>339440.29</v>
      </c>
      <c r="M243" s="8"/>
      <c r="N243" s="165"/>
    </row>
    <row r="244" spans="1:14" s="3" customFormat="1" ht="12.2" customHeight="1" x14ac:dyDescent="0.15">
      <c r="A244" s="1" t="s">
        <v>447</v>
      </c>
      <c r="B244" s="2" t="s">
        <v>350</v>
      </c>
      <c r="C244" s="2" t="s">
        <v>299</v>
      </c>
      <c r="D244" s="2" t="s">
        <v>431</v>
      </c>
      <c r="E244" s="6">
        <v>2600</v>
      </c>
      <c r="F244" s="18">
        <v>1057195.54</v>
      </c>
      <c r="G244" s="18">
        <v>571764.18999999994</v>
      </c>
      <c r="H244" s="18">
        <f>39665.8+6957.72+24533.22+197021.76+21048.87+519.57+579182.36</f>
        <v>868929.3</v>
      </c>
      <c r="I244" s="18">
        <f>97213.4+107679.14+219750.02+22817.82</f>
        <v>447460.37999999995</v>
      </c>
      <c r="J244" s="18">
        <v>59793.68</v>
      </c>
      <c r="K244" s="18">
        <v>49.5</v>
      </c>
      <c r="L244" s="13">
        <f t="shared" si="4"/>
        <v>3005192.5900000003</v>
      </c>
      <c r="M244" s="8"/>
      <c r="N244" s="165"/>
    </row>
    <row r="245" spans="1:14" s="3" customFormat="1" ht="12.2" customHeight="1" x14ac:dyDescent="0.15">
      <c r="A245" s="1" t="s">
        <v>448</v>
      </c>
      <c r="B245" s="2" t="s">
        <v>350</v>
      </c>
      <c r="C245" s="2" t="s">
        <v>300</v>
      </c>
      <c r="D245" s="2" t="s">
        <v>431</v>
      </c>
      <c r="E245" s="6">
        <v>2700</v>
      </c>
      <c r="F245" s="18"/>
      <c r="G245" s="18"/>
      <c r="H245" s="18">
        <f>115467.26+2287.89+19120.88+1295472.95</f>
        <v>1432348.98</v>
      </c>
      <c r="I245" s="18"/>
      <c r="J245" s="18"/>
      <c r="K245" s="18"/>
      <c r="L245" s="13">
        <f t="shared" si="4"/>
        <v>1432348.98</v>
      </c>
      <c r="M245" s="8"/>
      <c r="N245" s="165"/>
    </row>
    <row r="246" spans="1:14" s="3" customFormat="1" ht="12.2" customHeight="1" x14ac:dyDescent="0.15">
      <c r="A246" s="1" t="s">
        <v>449</v>
      </c>
      <c r="B246" s="2" t="s">
        <v>350</v>
      </c>
      <c r="C246" s="2" t="s">
        <v>343</v>
      </c>
      <c r="D246" s="2" t="s">
        <v>431</v>
      </c>
      <c r="E246" s="6">
        <v>2800</v>
      </c>
      <c r="F246" s="18">
        <v>200928.66</v>
      </c>
      <c r="G246" s="18">
        <f>113867+0.01</f>
        <v>113867.01</v>
      </c>
      <c r="H246" s="18">
        <v>65282.97</v>
      </c>
      <c r="I246" s="18">
        <v>113515.04</v>
      </c>
      <c r="J246" s="18">
        <f>262254.62-0.01</f>
        <v>262254.61</v>
      </c>
      <c r="K246" s="18"/>
      <c r="L246" s="13">
        <f>SUM(F246:K246)</f>
        <v>755848.29</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13749525.620000001</v>
      </c>
      <c r="G248" s="38">
        <f t="shared" si="5"/>
        <v>7954410.9299999997</v>
      </c>
      <c r="H248" s="38">
        <f t="shared" si="5"/>
        <v>4718435.53</v>
      </c>
      <c r="I248" s="38">
        <f t="shared" si="5"/>
        <v>1008572.8999999999</v>
      </c>
      <c r="J248" s="38">
        <f t="shared" si="5"/>
        <v>397605.36</v>
      </c>
      <c r="K248" s="38">
        <f t="shared" si="5"/>
        <v>75730.489999999991</v>
      </c>
      <c r="L248" s="38">
        <f t="shared" si="5"/>
        <v>27904280.829999994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v>45825.03</v>
      </c>
      <c r="G252" s="18">
        <v>42363.360000000001</v>
      </c>
      <c r="H252" s="18">
        <v>11200</v>
      </c>
      <c r="I252" s="18">
        <f>1834+1056.9</f>
        <v>2890.9</v>
      </c>
      <c r="J252" s="18">
        <v>0</v>
      </c>
      <c r="K252" s="18"/>
      <c r="L252" s="13">
        <f t="shared" si="6"/>
        <v>102279.29</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45825.03</v>
      </c>
      <c r="G257" s="38">
        <f t="shared" si="7"/>
        <v>42363.360000000001</v>
      </c>
      <c r="H257" s="38">
        <f t="shared" si="7"/>
        <v>11200</v>
      </c>
      <c r="I257" s="38">
        <f t="shared" si="7"/>
        <v>2890.9</v>
      </c>
      <c r="J257" s="38">
        <f t="shared" si="7"/>
        <v>0</v>
      </c>
      <c r="K257" s="38">
        <f t="shared" si="7"/>
        <v>0</v>
      </c>
      <c r="L257" s="38">
        <f>SUM(F257:K257)</f>
        <v>102279.29</v>
      </c>
      <c r="M257" s="8"/>
      <c r="N257" s="165"/>
    </row>
    <row r="258" spans="1:14" s="3" customFormat="1" ht="12.2" customHeight="1" thickTop="1" x14ac:dyDescent="0.15">
      <c r="A258" s="35" t="s">
        <v>462</v>
      </c>
      <c r="B258" s="37">
        <v>10</v>
      </c>
      <c r="C258" s="37">
        <v>8</v>
      </c>
      <c r="D258" s="36" t="s">
        <v>431</v>
      </c>
      <c r="E258" s="37"/>
      <c r="F258" s="38">
        <f t="shared" ref="F258:L258" si="8">F212+F230+F248+F257</f>
        <v>42236801.100000001</v>
      </c>
      <c r="G258" s="38">
        <f t="shared" si="8"/>
        <v>24490312.16</v>
      </c>
      <c r="H258" s="38">
        <f t="shared" si="8"/>
        <v>12409260.530000001</v>
      </c>
      <c r="I258" s="38">
        <f t="shared" si="8"/>
        <v>2650803.0799999996</v>
      </c>
      <c r="J258" s="38">
        <f t="shared" si="8"/>
        <v>703942.82000000007</v>
      </c>
      <c r="K258" s="38">
        <f t="shared" si="8"/>
        <v>98625.459999999992</v>
      </c>
      <c r="L258" s="38">
        <f t="shared" si="8"/>
        <v>82589745.150000006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1605000</v>
      </c>
      <c r="L261" s="13">
        <f>SUM(F261:K261)</f>
        <v>1605000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113410.21+363408.79</f>
        <v>476819</v>
      </c>
      <c r="L262" s="13">
        <f>SUM(F262:K262)</f>
        <v>476819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4443.49</v>
      </c>
      <c r="L264" s="13">
        <f>SUM(F264:K264)</f>
        <v>4443.49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870000</v>
      </c>
      <c r="L267" s="13">
        <f t="shared" si="9"/>
        <v>870000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2956262.49</v>
      </c>
      <c r="L271" s="38">
        <f t="shared" si="9"/>
        <v>2956262.49</v>
      </c>
      <c r="M271" s="8"/>
      <c r="N271" s="165"/>
    </row>
    <row r="272" spans="1:14" s="33" customFormat="1" ht="12.2" customHeight="1" thickTop="1" x14ac:dyDescent="0.2">
      <c r="A272" s="40" t="s">
        <v>464</v>
      </c>
      <c r="B272" s="37">
        <v>10</v>
      </c>
      <c r="C272" s="37">
        <v>18</v>
      </c>
      <c r="D272" s="36" t="s">
        <v>431</v>
      </c>
      <c r="E272" s="37"/>
      <c r="F272" s="39">
        <f t="shared" ref="F272:L272" si="11">F258+F271</f>
        <v>42236801.100000001</v>
      </c>
      <c r="G272" s="39">
        <f t="shared" si="11"/>
        <v>24490312.16</v>
      </c>
      <c r="H272" s="39">
        <f t="shared" si="11"/>
        <v>12409260.530000001</v>
      </c>
      <c r="I272" s="39">
        <f t="shared" si="11"/>
        <v>2650803.0799999996</v>
      </c>
      <c r="J272" s="39">
        <f t="shared" si="11"/>
        <v>703942.82000000007</v>
      </c>
      <c r="K272" s="39">
        <f t="shared" si="11"/>
        <v>3054887.95</v>
      </c>
      <c r="L272" s="39">
        <f t="shared" si="11"/>
        <v>85546007.640000001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51573.08+22760+39190.4+233969.17</f>
        <v>347492.65</v>
      </c>
      <c r="G277" s="18"/>
      <c r="H277" s="18"/>
      <c r="I277" s="18">
        <f>3299.48+5948.31+795.83+3299.48+5948.33+795.83+3699.48+5948.31+795.84+4585.6</f>
        <v>35116.490000000005</v>
      </c>
      <c r="J277" s="18"/>
      <c r="K277" s="18"/>
      <c r="L277" s="13">
        <f>SUM(F277:K277)</f>
        <v>382609.14</v>
      </c>
      <c r="M277" s="8"/>
      <c r="N277" s="165"/>
    </row>
    <row r="278" spans="1:14" s="3" customFormat="1" ht="12.2" customHeight="1" x14ac:dyDescent="0.15">
      <c r="A278" s="1" t="s">
        <v>439</v>
      </c>
      <c r="B278" s="2" t="s">
        <v>357</v>
      </c>
      <c r="C278" s="2" t="s">
        <v>291</v>
      </c>
      <c r="D278" s="2" t="s">
        <v>431</v>
      </c>
      <c r="E278" s="6">
        <v>1200</v>
      </c>
      <c r="F278" s="18">
        <f>266511.07+39550.45+261047.91</f>
        <v>567109.43000000005</v>
      </c>
      <c r="G278" s="18"/>
      <c r="H278" s="18"/>
      <c r="I278" s="18">
        <f>14936.85+1089.92+626.62+1753.38+7605</f>
        <v>26011.77</v>
      </c>
      <c r="J278" s="18"/>
      <c r="K278" s="18"/>
      <c r="L278" s="13">
        <f>SUM(F278:K278)</f>
        <v>593121.20000000007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30684.08+40159.45+30808.76</f>
        <v>101652.29</v>
      </c>
      <c r="G280" s="18"/>
      <c r="H280" s="18"/>
      <c r="I280" s="18"/>
      <c r="J280" s="18"/>
      <c r="K280" s="18"/>
      <c r="L280" s="13">
        <f>SUM(F280:K280)</f>
        <v>101652.29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24646.14</v>
      </c>
      <c r="G282" s="18">
        <v>382.5</v>
      </c>
      <c r="H282" s="18"/>
      <c r="I282" s="18"/>
      <c r="J282" s="18"/>
      <c r="K282" s="18"/>
      <c r="L282" s="13">
        <f t="shared" ref="L282:L288" si="12">SUM(F282:K282)</f>
        <v>25028.639999999999</v>
      </c>
      <c r="M282" s="8"/>
      <c r="N282" s="165"/>
    </row>
    <row r="283" spans="1:14" s="3" customFormat="1" ht="12.2" customHeight="1" x14ac:dyDescent="0.15">
      <c r="A283" s="1" t="s">
        <v>443</v>
      </c>
      <c r="B283" s="2" t="s">
        <v>357</v>
      </c>
      <c r="C283" s="2" t="s">
        <v>295</v>
      </c>
      <c r="D283" s="2" t="s">
        <v>431</v>
      </c>
      <c r="E283" s="6">
        <v>2200</v>
      </c>
      <c r="F283" s="18">
        <f>9887.1+10260-180+1750+1000+1500+750</f>
        <v>24967.1</v>
      </c>
      <c r="G283" s="18">
        <v>1051</v>
      </c>
      <c r="H283" s="18">
        <f>25574.4+12150.08+12150.06+12150.08</f>
        <v>62024.62</v>
      </c>
      <c r="I283" s="18">
        <f>287.97+1021.37+9192.3</f>
        <v>10501.64</v>
      </c>
      <c r="J283" s="18">
        <v>4045.05</v>
      </c>
      <c r="K283" s="18"/>
      <c r="L283" s="13">
        <f t="shared" si="12"/>
        <v>102589.41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v>78000</v>
      </c>
      <c r="G285" s="18"/>
      <c r="H285" s="18"/>
      <c r="I285" s="18"/>
      <c r="J285" s="18"/>
      <c r="K285" s="18"/>
      <c r="L285" s="13">
        <f t="shared" si="12"/>
        <v>78000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f>19824+6199.56+10328.2+7203+12605</f>
        <v>56159.76</v>
      </c>
      <c r="I287" s="18"/>
      <c r="J287" s="18"/>
      <c r="K287" s="18"/>
      <c r="L287" s="13">
        <f t="shared" si="12"/>
        <v>56159.76</v>
      </c>
      <c r="M287" s="8"/>
      <c r="N287" s="165"/>
    </row>
    <row r="288" spans="1:14" s="3" customFormat="1" ht="12.2" customHeight="1" x14ac:dyDescent="0.15">
      <c r="A288" s="1" t="s">
        <v>448</v>
      </c>
      <c r="B288" s="2" t="s">
        <v>357</v>
      </c>
      <c r="C288" s="2" t="s">
        <v>300</v>
      </c>
      <c r="D288" s="2" t="s">
        <v>431</v>
      </c>
      <c r="E288" s="6">
        <v>2700</v>
      </c>
      <c r="F288" s="18"/>
      <c r="G288" s="18"/>
      <c r="H288" s="18">
        <f>42231.6+6944.76+6944.76+6944.75</f>
        <v>63065.87</v>
      </c>
      <c r="I288" s="18"/>
      <c r="J288" s="18"/>
      <c r="K288" s="18"/>
      <c r="L288" s="13">
        <f t="shared" si="12"/>
        <v>63065.87</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1143867.6100000001</v>
      </c>
      <c r="G291" s="39">
        <f t="shared" si="13"/>
        <v>1433.5</v>
      </c>
      <c r="H291" s="39">
        <f t="shared" si="13"/>
        <v>181250.25</v>
      </c>
      <c r="I291" s="39">
        <f t="shared" si="13"/>
        <v>71629.900000000009</v>
      </c>
      <c r="J291" s="39">
        <f t="shared" si="13"/>
        <v>4045.05</v>
      </c>
      <c r="K291" s="39">
        <f t="shared" si="13"/>
        <v>0</v>
      </c>
      <c r="L291" s="38">
        <f t="shared" si="13"/>
        <v>1402226.31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48248</v>
      </c>
      <c r="G296" s="18"/>
      <c r="H296" s="18">
        <f>5800+3650</f>
        <v>9450</v>
      </c>
      <c r="I296" s="18">
        <v>3600</v>
      </c>
      <c r="J296" s="18"/>
      <c r="K296" s="18">
        <v>1350</v>
      </c>
      <c r="L296" s="13">
        <f>SUM(F296:K296)</f>
        <v>62648</v>
      </c>
      <c r="M296" s="8"/>
      <c r="N296" s="165"/>
    </row>
    <row r="297" spans="1:14" s="3" customFormat="1" ht="12.2" customHeight="1" x14ac:dyDescent="0.15">
      <c r="A297" s="1" t="s">
        <v>439</v>
      </c>
      <c r="B297" s="2" t="s">
        <v>358</v>
      </c>
      <c r="C297" s="2" t="s">
        <v>291</v>
      </c>
      <c r="D297" s="2" t="s">
        <v>431</v>
      </c>
      <c r="E297" s="6">
        <v>1200</v>
      </c>
      <c r="F297" s="18">
        <v>151850.95000000001</v>
      </c>
      <c r="G297" s="18"/>
      <c r="H297" s="18"/>
      <c r="I297" s="18">
        <v>7302.46</v>
      </c>
      <c r="J297" s="18"/>
      <c r="K297" s="18"/>
      <c r="L297" s="13">
        <f>SUM(F297:K297)</f>
        <v>159153.41</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18508.439999999999</v>
      </c>
      <c r="G299" s="18"/>
      <c r="H299" s="18"/>
      <c r="I299" s="18"/>
      <c r="J299" s="18"/>
      <c r="K299" s="18"/>
      <c r="L299" s="13">
        <f>SUM(F299:K299)</f>
        <v>18508.439999999999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48033.96+75574.98</f>
        <v>123608.94</v>
      </c>
      <c r="G301" s="18">
        <f>34265.7+1559.3+5781.49+363.38+15885.86</f>
        <v>57855.729999999996</v>
      </c>
      <c r="H301" s="18"/>
      <c r="I301" s="18"/>
      <c r="J301" s="18"/>
      <c r="K301" s="18"/>
      <c r="L301" s="13">
        <f t="shared" ref="L301:L307" si="14">SUM(F301:K301)</f>
        <v>181464.66999999998</v>
      </c>
      <c r="M301" s="8"/>
      <c r="N301" s="165"/>
    </row>
    <row r="302" spans="1:14" s="3" customFormat="1" ht="12.2" customHeight="1" x14ac:dyDescent="0.15">
      <c r="A302" s="1" t="s">
        <v>443</v>
      </c>
      <c r="B302" s="2" t="s">
        <v>358</v>
      </c>
      <c r="C302" s="2" t="s">
        <v>295</v>
      </c>
      <c r="D302" s="2" t="s">
        <v>431</v>
      </c>
      <c r="E302" s="6">
        <v>2200</v>
      </c>
      <c r="F302" s="18">
        <f>3060+180+4750</f>
        <v>7990</v>
      </c>
      <c r="G302" s="18">
        <v>99.85</v>
      </c>
      <c r="H302" s="18">
        <v>7905.6</v>
      </c>
      <c r="I302" s="18">
        <f>140.78+499.34+4494.01</f>
        <v>5134.13</v>
      </c>
      <c r="J302" s="18">
        <v>1977.58</v>
      </c>
      <c r="K302" s="18"/>
      <c r="L302" s="13">
        <f t="shared" si="14"/>
        <v>23107.160000000003</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v>13456</v>
      </c>
      <c r="I306" s="18"/>
      <c r="J306" s="18"/>
      <c r="K306" s="18"/>
      <c r="L306" s="13">
        <f t="shared" si="14"/>
        <v>13456</v>
      </c>
      <c r="M306" s="8"/>
      <c r="N306" s="165"/>
    </row>
    <row r="307" spans="1:14" s="3" customFormat="1" ht="12.2" customHeight="1" x14ac:dyDescent="0.15">
      <c r="A307" s="1" t="s">
        <v>448</v>
      </c>
      <c r="B307" s="2" t="s">
        <v>358</v>
      </c>
      <c r="C307" s="2" t="s">
        <v>300</v>
      </c>
      <c r="D307" s="2" t="s">
        <v>431</v>
      </c>
      <c r="E307" s="6">
        <v>2700</v>
      </c>
      <c r="F307" s="18"/>
      <c r="G307" s="18"/>
      <c r="H307" s="18">
        <f>10557.9+5208.55</f>
        <v>15766.45</v>
      </c>
      <c r="I307" s="18"/>
      <c r="J307" s="18"/>
      <c r="K307" s="18"/>
      <c r="L307" s="13">
        <f t="shared" si="14"/>
        <v>15766.45</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350206.33</v>
      </c>
      <c r="G310" s="39">
        <f t="shared" si="15"/>
        <v>57955.579999999994</v>
      </c>
      <c r="H310" s="39">
        <f t="shared" si="15"/>
        <v>46578.05</v>
      </c>
      <c r="I310" s="39">
        <f t="shared" si="15"/>
        <v>16036.59</v>
      </c>
      <c r="J310" s="39">
        <f t="shared" si="15"/>
        <v>1977.58</v>
      </c>
      <c r="K310" s="39">
        <f t="shared" si="15"/>
        <v>1350</v>
      </c>
      <c r="L310" s="38">
        <f t="shared" si="15"/>
        <v>474104.13000000006</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v>396983.85</v>
      </c>
      <c r="G316" s="18"/>
      <c r="H316" s="18"/>
      <c r="I316" s="18">
        <v>10953.69</v>
      </c>
      <c r="J316" s="18"/>
      <c r="K316" s="18"/>
      <c r="L316" s="13">
        <f>SUM(F316:K316)</f>
        <v>407937.54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39093.06+4300</f>
        <v>43393.06</v>
      </c>
      <c r="G320" s="18">
        <f>2990.67+4035.12+8217.42</f>
        <v>15243.21</v>
      </c>
      <c r="H320" s="18">
        <v>8600</v>
      </c>
      <c r="I320" s="18"/>
      <c r="J320" s="18"/>
      <c r="K320" s="18"/>
      <c r="L320" s="13">
        <f t="shared" ref="L320:L326" si="16">SUM(F320:K320)</f>
        <v>67236.26999999999</v>
      </c>
      <c r="M320" s="8"/>
      <c r="N320" s="165"/>
    </row>
    <row r="321" spans="1:14" s="3" customFormat="1" ht="12.2" customHeight="1" x14ac:dyDescent="0.15">
      <c r="A321" s="1" t="s">
        <v>443</v>
      </c>
      <c r="B321" s="2" t="s">
        <v>359</v>
      </c>
      <c r="C321" s="2" t="s">
        <v>295</v>
      </c>
      <c r="D321" s="2" t="s">
        <v>431</v>
      </c>
      <c r="E321" s="6">
        <v>2200</v>
      </c>
      <c r="F321" s="18">
        <f>180+3570+5250+47500</f>
        <v>56500</v>
      </c>
      <c r="G321" s="18">
        <f>11986.15</f>
        <v>11986.15</v>
      </c>
      <c r="H321" s="18">
        <v>9720</v>
      </c>
      <c r="I321" s="18">
        <f>211.18+749+6741.02+0.01</f>
        <v>7701.2100000000009</v>
      </c>
      <c r="J321" s="18">
        <v>2966.37</v>
      </c>
      <c r="K321" s="18"/>
      <c r="L321" s="13">
        <f t="shared" si="16"/>
        <v>88873.73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35255</v>
      </c>
      <c r="I325" s="18"/>
      <c r="J325" s="18"/>
      <c r="K325" s="18"/>
      <c r="L325" s="13">
        <f t="shared" si="16"/>
        <v>35255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496876.91</v>
      </c>
      <c r="G329" s="39">
        <f t="shared" si="17"/>
        <v>27229.360000000001</v>
      </c>
      <c r="H329" s="39">
        <f t="shared" si="17"/>
        <v>53575</v>
      </c>
      <c r="I329" s="39">
        <f t="shared" si="17"/>
        <v>18654.900000000001</v>
      </c>
      <c r="J329" s="39">
        <f t="shared" si="17"/>
        <v>2966.37</v>
      </c>
      <c r="K329" s="39">
        <f t="shared" si="17"/>
        <v>0</v>
      </c>
      <c r="L329" s="38">
        <f t="shared" si="17"/>
        <v>599302.53999999992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f>26091.2</f>
        <v>26091.200000000001</v>
      </c>
      <c r="G334" s="18">
        <f>1944.63+5343.35</f>
        <v>7287.9800000000005</v>
      </c>
      <c r="H334" s="18">
        <v>345.57</v>
      </c>
      <c r="I334" s="18">
        <f>482.23+350.36+639.79</f>
        <v>1472.38</v>
      </c>
      <c r="J334" s="18">
        <v>5746.6</v>
      </c>
      <c r="K334" s="18"/>
      <c r="L334" s="13">
        <f t="shared" si="18"/>
        <v>40943.729999999996</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26091.200000000001</v>
      </c>
      <c r="G338" s="38">
        <f t="shared" si="19"/>
        <v>7287.9800000000005</v>
      </c>
      <c r="H338" s="38">
        <f t="shared" si="19"/>
        <v>345.57</v>
      </c>
      <c r="I338" s="38">
        <f t="shared" si="19"/>
        <v>1472.38</v>
      </c>
      <c r="J338" s="38">
        <f t="shared" si="19"/>
        <v>5746.6</v>
      </c>
      <c r="K338" s="38">
        <f t="shared" si="19"/>
        <v>0</v>
      </c>
      <c r="L338" s="38">
        <f t="shared" si="18"/>
        <v>40943.729999999996</v>
      </c>
      <c r="M338" s="8"/>
      <c r="N338" s="165"/>
    </row>
    <row r="339" spans="1:43" s="3" customFormat="1" ht="12.2" customHeight="1" thickTop="1" x14ac:dyDescent="0.15">
      <c r="A339" s="35" t="s">
        <v>468</v>
      </c>
      <c r="B339" s="37">
        <v>14</v>
      </c>
      <c r="C339" s="37">
        <v>7</v>
      </c>
      <c r="D339" s="36" t="s">
        <v>431</v>
      </c>
      <c r="E339" s="37"/>
      <c r="F339" s="38">
        <f t="shared" ref="F339:L339" si="20">F291+F310+F329+F338</f>
        <v>2017042.05</v>
      </c>
      <c r="G339" s="38">
        <f t="shared" si="20"/>
        <v>93906.42</v>
      </c>
      <c r="H339" s="38">
        <f t="shared" si="20"/>
        <v>281748.87</v>
      </c>
      <c r="I339" s="38">
        <f t="shared" si="20"/>
        <v>107793.77000000002</v>
      </c>
      <c r="J339" s="38">
        <f t="shared" si="20"/>
        <v>14735.6</v>
      </c>
      <c r="K339" s="38">
        <f t="shared" si="20"/>
        <v>1350</v>
      </c>
      <c r="L339" s="38">
        <f t="shared" si="20"/>
        <v>2516576.71</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2017042.05</v>
      </c>
      <c r="G353" s="38">
        <f>G339</f>
        <v>93906.42</v>
      </c>
      <c r="H353" s="38">
        <f>H339</f>
        <v>281748.87</v>
      </c>
      <c r="I353" s="38">
        <f>I339</f>
        <v>107793.77000000002</v>
      </c>
      <c r="J353" s="38">
        <f>J339</f>
        <v>14735.6</v>
      </c>
      <c r="K353" s="38">
        <f>K339+K352</f>
        <v>1350</v>
      </c>
      <c r="L353" s="38">
        <f>L339+L352</f>
        <v>2516576.71</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88655.17+202561.97</f>
        <v>291217.14</v>
      </c>
      <c r="G359" s="18">
        <f>23900.3</f>
        <v>23900.3</v>
      </c>
      <c r="H359" s="18">
        <v>21194.85</v>
      </c>
      <c r="I359" s="18">
        <v>370927.99</v>
      </c>
      <c r="J359" s="18">
        <f>69984.07+12198.6</f>
        <v>82182.670000000013</v>
      </c>
      <c r="K359" s="18">
        <v>1271.1500000000001</v>
      </c>
      <c r="L359" s="13">
        <f>SUM(F359:K359)</f>
        <v>790694.10000000009</v>
      </c>
      <c r="M359" s="8"/>
      <c r="N359" s="165"/>
    </row>
    <row r="360" spans="1:22" s="3" customFormat="1" ht="12.2" customHeight="1" x14ac:dyDescent="0.15">
      <c r="A360" s="1" t="s">
        <v>542</v>
      </c>
      <c r="B360" s="2" t="s">
        <v>366</v>
      </c>
      <c r="C360" s="6">
        <v>2</v>
      </c>
      <c r="D360" s="2" t="s">
        <v>431</v>
      </c>
      <c r="E360" s="6"/>
      <c r="F360" s="18">
        <f>43342.53+104895.98</f>
        <v>148238.51</v>
      </c>
      <c r="G360" s="18">
        <f>11950.15+5315.67</f>
        <v>17265.82</v>
      </c>
      <c r="H360" s="18">
        <v>10361.93</v>
      </c>
      <c r="I360" s="18">
        <v>181342.57</v>
      </c>
      <c r="J360" s="18">
        <f>5963.76+14325</f>
        <v>20288.760000000002</v>
      </c>
      <c r="K360" s="18">
        <v>621.45000000000005</v>
      </c>
      <c r="L360" s="13">
        <f>SUM(F360:K360)</f>
        <v>378119.04000000004</v>
      </c>
      <c r="M360" s="8"/>
      <c r="N360" s="165"/>
    </row>
    <row r="361" spans="1:22" s="3" customFormat="1" ht="12.2" customHeight="1" x14ac:dyDescent="0.15">
      <c r="A361" s="3" t="s">
        <v>543</v>
      </c>
      <c r="B361" s="2" t="s">
        <v>366</v>
      </c>
      <c r="C361" s="6">
        <v>3</v>
      </c>
      <c r="D361" s="2" t="s">
        <v>431</v>
      </c>
      <c r="E361" s="6"/>
      <c r="F361" s="18">
        <f>65013.78+108315.11</f>
        <v>173328.89</v>
      </c>
      <c r="G361" s="18">
        <f>37605.1+13941.84+22661.55</f>
        <v>74208.490000000005</v>
      </c>
      <c r="H361" s="18">
        <v>15542.89</v>
      </c>
      <c r="I361" s="18">
        <v>272013.86</v>
      </c>
      <c r="J361" s="18">
        <f>21088.11+8945.64</f>
        <v>30033.75</v>
      </c>
      <c r="K361" s="18">
        <v>932.17</v>
      </c>
      <c r="L361" s="13">
        <f>SUM(F361:K361)</f>
        <v>566060.05000000005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612784.54</v>
      </c>
      <c r="G363" s="38">
        <f t="shared" si="22"/>
        <v>115374.61</v>
      </c>
      <c r="H363" s="38">
        <f t="shared" si="22"/>
        <v>47099.67</v>
      </c>
      <c r="I363" s="38">
        <f t="shared" si="22"/>
        <v>824284.42</v>
      </c>
      <c r="J363" s="38">
        <f t="shared" si="22"/>
        <v>132505.18000000002</v>
      </c>
      <c r="K363" s="38">
        <f t="shared" si="22"/>
        <v>2824.77</v>
      </c>
      <c r="L363" s="38">
        <f t="shared" si="22"/>
        <v>1734873.1900000002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317747.3</v>
      </c>
      <c r="G368" s="18">
        <v>155343.13</v>
      </c>
      <c r="H368" s="18">
        <v>233014.69</v>
      </c>
      <c r="I368" s="13">
        <f>SUM(F368:H368)</f>
        <v>706105.12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53180.69</v>
      </c>
      <c r="G369" s="53">
        <v>25999.45</v>
      </c>
      <c r="H369" s="53">
        <v>38999.160000000003</v>
      </c>
      <c r="I369" s="13">
        <f>SUM(F369:H369)</f>
        <v>118179.3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370927.99</v>
      </c>
      <c r="G370" s="38">
        <f>SUM(G368:G369)</f>
        <v>181342.58000000002</v>
      </c>
      <c r="H370" s="38">
        <f>SUM(H368:H369)</f>
        <v>272013.84999999998</v>
      </c>
      <c r="I370" s="38">
        <f>SUM(I368:I369)</f>
        <v>824284.42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32.25</v>
      </c>
      <c r="I389" s="18"/>
      <c r="J389" s="23" t="s">
        <v>288</v>
      </c>
      <c r="K389" s="23" t="s">
        <v>288</v>
      </c>
      <c r="L389" s="13">
        <f t="shared" si="25"/>
        <v>32.25</v>
      </c>
      <c r="M389" s="8"/>
      <c r="N389" s="165"/>
    </row>
    <row r="390" spans="1:14" s="3" customFormat="1" ht="12.2" customHeight="1" x14ac:dyDescent="0.15">
      <c r="A390" s="62" t="s">
        <v>552</v>
      </c>
      <c r="B390" s="2" t="s">
        <v>381</v>
      </c>
      <c r="C390" s="6">
        <v>3</v>
      </c>
      <c r="D390" s="2" t="s">
        <v>432</v>
      </c>
      <c r="E390" s="6"/>
      <c r="F390" s="18"/>
      <c r="G390" s="18">
        <v>620000</v>
      </c>
      <c r="H390" s="18">
        <f>626.17</f>
        <v>626.16999999999996</v>
      </c>
      <c r="I390" s="18"/>
      <c r="J390" s="23" t="s">
        <v>288</v>
      </c>
      <c r="K390" s="23" t="s">
        <v>288</v>
      </c>
      <c r="L390" s="13">
        <f t="shared" si="25"/>
        <v>620626.17000000004</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f>50000+125000+75000</f>
        <v>250000</v>
      </c>
      <c r="H393" s="18">
        <f>85.83+160.27+116.02</f>
        <v>362.12</v>
      </c>
      <c r="I393" s="18"/>
      <c r="J393" s="23" t="s">
        <v>288</v>
      </c>
      <c r="K393" s="23" t="s">
        <v>288</v>
      </c>
      <c r="L393" s="13">
        <f t="shared" si="25"/>
        <v>250362.12</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870000</v>
      </c>
      <c r="H394" s="97">
        <f>SUM(H388:H393)</f>
        <v>1020.54</v>
      </c>
      <c r="I394" s="54">
        <f>SUM(I388:I393)</f>
        <v>0</v>
      </c>
      <c r="J394" s="42" t="s">
        <v>288</v>
      </c>
      <c r="K394" s="42" t="s">
        <v>288</v>
      </c>
      <c r="L394" s="38">
        <f>SUM(L388:L393)</f>
        <v>871020.54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0.01</v>
      </c>
      <c r="I397" s="18"/>
      <c r="J397" s="23" t="s">
        <v>288</v>
      </c>
      <c r="K397" s="23" t="s">
        <v>288</v>
      </c>
      <c r="L397" s="13">
        <f t="shared" si="26"/>
        <v>0.01</v>
      </c>
      <c r="M397" s="8"/>
      <c r="N397" s="165"/>
    </row>
    <row r="398" spans="1:14" s="3" customFormat="1" ht="12.2" customHeight="1" x14ac:dyDescent="0.15">
      <c r="A398" s="62" t="s">
        <v>515</v>
      </c>
      <c r="B398" s="2" t="s">
        <v>381</v>
      </c>
      <c r="C398" s="6">
        <v>10</v>
      </c>
      <c r="D398" s="2" t="s">
        <v>432</v>
      </c>
      <c r="E398" s="6"/>
      <c r="F398" s="18"/>
      <c r="G398" s="18"/>
      <c r="H398" s="18">
        <v>212.53</v>
      </c>
      <c r="I398" s="18"/>
      <c r="J398" s="23" t="s">
        <v>288</v>
      </c>
      <c r="K398" s="23" t="s">
        <v>288</v>
      </c>
      <c r="L398" s="13">
        <f t="shared" si="26"/>
        <v>212.53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212.54</v>
      </c>
      <c r="I402" s="38">
        <f>SUM(I396:I401)</f>
        <v>0</v>
      </c>
      <c r="J402" s="42" t="s">
        <v>288</v>
      </c>
      <c r="K402" s="42" t="s">
        <v>288</v>
      </c>
      <c r="L402" s="38">
        <f>SUM(L396:L401)</f>
        <v>212.54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870000</v>
      </c>
      <c r="H409" s="38">
        <f>H394+H402+H408</f>
        <v>1233.08</v>
      </c>
      <c r="I409" s="38">
        <f>I394+I402+I408</f>
        <v>0</v>
      </c>
      <c r="J409" s="23" t="s">
        <v>288</v>
      </c>
      <c r="K409" s="23" t="s">
        <v>288</v>
      </c>
      <c r="L409" s="38">
        <f>L394+L402+L408</f>
        <v>871233.08000000007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f>564137.99+23214</f>
        <v>587351.99</v>
      </c>
      <c r="L416" s="13">
        <f t="shared" si="27"/>
        <v>587351.99</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f>42443.5+28023.6+101695</f>
        <v>172162.1</v>
      </c>
      <c r="L419" s="13">
        <f t="shared" si="27"/>
        <v>172162.1</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759514.09</v>
      </c>
      <c r="L420" s="38">
        <f t="shared" si="28"/>
        <v>759514.09</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v>14.05</v>
      </c>
      <c r="L423" s="13">
        <f t="shared" si="29"/>
        <v>14.05</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14.05</v>
      </c>
      <c r="L428" s="38">
        <f t="shared" si="30"/>
        <v>14.05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759528.14</v>
      </c>
      <c r="L435" s="38">
        <f t="shared" si="32"/>
        <v>759528.14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f>51847.84+146693.83+30210.34+169732.09</f>
        <v>398484.1</v>
      </c>
      <c r="G440" s="18">
        <f>32269.69+212641.14</f>
        <v>244910.83000000002</v>
      </c>
      <c r="H440" s="18"/>
      <c r="I440" s="13">
        <f t="shared" ref="I440:I446" si="33">SUM(F440:H440)</f>
        <v>643394.92999999993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398484.1</v>
      </c>
      <c r="G447" s="13">
        <f>SUM(G440:G446)</f>
        <v>244910.83000000002</v>
      </c>
      <c r="H447" s="13">
        <f>SUM(H440:H446)</f>
        <v>0</v>
      </c>
      <c r="I447" s="13">
        <f>SUM(I440:I446)</f>
        <v>643394.92999999993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v>49564</v>
      </c>
      <c r="G449" s="18"/>
      <c r="H449" s="18"/>
      <c r="I449" s="13">
        <f>SUM(F449:H449)</f>
        <v>49564</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49564</v>
      </c>
      <c r="G453" s="57">
        <f>SUM(G449:G452)</f>
        <v>0</v>
      </c>
      <c r="H453" s="57">
        <f>SUM(H449:H452)</f>
        <v>0</v>
      </c>
      <c r="I453" s="57">
        <f>SUM(I449:I452)</f>
        <v>49564</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593830.932449108-244910.83</f>
        <v>348920.10244910803</v>
      </c>
      <c r="G460" s="18">
        <f>32269.69+212641.14</f>
        <v>244910.83000000002</v>
      </c>
      <c r="H460" s="18"/>
      <c r="I460" s="13">
        <f t="shared" si="34"/>
        <v>593830.93244910799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348920.10244910803</v>
      </c>
      <c r="G461" s="65">
        <f>SUM(G455:G460)</f>
        <v>244910.83000000002</v>
      </c>
      <c r="H461" s="65">
        <f>SUM(H455:H460)</f>
        <v>0</v>
      </c>
      <c r="I461" s="65">
        <f>SUM(I455:I460)</f>
        <v>593830.93244910799</v>
      </c>
      <c r="J461" s="23" t="s">
        <v>288</v>
      </c>
      <c r="K461" s="23" t="s">
        <v>288</v>
      </c>
      <c r="L461" s="23" t="s">
        <v>288</v>
      </c>
      <c r="N461" s="131"/>
    </row>
    <row r="462" spans="1:86" ht="12.2" customHeight="1" thickTop="1" x14ac:dyDescent="0.2">
      <c r="A462" s="40" t="s">
        <v>424</v>
      </c>
      <c r="B462" s="41">
        <v>18</v>
      </c>
      <c r="C462" s="64">
        <v>21</v>
      </c>
      <c r="D462" s="114" t="s">
        <v>432</v>
      </c>
      <c r="E462" s="64"/>
      <c r="F462" s="39">
        <f>F453+F461</f>
        <v>398484.10244910803</v>
      </c>
      <c r="G462" s="39">
        <f>G453+G461</f>
        <v>244910.83000000002</v>
      </c>
      <c r="H462" s="39">
        <f>H453+H461</f>
        <v>0</v>
      </c>
      <c r="I462" s="39">
        <f>I453+I461</f>
        <v>643394.93244910799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1926177.14</v>
      </c>
      <c r="G466" s="18">
        <v>829089.03</v>
      </c>
      <c r="H466" s="18">
        <v>21262.799999999999</v>
      </c>
      <c r="I466" s="18">
        <v>0</v>
      </c>
      <c r="J466" s="18">
        <v>482125.99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85747312.890000001</v>
      </c>
      <c r="G469" s="18">
        <v>1864607.68</v>
      </c>
      <c r="H469" s="18">
        <v>2518080.4900000002</v>
      </c>
      <c r="I469" s="18"/>
      <c r="J469" s="18">
        <v>871233.08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85747312.890000001</v>
      </c>
      <c r="G471" s="19">
        <f>SUM(G469:G470)</f>
        <v>1864607.68</v>
      </c>
      <c r="H471" s="19">
        <f>SUM(H469:H470)</f>
        <v>2518080.4900000002</v>
      </c>
      <c r="I471" s="19">
        <f>SUM(I469:I470)</f>
        <v>0</v>
      </c>
      <c r="J471" s="19">
        <f>SUM(J469:J470)</f>
        <v>871233.08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85546007.640000001</v>
      </c>
      <c r="G473" s="18">
        <v>1734873.19</v>
      </c>
      <c r="H473" s="18">
        <v>2516576.71</v>
      </c>
      <c r="I473" s="18"/>
      <c r="J473" s="18">
        <v>759528.14</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85546007.640000001</v>
      </c>
      <c r="G475" s="19">
        <f>SUM(G473:G474)</f>
        <v>1734873.19</v>
      </c>
      <c r="H475" s="19">
        <f>SUM(H473:H474)</f>
        <v>2516576.71</v>
      </c>
      <c r="I475" s="19">
        <f>SUM(I473:I474)</f>
        <v>0</v>
      </c>
      <c r="J475" s="19">
        <f>SUM(J473:J474)</f>
        <v>759528.14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2127482.3900000006</v>
      </c>
      <c r="G477" s="19">
        <f>(G466+G471)- G475</f>
        <v>958823.52</v>
      </c>
      <c r="H477" s="19">
        <f>(H466+H471)- H475</f>
        <v>22766.580000000075</v>
      </c>
      <c r="I477" s="19">
        <f>(I466+I471)- I475</f>
        <v>0</v>
      </c>
      <c r="J477" s="19">
        <f>(J466+J471)- J475</f>
        <v>593830.92999999982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10</v>
      </c>
      <c r="H491" s="111">
        <v>12</v>
      </c>
      <c r="I491" s="111">
        <v>10</v>
      </c>
      <c r="J491" s="111"/>
      <c r="K491" s="23" t="s">
        <v>288</v>
      </c>
      <c r="L491" s="23" t="s">
        <v>288</v>
      </c>
      <c r="N491" s="131"/>
    </row>
    <row r="492" spans="1:14" ht="12.2" customHeight="1" x14ac:dyDescent="0.2">
      <c r="A492" s="21" t="s">
        <v>615</v>
      </c>
      <c r="B492" s="22">
        <v>20</v>
      </c>
      <c r="C492" s="22">
        <v>2</v>
      </c>
      <c r="D492" s="2" t="s">
        <v>432</v>
      </c>
      <c r="E492" s="22"/>
      <c r="F492" s="112" t="s">
        <v>1812</v>
      </c>
      <c r="G492" s="112" t="s">
        <v>1814</v>
      </c>
      <c r="H492" s="111" t="s">
        <v>1816</v>
      </c>
      <c r="I492" s="111" t="s">
        <v>1818</v>
      </c>
      <c r="J492" s="111"/>
      <c r="K492" s="23" t="s">
        <v>288</v>
      </c>
      <c r="L492" s="23" t="s">
        <v>288</v>
      </c>
      <c r="N492" s="131"/>
    </row>
    <row r="493" spans="1:14" ht="12.2" customHeight="1" x14ac:dyDescent="0.2">
      <c r="A493" s="21" t="s">
        <v>616</v>
      </c>
      <c r="B493" s="22">
        <v>20</v>
      </c>
      <c r="C493" s="22">
        <v>3</v>
      </c>
      <c r="D493" s="2" t="s">
        <v>432</v>
      </c>
      <c r="E493" s="22"/>
      <c r="F493" s="112" t="s">
        <v>1813</v>
      </c>
      <c r="G493" s="112" t="s">
        <v>1815</v>
      </c>
      <c r="H493" s="111" t="s">
        <v>1817</v>
      </c>
      <c r="I493" s="111" t="s">
        <v>1819</v>
      </c>
      <c r="J493" s="111"/>
      <c r="K493" s="23" t="s">
        <v>288</v>
      </c>
      <c r="L493" s="23" t="s">
        <v>288</v>
      </c>
      <c r="N493" s="131"/>
    </row>
    <row r="494" spans="1:14" ht="12.2" customHeight="1" x14ac:dyDescent="0.2">
      <c r="A494" s="21" t="s">
        <v>617</v>
      </c>
      <c r="B494" s="22">
        <v>20</v>
      </c>
      <c r="C494" s="22">
        <v>4</v>
      </c>
      <c r="D494" s="2" t="s">
        <v>432</v>
      </c>
      <c r="E494" s="22"/>
      <c r="F494" s="18">
        <v>12030000</v>
      </c>
      <c r="G494" s="18">
        <v>2720000</v>
      </c>
      <c r="H494" s="18">
        <v>2955000</v>
      </c>
      <c r="I494" s="18">
        <v>3895000</v>
      </c>
      <c r="J494" s="18"/>
      <c r="K494" s="23" t="s">
        <v>288</v>
      </c>
      <c r="L494" s="23" t="s">
        <v>288</v>
      </c>
      <c r="N494" s="131"/>
    </row>
    <row r="495" spans="1:14" ht="12.2" customHeight="1" x14ac:dyDescent="0.2">
      <c r="A495" s="21" t="s">
        <v>618</v>
      </c>
      <c r="B495" s="22">
        <v>20</v>
      </c>
      <c r="C495" s="22">
        <v>5</v>
      </c>
      <c r="D495" s="2" t="s">
        <v>432</v>
      </c>
      <c r="E495" s="22"/>
      <c r="F495" s="18">
        <v>4.57</v>
      </c>
      <c r="G495" s="18">
        <v>2.69</v>
      </c>
      <c r="H495" s="18">
        <v>1.94</v>
      </c>
      <c r="I495" s="18">
        <v>2.14</v>
      </c>
      <c r="J495" s="18"/>
      <c r="K495" s="23" t="s">
        <v>288</v>
      </c>
      <c r="L495" s="23" t="s">
        <v>288</v>
      </c>
      <c r="N495" s="131"/>
    </row>
    <row r="496" spans="1:14" ht="12.2" customHeight="1" x14ac:dyDescent="0.2">
      <c r="A496" s="21" t="s">
        <v>619</v>
      </c>
      <c r="B496" s="22">
        <v>20</v>
      </c>
      <c r="C496" s="22">
        <v>6</v>
      </c>
      <c r="D496" s="2" t="s">
        <v>432</v>
      </c>
      <c r="E496" s="22"/>
      <c r="F496" s="18">
        <v>665000</v>
      </c>
      <c r="G496" s="18">
        <v>1825000</v>
      </c>
      <c r="H496" s="18">
        <v>1090000</v>
      </c>
      <c r="I496" s="18">
        <v>1165000</v>
      </c>
      <c r="J496" s="18"/>
      <c r="K496" s="19">
        <f>SUM(F496:J496)</f>
        <v>4745000</v>
      </c>
      <c r="L496" s="23" t="s">
        <v>288</v>
      </c>
      <c r="N496" s="131"/>
    </row>
    <row r="497" spans="1:14" ht="12.2" customHeight="1" x14ac:dyDescent="0.2">
      <c r="A497" s="21" t="s">
        <v>620</v>
      </c>
      <c r="B497" s="22">
        <v>20</v>
      </c>
      <c r="C497" s="22">
        <v>7</v>
      </c>
      <c r="D497" s="2" t="s">
        <v>432</v>
      </c>
      <c r="E497" s="22"/>
      <c r="F497" s="18">
        <v>0</v>
      </c>
      <c r="G497" s="18">
        <v>0</v>
      </c>
      <c r="H497" s="18">
        <v>0</v>
      </c>
      <c r="I497" s="18">
        <v>0</v>
      </c>
      <c r="J497" s="18"/>
      <c r="K497" s="19">
        <f t="shared" ref="K497:K504" si="35">SUM(F497:J497)</f>
        <v>0</v>
      </c>
      <c r="L497" s="23" t="s">
        <v>288</v>
      </c>
      <c r="N497" s="131"/>
    </row>
    <row r="498" spans="1:14" ht="12.2" customHeight="1" x14ac:dyDescent="0.2">
      <c r="A498" s="21" t="s">
        <v>621</v>
      </c>
      <c r="B498" s="22">
        <v>20</v>
      </c>
      <c r="C498" s="22">
        <v>8</v>
      </c>
      <c r="D498" s="2" t="s">
        <v>432</v>
      </c>
      <c r="E498" s="22"/>
      <c r="F498" s="18">
        <v>665000</v>
      </c>
      <c r="G498" s="18">
        <v>270000</v>
      </c>
      <c r="H498" s="18">
        <v>280000</v>
      </c>
      <c r="I498" s="18">
        <v>390000</v>
      </c>
      <c r="J498" s="18"/>
      <c r="K498" s="19">
        <f t="shared" si="35"/>
        <v>1605000</v>
      </c>
      <c r="L498" s="23" t="s">
        <v>288</v>
      </c>
      <c r="N498" s="131"/>
    </row>
    <row r="499" spans="1:14" ht="12.2" customHeight="1" x14ac:dyDescent="0.2">
      <c r="A499" s="144" t="s">
        <v>622</v>
      </c>
      <c r="B499" s="145">
        <v>20</v>
      </c>
      <c r="C499" s="145">
        <v>9</v>
      </c>
      <c r="D499" s="146" t="s">
        <v>432</v>
      </c>
      <c r="E499" s="145"/>
      <c r="F499" s="147">
        <v>0</v>
      </c>
      <c r="G499" s="147">
        <v>1555000</v>
      </c>
      <c r="H499" s="147">
        <v>810000</v>
      </c>
      <c r="I499" s="147">
        <v>775000</v>
      </c>
      <c r="J499" s="147"/>
      <c r="K499" s="148">
        <f t="shared" si="35"/>
        <v>3140000</v>
      </c>
      <c r="L499" s="149" t="s">
        <v>288</v>
      </c>
      <c r="N499" s="131"/>
    </row>
    <row r="500" spans="1:14" ht="12.2" customHeight="1" thickBot="1" x14ac:dyDescent="0.25">
      <c r="A500" s="21" t="s">
        <v>623</v>
      </c>
      <c r="B500" s="22">
        <v>20</v>
      </c>
      <c r="C500" s="22">
        <v>10</v>
      </c>
      <c r="D500" s="2" t="s">
        <v>432</v>
      </c>
      <c r="E500" s="22"/>
      <c r="F500" s="18">
        <v>0</v>
      </c>
      <c r="G500" s="18">
        <v>123870.55</v>
      </c>
      <c r="H500" s="18">
        <v>28618.77</v>
      </c>
      <c r="I500" s="18">
        <v>23175</v>
      </c>
      <c r="J500" s="18"/>
      <c r="K500" s="19">
        <f t="shared" si="35"/>
        <v>175664.32</v>
      </c>
      <c r="L500" s="23" t="s">
        <v>288</v>
      </c>
      <c r="N500" s="131"/>
    </row>
    <row r="501" spans="1:14" ht="12.2" customHeight="1" thickTop="1" x14ac:dyDescent="0.2">
      <c r="A501" s="97" t="s">
        <v>624</v>
      </c>
      <c r="B501" s="41">
        <v>20</v>
      </c>
      <c r="C501" s="41">
        <v>11</v>
      </c>
      <c r="D501" s="36" t="s">
        <v>432</v>
      </c>
      <c r="E501" s="41"/>
      <c r="F501" s="39">
        <f>SUM(F499:F500)</f>
        <v>0</v>
      </c>
      <c r="G501" s="39">
        <f>SUM(G499:G500)</f>
        <v>1678870.55</v>
      </c>
      <c r="H501" s="39">
        <f>SUM(H499:H500)</f>
        <v>838618.77</v>
      </c>
      <c r="I501" s="39">
        <f>SUM(I499:I500)</f>
        <v>798175</v>
      </c>
      <c r="J501" s="39">
        <f>SUM(J499:J500)</f>
        <v>0</v>
      </c>
      <c r="K501" s="39">
        <f t="shared" si="35"/>
        <v>3315664.3200000003</v>
      </c>
      <c r="L501" s="42" t="s">
        <v>288</v>
      </c>
      <c r="N501" s="131"/>
    </row>
    <row r="502" spans="1:14" ht="12.2" customHeight="1" x14ac:dyDescent="0.2">
      <c r="A502" s="144" t="s">
        <v>651</v>
      </c>
      <c r="B502" s="145">
        <v>20</v>
      </c>
      <c r="C502" s="145">
        <v>12</v>
      </c>
      <c r="D502" s="146" t="s">
        <v>432</v>
      </c>
      <c r="E502" s="145"/>
      <c r="F502" s="147">
        <v>0</v>
      </c>
      <c r="G502" s="147">
        <v>270000</v>
      </c>
      <c r="H502" s="147">
        <v>275000</v>
      </c>
      <c r="I502" s="147">
        <v>390000</v>
      </c>
      <c r="J502" s="147"/>
      <c r="K502" s="148">
        <f t="shared" si="35"/>
        <v>935000</v>
      </c>
      <c r="L502" s="149" t="s">
        <v>288</v>
      </c>
      <c r="N502" s="131"/>
    </row>
    <row r="503" spans="1:14" ht="12.2" customHeight="1" thickBot="1" x14ac:dyDescent="0.25">
      <c r="A503" s="21" t="s">
        <v>625</v>
      </c>
      <c r="B503" s="22">
        <v>20</v>
      </c>
      <c r="C503" s="22">
        <v>13</v>
      </c>
      <c r="D503" s="2" t="s">
        <v>432</v>
      </c>
      <c r="E503" s="22"/>
      <c r="F503" s="18">
        <v>0</v>
      </c>
      <c r="G503" s="18">
        <f>20718.22+17404.61</f>
        <v>38122.83</v>
      </c>
      <c r="H503" s="18">
        <v>15971.88</v>
      </c>
      <c r="I503" s="18">
        <v>17400</v>
      </c>
      <c r="J503" s="18"/>
      <c r="K503" s="19">
        <f t="shared" si="35"/>
        <v>71494.709999999992</v>
      </c>
      <c r="L503" s="23" t="s">
        <v>288</v>
      </c>
      <c r="N503" s="131"/>
    </row>
    <row r="504" spans="1:14" ht="12.2" customHeight="1" thickTop="1" x14ac:dyDescent="0.2">
      <c r="A504" s="97" t="s">
        <v>626</v>
      </c>
      <c r="B504" s="41">
        <v>20</v>
      </c>
      <c r="C504" s="41">
        <v>14</v>
      </c>
      <c r="D504" s="36" t="s">
        <v>432</v>
      </c>
      <c r="E504" s="41"/>
      <c r="F504" s="39">
        <f>SUM(F502:F503)</f>
        <v>0</v>
      </c>
      <c r="G504" s="39">
        <f>SUM(G502:G503)</f>
        <v>308122.83</v>
      </c>
      <c r="H504" s="39">
        <f>SUM(H502:H503)</f>
        <v>290971.88</v>
      </c>
      <c r="I504" s="39">
        <f>SUM(I502:I503)</f>
        <v>407400</v>
      </c>
      <c r="J504" s="39">
        <f>SUM(J502:J503)</f>
        <v>0</v>
      </c>
      <c r="K504" s="39">
        <f t="shared" si="35"/>
        <v>1006494.71</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3501041</v>
      </c>
      <c r="G508" s="101">
        <v>836319</v>
      </c>
      <c r="H508" s="101">
        <v>375773</v>
      </c>
      <c r="I508" s="101">
        <v>3961589</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28837.09+121743.09+123633.27+107297.76+1348635.55+474711.33+697638.3+783633.86+594145.22+463458.59+49154.15+201106.82</f>
        <v>4993995.03</v>
      </c>
      <c r="G522" s="18">
        <f t="shared" ref="G522:G524" si="36">F522*0.5337</f>
        <v>2665295.1475109998</v>
      </c>
      <c r="H522" s="18">
        <f>46178.2+232982.79</f>
        <v>279160.99</v>
      </c>
      <c r="I522" s="18">
        <f>10819.26+2875.49+11051.01+3671.94+1946.57+905.26+18457.7</f>
        <v>49727.229999999996</v>
      </c>
      <c r="J522" s="18">
        <f>1816.39+539.99+768.99+11230</f>
        <v>14355.369999999999</v>
      </c>
      <c r="K522" s="18">
        <v>196.5</v>
      </c>
      <c r="L522" s="69">
        <f>SUM(F522:K522)</f>
        <v>8002730.2675110009</v>
      </c>
      <c r="N522" s="131"/>
    </row>
    <row r="523" spans="1:14" ht="12.2" customHeight="1" x14ac:dyDescent="0.2">
      <c r="A523" s="21" t="s">
        <v>634</v>
      </c>
      <c r="B523" s="22">
        <v>21</v>
      </c>
      <c r="C523" s="22">
        <v>2</v>
      </c>
      <c r="D523" s="2" t="s">
        <v>432</v>
      </c>
      <c r="E523" s="22"/>
      <c r="F523" s="18">
        <f>137668.82+1591371.65+151850.95+93622.26</f>
        <v>1974513.68</v>
      </c>
      <c r="G523" s="18">
        <f t="shared" si="36"/>
        <v>1053797.9510159998</v>
      </c>
      <c r="H523" s="18">
        <f>763159.88+113902.7</f>
        <v>877062.58</v>
      </c>
      <c r="I523" s="18">
        <f>6202.61+8988.41</f>
        <v>15191.02</v>
      </c>
      <c r="J523" s="18"/>
      <c r="K523" s="18"/>
      <c r="L523" s="69">
        <f>SUM(F523:K523)</f>
        <v>3920565.2310159998</v>
      </c>
      <c r="N523" s="131"/>
    </row>
    <row r="524" spans="1:14" ht="12.2" customHeight="1" thickBot="1" x14ac:dyDescent="0.25">
      <c r="A524" s="21" t="s">
        <v>635</v>
      </c>
      <c r="B524" s="22">
        <v>21</v>
      </c>
      <c r="C524" s="22">
        <v>3</v>
      </c>
      <c r="D524" s="2" t="s">
        <v>432</v>
      </c>
      <c r="E524" s="22"/>
      <c r="F524" s="18">
        <f>122011.54+1242575.76+396983.85+48596.79</f>
        <v>1810167.94</v>
      </c>
      <c r="G524" s="18">
        <f t="shared" si="36"/>
        <v>966086.62957799993</v>
      </c>
      <c r="H524" s="18">
        <f>4851.09+1158009.92+170854.04</f>
        <v>1333715.05</v>
      </c>
      <c r="I524" s="18">
        <f>11008.21+13482.62</f>
        <v>24490.83</v>
      </c>
      <c r="J524" s="18">
        <v>489.87</v>
      </c>
      <c r="K524" s="18"/>
      <c r="L524" s="69">
        <f>SUM(F524:K524)</f>
        <v>4134950.3195780003</v>
      </c>
      <c r="N524" s="131"/>
    </row>
    <row r="525" spans="1:14" ht="12.2" customHeight="1" thickTop="1" x14ac:dyDescent="0.2">
      <c r="A525" s="97" t="s">
        <v>63</v>
      </c>
      <c r="B525" s="41">
        <v>21</v>
      </c>
      <c r="C525" s="41">
        <v>4</v>
      </c>
      <c r="D525" s="115" t="s">
        <v>432</v>
      </c>
      <c r="E525" s="41"/>
      <c r="F525" s="81">
        <f>SUM(F522:F524)</f>
        <v>8778676.6500000004</v>
      </c>
      <c r="G525" s="81">
        <f t="shared" ref="G525:L525" si="37">SUM(G522:G524)</f>
        <v>4685179.7281049993</v>
      </c>
      <c r="H525" s="81">
        <f t="shared" si="37"/>
        <v>2489938.62</v>
      </c>
      <c r="I525" s="81">
        <f t="shared" si="37"/>
        <v>89409.08</v>
      </c>
      <c r="J525" s="81">
        <f t="shared" si="37"/>
        <v>14845.24</v>
      </c>
      <c r="K525" s="81">
        <f t="shared" si="37"/>
        <v>196.5</v>
      </c>
      <c r="L525" s="70">
        <f t="shared" si="37"/>
        <v>16058245.818105001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276486.68+140857.08+77287.82+195671.53+5625+39550.45+261047.91+15627.98+250883.09+24646.14+912130.92</f>
        <v>2199814.6</v>
      </c>
      <c r="G527" s="18">
        <f t="shared" ref="G527:G529" si="38">F527*0.5337</f>
        <v>1174041.0520199998</v>
      </c>
      <c r="H527" s="18">
        <v>245339.28</v>
      </c>
      <c r="I527" s="18">
        <f>9985+42946.78</f>
        <v>52931.78</v>
      </c>
      <c r="J527" s="18">
        <v>12931.93</v>
      </c>
      <c r="K527" s="18"/>
      <c r="L527" s="69">
        <f>SUM(F527:K527)</f>
        <v>3685058.6420199997</v>
      </c>
      <c r="M527" s="8"/>
      <c r="N527" s="165"/>
    </row>
    <row r="528" spans="1:14" s="3" customFormat="1" ht="12.2" customHeight="1" x14ac:dyDescent="0.15">
      <c r="A528" s="21" t="s">
        <v>634</v>
      </c>
      <c r="B528" s="22">
        <v>21</v>
      </c>
      <c r="C528" s="22">
        <v>6</v>
      </c>
      <c r="D528" s="2" t="s">
        <v>432</v>
      </c>
      <c r="E528" s="22"/>
      <c r="F528" s="18">
        <f>146382.08+148522.07</f>
        <v>294904.15000000002</v>
      </c>
      <c r="G528" s="18">
        <f t="shared" si="38"/>
        <v>157390.344855</v>
      </c>
      <c r="H528" s="18">
        <f>24539.41-0.01</f>
        <v>24539.4</v>
      </c>
      <c r="I528" s="18">
        <v>20996.2</v>
      </c>
      <c r="J528" s="18">
        <v>7458</v>
      </c>
      <c r="K528" s="18"/>
      <c r="L528" s="69">
        <f>SUM(F528:K528)</f>
        <v>505288.09485500009</v>
      </c>
      <c r="M528" s="8"/>
      <c r="N528" s="165"/>
    </row>
    <row r="529" spans="1:14" s="3" customFormat="1" ht="12.2" customHeight="1" thickBot="1" x14ac:dyDescent="0.2">
      <c r="A529" s="21" t="s">
        <v>635</v>
      </c>
      <c r="B529" s="22">
        <v>21</v>
      </c>
      <c r="C529" s="22">
        <v>7</v>
      </c>
      <c r="D529" s="2" t="s">
        <v>432</v>
      </c>
      <c r="E529" s="22"/>
      <c r="F529" s="18">
        <f>116364.04+205186.38</f>
        <v>321550.42</v>
      </c>
      <c r="G529" s="18">
        <f t="shared" si="38"/>
        <v>171611.45915399998</v>
      </c>
      <c r="H529" s="18">
        <v>331043</v>
      </c>
      <c r="I529" s="18">
        <v>31494.3</v>
      </c>
      <c r="J529" s="18">
        <v>2475</v>
      </c>
      <c r="K529" s="18"/>
      <c r="L529" s="69">
        <f>SUM(F529:K529)</f>
        <v>858174.17915400001</v>
      </c>
      <c r="M529" s="8"/>
      <c r="N529" s="165"/>
    </row>
    <row r="530" spans="1:14" s="3" customFormat="1" ht="12.2" customHeight="1" thickTop="1" x14ac:dyDescent="0.15">
      <c r="A530" s="97" t="s">
        <v>65</v>
      </c>
      <c r="B530" s="41">
        <v>21</v>
      </c>
      <c r="C530" s="41">
        <v>8</v>
      </c>
      <c r="D530" s="115" t="s">
        <v>432</v>
      </c>
      <c r="E530" s="41"/>
      <c r="F530" s="70">
        <f>SUM(F527:F529)</f>
        <v>2816269.17</v>
      </c>
      <c r="G530" s="70">
        <f t="shared" ref="G530:L530" si="39">SUM(G527:G529)</f>
        <v>1503042.8560289999</v>
      </c>
      <c r="H530" s="70">
        <f t="shared" si="39"/>
        <v>600921.67999999993</v>
      </c>
      <c r="I530" s="70">
        <f t="shared" si="39"/>
        <v>105422.28</v>
      </c>
      <c r="J530" s="70">
        <f t="shared" si="39"/>
        <v>22864.93</v>
      </c>
      <c r="K530" s="70">
        <f t="shared" si="39"/>
        <v>0</v>
      </c>
      <c r="L530" s="70">
        <f t="shared" si="39"/>
        <v>5048520.9160289997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95340.33</v>
      </c>
      <c r="G532" s="18">
        <f t="shared" ref="G532:G534" si="40">F532*0.5337</f>
        <v>50883.134120999996</v>
      </c>
      <c r="H532" s="18"/>
      <c r="I532" s="18"/>
      <c r="J532" s="18"/>
      <c r="K532" s="18"/>
      <c r="L532" s="69">
        <f>SUM(F532:K532)</f>
        <v>146223.464121</v>
      </c>
      <c r="M532" s="8"/>
      <c r="N532" s="165"/>
    </row>
    <row r="533" spans="1:14" s="3" customFormat="1" ht="12.2" customHeight="1" x14ac:dyDescent="0.15">
      <c r="A533" s="21" t="s">
        <v>634</v>
      </c>
      <c r="B533" s="22">
        <v>21</v>
      </c>
      <c r="C533" s="22">
        <v>10</v>
      </c>
      <c r="D533" s="2" t="s">
        <v>432</v>
      </c>
      <c r="E533" s="22"/>
      <c r="F533" s="18">
        <v>46610.83</v>
      </c>
      <c r="G533" s="18">
        <f t="shared" si="40"/>
        <v>24876.199970999998</v>
      </c>
      <c r="H533" s="18"/>
      <c r="I533" s="18"/>
      <c r="J533" s="18"/>
      <c r="K533" s="18"/>
      <c r="L533" s="69">
        <f>SUM(F533:K533)</f>
        <v>71487.029970999996</v>
      </c>
      <c r="M533" s="8"/>
      <c r="N533" s="165"/>
    </row>
    <row r="534" spans="1:14" s="3" customFormat="1" ht="12.2" customHeight="1" thickBot="1" x14ac:dyDescent="0.2">
      <c r="A534" s="21" t="s">
        <v>635</v>
      </c>
      <c r="B534" s="22">
        <v>21</v>
      </c>
      <c r="C534" s="22">
        <v>11</v>
      </c>
      <c r="D534" s="2" t="s">
        <v>432</v>
      </c>
      <c r="E534" s="22"/>
      <c r="F534" s="18">
        <v>69916.25</v>
      </c>
      <c r="G534" s="18">
        <f t="shared" si="40"/>
        <v>37314.302624999997</v>
      </c>
      <c r="H534" s="18"/>
      <c r="I534" s="18"/>
      <c r="J534" s="18"/>
      <c r="K534" s="18"/>
      <c r="L534" s="69">
        <f>SUM(F534:K534)</f>
        <v>107230.552625</v>
      </c>
      <c r="M534" s="8"/>
      <c r="N534" s="165"/>
    </row>
    <row r="535" spans="1:14" s="3" customFormat="1" ht="12.2" customHeight="1" thickTop="1" x14ac:dyDescent="0.15">
      <c r="A535" s="97" t="s">
        <v>67</v>
      </c>
      <c r="B535" s="41">
        <v>21</v>
      </c>
      <c r="C535" s="41">
        <v>12</v>
      </c>
      <c r="D535" s="115" t="s">
        <v>432</v>
      </c>
      <c r="E535" s="41"/>
      <c r="F535" s="70">
        <f>SUM(F532:F534)</f>
        <v>211867.41</v>
      </c>
      <c r="G535" s="70">
        <f t="shared" ref="G535:L535" si="41">SUM(G532:G534)</f>
        <v>113073.63671699999</v>
      </c>
      <c r="H535" s="70">
        <f t="shared" si="41"/>
        <v>0</v>
      </c>
      <c r="I535" s="70">
        <f t="shared" si="41"/>
        <v>0</v>
      </c>
      <c r="J535" s="70">
        <f t="shared" si="41"/>
        <v>0</v>
      </c>
      <c r="K535" s="70">
        <f t="shared" si="41"/>
        <v>0</v>
      </c>
      <c r="L535" s="70">
        <f t="shared" si="41"/>
        <v>324941.04671700002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20172.79</v>
      </c>
      <c r="I537" s="18"/>
      <c r="J537" s="18"/>
      <c r="K537" s="18"/>
      <c r="L537" s="69">
        <f>SUM(F537:K537)</f>
        <v>20172.79</v>
      </c>
      <c r="M537" s="8"/>
      <c r="N537" s="165"/>
    </row>
    <row r="538" spans="1:14" s="3" customFormat="1" ht="12.2" customHeight="1" x14ac:dyDescent="0.15">
      <c r="A538" s="21" t="s">
        <v>634</v>
      </c>
      <c r="B538" s="22">
        <v>21</v>
      </c>
      <c r="C538" s="22">
        <v>14</v>
      </c>
      <c r="D538" s="2" t="s">
        <v>432</v>
      </c>
      <c r="E538" s="22"/>
      <c r="F538" s="18"/>
      <c r="G538" s="18"/>
      <c r="H538" s="18">
        <v>9862.25</v>
      </c>
      <c r="I538" s="18"/>
      <c r="J538" s="18"/>
      <c r="K538" s="18"/>
      <c r="L538" s="69">
        <f>SUM(F538:K538)</f>
        <v>9862.25</v>
      </c>
      <c r="M538" s="8"/>
      <c r="N538" s="165"/>
    </row>
    <row r="539" spans="1:14" s="3" customFormat="1" ht="12.2" customHeight="1" thickBot="1" x14ac:dyDescent="0.2">
      <c r="A539" s="21" t="s">
        <v>635</v>
      </c>
      <c r="B539" s="22">
        <v>21</v>
      </c>
      <c r="C539" s="22">
        <v>15</v>
      </c>
      <c r="D539" s="2" t="s">
        <v>432</v>
      </c>
      <c r="E539" s="22"/>
      <c r="F539" s="18"/>
      <c r="G539" s="18"/>
      <c r="H539" s="18">
        <v>14793.38</v>
      </c>
      <c r="I539" s="18"/>
      <c r="J539" s="18"/>
      <c r="K539" s="18"/>
      <c r="L539" s="69">
        <f>SUM(F539:K539)</f>
        <v>14793.38</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44828.42</v>
      </c>
      <c r="I540" s="70">
        <f t="shared" si="42"/>
        <v>0</v>
      </c>
      <c r="J540" s="70">
        <f t="shared" si="42"/>
        <v>0</v>
      </c>
      <c r="K540" s="70">
        <f t="shared" si="42"/>
        <v>0</v>
      </c>
      <c r="L540" s="70">
        <f t="shared" si="42"/>
        <v>44828.42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1158048.1399999999</v>
      </c>
      <c r="I542" s="18"/>
      <c r="J542" s="18"/>
      <c r="K542" s="18"/>
      <c r="L542" s="69">
        <f>SUM(F542:K542)</f>
        <v>1158048.1399999999</v>
      </c>
      <c r="M542" s="8"/>
      <c r="N542" s="165"/>
    </row>
    <row r="543" spans="1:14" s="3" customFormat="1" ht="12.2" customHeight="1" x14ac:dyDescent="0.15">
      <c r="A543" s="21" t="s">
        <v>634</v>
      </c>
      <c r="B543" s="22">
        <v>21</v>
      </c>
      <c r="C543" s="22">
        <v>18</v>
      </c>
      <c r="D543" s="2" t="s">
        <v>432</v>
      </c>
      <c r="E543" s="22"/>
      <c r="F543" s="18"/>
      <c r="G543" s="18"/>
      <c r="H543" s="18">
        <f>165435.45-0.01</f>
        <v>165435.44</v>
      </c>
      <c r="I543" s="18"/>
      <c r="J543" s="18"/>
      <c r="K543" s="18"/>
      <c r="L543" s="69">
        <f>SUM(F543:K543)</f>
        <v>165435.44</v>
      </c>
      <c r="M543" s="8"/>
      <c r="N543" s="165"/>
    </row>
    <row r="544" spans="1:14" s="3" customFormat="1" ht="12.2" customHeight="1" thickBot="1" x14ac:dyDescent="0.2">
      <c r="A544" s="21" t="s">
        <v>635</v>
      </c>
      <c r="B544" s="22">
        <v>21</v>
      </c>
      <c r="C544" s="22">
        <v>19</v>
      </c>
      <c r="D544" s="2" t="s">
        <v>432</v>
      </c>
      <c r="E544" s="22"/>
      <c r="F544" s="18"/>
      <c r="G544" s="18"/>
      <c r="H544" s="18">
        <f>330870.9-0.01</f>
        <v>330870.89</v>
      </c>
      <c r="I544" s="18"/>
      <c r="J544" s="18"/>
      <c r="K544" s="18"/>
      <c r="L544" s="69">
        <f>SUM(F544:K544)</f>
        <v>330870.89</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3">SUM(G542:G544)</f>
        <v>0</v>
      </c>
      <c r="H545" s="141">
        <f t="shared" si="43"/>
        <v>1654354.4699999997</v>
      </c>
      <c r="I545" s="141">
        <f t="shared" si="43"/>
        <v>0</v>
      </c>
      <c r="J545" s="141">
        <f t="shared" si="43"/>
        <v>0</v>
      </c>
      <c r="K545" s="141">
        <f t="shared" si="43"/>
        <v>0</v>
      </c>
      <c r="L545" s="141">
        <f t="shared" si="43"/>
        <v>1654354.4699999997</v>
      </c>
      <c r="M545" s="8"/>
      <c r="N545" s="165"/>
    </row>
    <row r="546" spans="1:14" s="3" customFormat="1" ht="12.2" customHeight="1" thickTop="1" x14ac:dyDescent="0.15">
      <c r="A546" s="75" t="s">
        <v>72</v>
      </c>
      <c r="B546" s="41">
        <v>21</v>
      </c>
      <c r="C546" s="41">
        <v>21</v>
      </c>
      <c r="D546" s="115" t="s">
        <v>432</v>
      </c>
      <c r="E546" s="41"/>
      <c r="F546" s="70">
        <f>F525+F530+F535+F540+F545</f>
        <v>11806813.23</v>
      </c>
      <c r="G546" s="70">
        <f t="shared" ref="G546:L546" si="44">G525+G530+G535+G540+G545</f>
        <v>6301296.2208509995</v>
      </c>
      <c r="H546" s="70">
        <f t="shared" si="44"/>
        <v>4790043.1899999995</v>
      </c>
      <c r="I546" s="70">
        <f t="shared" si="44"/>
        <v>194831.35999999999</v>
      </c>
      <c r="J546" s="70">
        <f t="shared" si="44"/>
        <v>37710.17</v>
      </c>
      <c r="K546" s="70">
        <f t="shared" si="44"/>
        <v>196.5</v>
      </c>
      <c r="L546" s="70">
        <f t="shared" si="44"/>
        <v>23130890.670851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8002730.2675110009</v>
      </c>
      <c r="G550" s="69">
        <f>L527</f>
        <v>3685058.6420199997</v>
      </c>
      <c r="H550" s="69">
        <f>L532</f>
        <v>146223.464121</v>
      </c>
      <c r="I550" s="69">
        <f>L537</f>
        <v>20172.79</v>
      </c>
      <c r="J550" s="69">
        <f>L542</f>
        <v>1158048.1399999999</v>
      </c>
      <c r="K550" s="69">
        <f>SUM(F550:J550)</f>
        <v>13012233.303652002</v>
      </c>
      <c r="L550" s="23" t="s">
        <v>288</v>
      </c>
      <c r="M550" s="8"/>
      <c r="N550" s="165"/>
    </row>
    <row r="551" spans="1:14" s="3" customFormat="1" ht="12.2" customHeight="1" x14ac:dyDescent="0.15">
      <c r="A551" s="21" t="s">
        <v>634</v>
      </c>
      <c r="B551" s="22">
        <v>21</v>
      </c>
      <c r="C551" s="22">
        <v>23</v>
      </c>
      <c r="D551" s="2" t="s">
        <v>432</v>
      </c>
      <c r="E551" s="22"/>
      <c r="F551" s="69">
        <f>L523</f>
        <v>3920565.2310159998</v>
      </c>
      <c r="G551" s="69">
        <f>L528</f>
        <v>505288.09485500009</v>
      </c>
      <c r="H551" s="69">
        <f>L533</f>
        <v>71487.029970999996</v>
      </c>
      <c r="I551" s="69">
        <f>L538</f>
        <v>9862.25</v>
      </c>
      <c r="J551" s="69">
        <f>L543</f>
        <v>165435.44</v>
      </c>
      <c r="K551" s="69">
        <f>SUM(F551:J551)</f>
        <v>4672638.0458420003</v>
      </c>
      <c r="L551" s="23" t="s">
        <v>288</v>
      </c>
      <c r="M551" s="8"/>
      <c r="N551" s="165"/>
    </row>
    <row r="552" spans="1:14" s="3" customFormat="1" ht="12.2" customHeight="1" thickBot="1" x14ac:dyDescent="0.2">
      <c r="A552" s="21" t="s">
        <v>635</v>
      </c>
      <c r="B552" s="22">
        <v>21</v>
      </c>
      <c r="C552" s="22">
        <v>24</v>
      </c>
      <c r="D552" s="2" t="s">
        <v>432</v>
      </c>
      <c r="E552" s="22"/>
      <c r="F552" s="69">
        <f>L524</f>
        <v>4134950.3195780003</v>
      </c>
      <c r="G552" s="69">
        <f>L529</f>
        <v>858174.17915400001</v>
      </c>
      <c r="H552" s="69">
        <f>L534</f>
        <v>107230.552625</v>
      </c>
      <c r="I552" s="69">
        <f>L539</f>
        <v>14793.38</v>
      </c>
      <c r="J552" s="69">
        <f>L544</f>
        <v>330870.89</v>
      </c>
      <c r="K552" s="69">
        <f>SUM(F552:J552)</f>
        <v>5446019.3213569997</v>
      </c>
      <c r="L552" s="23" t="s">
        <v>288</v>
      </c>
      <c r="M552" s="8"/>
      <c r="N552" s="165"/>
    </row>
    <row r="553" spans="1:14" s="3" customFormat="1" ht="12.2" customHeight="1" thickTop="1" x14ac:dyDescent="0.15">
      <c r="A553" s="126" t="s">
        <v>340</v>
      </c>
      <c r="B553" s="41">
        <v>21</v>
      </c>
      <c r="C553" s="41">
        <v>25</v>
      </c>
      <c r="D553" s="36" t="s">
        <v>432</v>
      </c>
      <c r="E553" s="41"/>
      <c r="F553" s="70">
        <f t="shared" ref="F553:K553" si="45">SUM(F550:F552)</f>
        <v>16058245.818105001</v>
      </c>
      <c r="G553" s="70">
        <f t="shared" si="45"/>
        <v>5048520.9160289997</v>
      </c>
      <c r="H553" s="70">
        <f t="shared" si="45"/>
        <v>324941.04671700002</v>
      </c>
      <c r="I553" s="70">
        <f t="shared" si="45"/>
        <v>44828.42</v>
      </c>
      <c r="J553" s="70">
        <f t="shared" si="45"/>
        <v>1654354.4699999997</v>
      </c>
      <c r="K553" s="70">
        <f t="shared" si="45"/>
        <v>23130890.670851003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71879.08</v>
      </c>
      <c r="G563" s="18">
        <f>F563*0.5337</f>
        <v>38361.864995999997</v>
      </c>
      <c r="H563" s="18"/>
      <c r="I563" s="18">
        <v>1053.93</v>
      </c>
      <c r="J563" s="18"/>
      <c r="K563" s="18"/>
      <c r="L563" s="69">
        <f>SUM(F563:K563)</f>
        <v>111294.874996</v>
      </c>
      <c r="M563" s="8"/>
      <c r="N563" s="165"/>
    </row>
    <row r="564" spans="1:14" s="3" customFormat="1" ht="12.2" customHeight="1" x14ac:dyDescent="0.15">
      <c r="A564" s="21" t="s">
        <v>634</v>
      </c>
      <c r="B564" s="22">
        <v>22</v>
      </c>
      <c r="C564" s="22">
        <v>6</v>
      </c>
      <c r="D564" s="2" t="s">
        <v>432</v>
      </c>
      <c r="E564" s="22"/>
      <c r="F564" s="18">
        <v>44209.16</v>
      </c>
      <c r="G564" s="18">
        <f>F564*0.5337</f>
        <v>23594.428692000001</v>
      </c>
      <c r="H564" s="18"/>
      <c r="I564" s="18">
        <v>225.84</v>
      </c>
      <c r="J564" s="18"/>
      <c r="K564" s="18"/>
      <c r="L564" s="69">
        <f>SUM(F564:K564)</f>
        <v>68029.428692000001</v>
      </c>
      <c r="M564" s="8"/>
      <c r="N564" s="165"/>
    </row>
    <row r="565" spans="1:14" s="3" customFormat="1" ht="12.2" customHeight="1" thickBot="1" x14ac:dyDescent="0.2">
      <c r="A565" s="21" t="s">
        <v>635</v>
      </c>
      <c r="B565" s="22">
        <v>22</v>
      </c>
      <c r="C565" s="22">
        <v>7</v>
      </c>
      <c r="D565" s="2" t="s">
        <v>432</v>
      </c>
      <c r="E565" s="22"/>
      <c r="F565" s="18">
        <v>54072.92</v>
      </c>
      <c r="G565" s="18">
        <f>F565*0.5337</f>
        <v>28858.717403999995</v>
      </c>
      <c r="H565" s="18"/>
      <c r="I565" s="18">
        <v>225.84</v>
      </c>
      <c r="J565" s="18"/>
      <c r="K565" s="18"/>
      <c r="L565" s="69">
        <f>SUM(F565:K565)</f>
        <v>83157.47740399999</v>
      </c>
      <c r="M565" s="8"/>
      <c r="N565" s="165"/>
    </row>
    <row r="566" spans="1:14" s="3" customFormat="1" ht="12.2" customHeight="1" thickTop="1" x14ac:dyDescent="0.15">
      <c r="A566" s="97" t="s">
        <v>65</v>
      </c>
      <c r="B566" s="41">
        <v>22</v>
      </c>
      <c r="C566" s="41">
        <v>8</v>
      </c>
      <c r="D566" s="115" t="s">
        <v>432</v>
      </c>
      <c r="E566" s="41"/>
      <c r="F566" s="70">
        <f t="shared" ref="F566:L566" si="47">SUM(F563:F565)</f>
        <v>170161.16</v>
      </c>
      <c r="G566" s="70">
        <f t="shared" si="47"/>
        <v>90815.011092000001</v>
      </c>
      <c r="H566" s="70">
        <f t="shared" si="47"/>
        <v>0</v>
      </c>
      <c r="I566" s="70">
        <f t="shared" si="47"/>
        <v>1505.61</v>
      </c>
      <c r="J566" s="70">
        <f t="shared" si="47"/>
        <v>0</v>
      </c>
      <c r="K566" s="70">
        <f t="shared" si="47"/>
        <v>0</v>
      </c>
      <c r="L566" s="70">
        <f t="shared" si="47"/>
        <v>262481.78109200002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f>320937.54+5619.5</f>
        <v>326557.03999999998</v>
      </c>
      <c r="G568" s="18">
        <f>F568*0.5337</f>
        <v>174283.49224799997</v>
      </c>
      <c r="H568" s="18"/>
      <c r="I568" s="18">
        <v>176</v>
      </c>
      <c r="J568" s="18"/>
      <c r="K568" s="18">
        <v>181.25</v>
      </c>
      <c r="L568" s="69">
        <f>SUM(F568:K568)</f>
        <v>501197.78224799992</v>
      </c>
      <c r="M568" s="8"/>
      <c r="N568" s="165"/>
    </row>
    <row r="569" spans="1:14" s="3" customFormat="1" ht="12.2" customHeight="1" x14ac:dyDescent="0.15">
      <c r="A569" s="21" t="s">
        <v>634</v>
      </c>
      <c r="B569" s="22">
        <v>22</v>
      </c>
      <c r="C569" s="22">
        <v>10</v>
      </c>
      <c r="D569" s="2" t="s">
        <v>432</v>
      </c>
      <c r="E569" s="22"/>
      <c r="F569" s="18">
        <f>45867.8+5619.5</f>
        <v>51487.3</v>
      </c>
      <c r="G569" s="18">
        <f>F569*0.5337</f>
        <v>27478.772010000001</v>
      </c>
      <c r="H569" s="18"/>
      <c r="I569" s="18">
        <v>176</v>
      </c>
      <c r="J569" s="18"/>
      <c r="K569" s="18">
        <v>181.25</v>
      </c>
      <c r="L569" s="69">
        <f>SUM(F569:K569)</f>
        <v>79323.322010000004</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378044.33999999997</v>
      </c>
      <c r="G571" s="141">
        <f t="shared" ref="G571:L571" si="48">SUM(G568:G570)</f>
        <v>201762.26425799995</v>
      </c>
      <c r="H571" s="141">
        <f t="shared" si="48"/>
        <v>0</v>
      </c>
      <c r="I571" s="141">
        <f t="shared" si="48"/>
        <v>352</v>
      </c>
      <c r="J571" s="141">
        <f t="shared" si="48"/>
        <v>0</v>
      </c>
      <c r="K571" s="141">
        <f t="shared" si="48"/>
        <v>362.5</v>
      </c>
      <c r="L571" s="141">
        <f t="shared" si="48"/>
        <v>580521.10425799992</v>
      </c>
      <c r="M571" s="8"/>
      <c r="N571" s="165"/>
    </row>
    <row r="572" spans="1:14" s="3" customFormat="1" ht="12.2" customHeight="1" thickTop="1" x14ac:dyDescent="0.15">
      <c r="A572" s="75" t="s">
        <v>88</v>
      </c>
      <c r="B572" s="41">
        <v>22</v>
      </c>
      <c r="C572" s="41">
        <v>13</v>
      </c>
      <c r="D572" s="115" t="s">
        <v>432</v>
      </c>
      <c r="E572" s="41"/>
      <c r="F572" s="70">
        <f>F561+F566+F571</f>
        <v>548205.5</v>
      </c>
      <c r="G572" s="70">
        <f t="shared" ref="G572:L572" si="49">G561+G566+G571</f>
        <v>292577.27534999995</v>
      </c>
      <c r="H572" s="70">
        <f t="shared" si="49"/>
        <v>0</v>
      </c>
      <c r="I572" s="70">
        <f t="shared" si="49"/>
        <v>1857.61</v>
      </c>
      <c r="J572" s="70">
        <f t="shared" si="49"/>
        <v>0</v>
      </c>
      <c r="K572" s="70">
        <f t="shared" si="49"/>
        <v>362.5</v>
      </c>
      <c r="L572" s="70">
        <f t="shared" si="49"/>
        <v>843002.88534999988</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0">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0"/>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0"/>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10517.9</v>
      </c>
      <c r="G580" s="18"/>
      <c r="H580" s="18"/>
      <c r="I580" s="69">
        <f t="shared" si="50"/>
        <v>10517.9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0"/>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0"/>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35660.300000000003</v>
      </c>
      <c r="G583" s="18">
        <v>763159.88</v>
      </c>
      <c r="H583" s="18">
        <f>4851.09+1158009.92</f>
        <v>1162861.01</v>
      </c>
      <c r="I583" s="69">
        <f t="shared" si="50"/>
        <v>1961681.19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0"/>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184946.65</v>
      </c>
      <c r="I585" s="69">
        <f t="shared" si="50"/>
        <v>184946.65</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0"/>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0"/>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0"/>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1286136.07</v>
      </c>
      <c r="I592" s="18">
        <v>964602.06</v>
      </c>
      <c r="J592" s="18">
        <v>964602.06</v>
      </c>
      <c r="K592" s="80">
        <f t="shared" ref="K592:K598" si="51">SUM(H592:J592)</f>
        <v>3215340.19</v>
      </c>
      <c r="L592" s="23" t="s">
        <v>288</v>
      </c>
      <c r="M592" s="8"/>
      <c r="N592" s="165"/>
    </row>
    <row r="593" spans="1:14" s="3" customFormat="1" ht="12.2" customHeight="1" x14ac:dyDescent="0.15">
      <c r="A593" s="3" t="s">
        <v>638</v>
      </c>
      <c r="B593" s="22">
        <v>23</v>
      </c>
      <c r="C593" s="22">
        <v>2</v>
      </c>
      <c r="D593" s="2" t="s">
        <v>432</v>
      </c>
      <c r="E593" s="22"/>
      <c r="F593" s="78">
        <v>2722</v>
      </c>
      <c r="G593" s="79" t="s">
        <v>97</v>
      </c>
      <c r="H593" s="18">
        <v>1158048.1399999999</v>
      </c>
      <c r="I593" s="18">
        <v>165435.45000000001</v>
      </c>
      <c r="J593" s="18">
        <v>330870.89</v>
      </c>
      <c r="K593" s="80">
        <f t="shared" si="51"/>
        <v>1654354.48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1"/>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11823.67</v>
      </c>
      <c r="J595" s="18">
        <f>115467.26</f>
        <v>115467.26</v>
      </c>
      <c r="K595" s="80">
        <f t="shared" si="51"/>
        <v>127290.93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1106.5</v>
      </c>
      <c r="J596" s="18">
        <f>2287.89+19120.88</f>
        <v>21408.77</v>
      </c>
      <c r="K596" s="80">
        <f t="shared" si="51"/>
        <v>22515.27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1"/>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1"/>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2444184.21</v>
      </c>
      <c r="I599" s="81">
        <f>SUM(I592:I598)</f>
        <v>1142967.68</v>
      </c>
      <c r="J599" s="81">
        <f>SUM(J592:J598)</f>
        <v>1432348.9800000002</v>
      </c>
      <c r="K599" s="81">
        <f>SUM(K592:K598)</f>
        <v>5019500.8699999992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4045.05+213805.76</f>
        <v>217850.81</v>
      </c>
      <c r="I605" s="18">
        <f>1977.58+92531.7</f>
        <v>94509.28</v>
      </c>
      <c r="J605" s="18">
        <f>2966.37+5746.6+397605.36</f>
        <v>406318.32999999996</v>
      </c>
      <c r="K605" s="80">
        <f>SUM(H605:J605)</f>
        <v>718678.41999999993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217850.81</v>
      </c>
      <c r="I606" s="81">
        <f>SUM(I603:I605)</f>
        <v>94509.28</v>
      </c>
      <c r="J606" s="81">
        <f>SUM(J603:J605)</f>
        <v>406318.32999999996</v>
      </c>
      <c r="K606" s="81">
        <f>SUM(K603:K605)</f>
        <v>718678.41999999993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106326.66-2661.82-613.09</f>
        <v>103051.75</v>
      </c>
      <c r="G612" s="18">
        <v>54998.720000000001</v>
      </c>
      <c r="H612" s="18"/>
      <c r="I612" s="18">
        <f>613.09+2661.82</f>
        <v>3274.9100000000003</v>
      </c>
      <c r="J612" s="18"/>
      <c r="K612" s="18"/>
      <c r="L612" s="69">
        <f>SUM(F612:K612)</f>
        <v>161325.38</v>
      </c>
      <c r="M612" s="8"/>
      <c r="N612" s="165"/>
    </row>
    <row r="613" spans="1:14" s="3" customFormat="1" ht="12.2" customHeight="1" x14ac:dyDescent="0.15">
      <c r="A613" s="21" t="s">
        <v>634</v>
      </c>
      <c r="B613" s="22">
        <v>23</v>
      </c>
      <c r="C613" s="22">
        <v>14</v>
      </c>
      <c r="D613" s="2" t="s">
        <v>432</v>
      </c>
      <c r="E613" s="22"/>
      <c r="F613" s="18">
        <f>30678.46-295.02</f>
        <v>30383.439999999999</v>
      </c>
      <c r="G613" s="18">
        <v>16215.64</v>
      </c>
      <c r="H613" s="18"/>
      <c r="I613" s="18">
        <v>295.02</v>
      </c>
      <c r="J613" s="18"/>
      <c r="K613" s="18"/>
      <c r="L613" s="69">
        <f>SUM(F613:K613)</f>
        <v>46894.1</v>
      </c>
      <c r="M613" s="8"/>
      <c r="N613" s="165"/>
    </row>
    <row r="614" spans="1:14" s="3" customFormat="1" ht="12.2" customHeight="1" thickBot="1" x14ac:dyDescent="0.2">
      <c r="A614" s="21" t="s">
        <v>645</v>
      </c>
      <c r="B614" s="22">
        <v>23</v>
      </c>
      <c r="C614" s="22">
        <v>15</v>
      </c>
      <c r="D614" s="2" t="s">
        <v>432</v>
      </c>
      <c r="E614" s="22"/>
      <c r="F614" s="18">
        <v>34286.6</v>
      </c>
      <c r="G614" s="18">
        <v>18298.759999999998</v>
      </c>
      <c r="H614" s="18"/>
      <c r="I614" s="18">
        <v>1900</v>
      </c>
      <c r="J614" s="18"/>
      <c r="K614" s="18"/>
      <c r="L614" s="69">
        <f>SUM(F614:K614)</f>
        <v>54485.36</v>
      </c>
      <c r="M614" s="8"/>
      <c r="N614" s="165"/>
    </row>
    <row r="615" spans="1:14" s="3" customFormat="1" ht="12.2" customHeight="1" thickTop="1" x14ac:dyDescent="0.15">
      <c r="A615" s="75" t="s">
        <v>340</v>
      </c>
      <c r="B615" s="41">
        <v>23</v>
      </c>
      <c r="C615" s="41">
        <v>16</v>
      </c>
      <c r="D615" s="36" t="s">
        <v>432</v>
      </c>
      <c r="E615" s="41"/>
      <c r="F615" s="81">
        <f t="shared" ref="F615:L615" si="52">SUM(F612:F614)</f>
        <v>167721.79</v>
      </c>
      <c r="G615" s="81">
        <f t="shared" si="52"/>
        <v>89513.12</v>
      </c>
      <c r="H615" s="81">
        <f t="shared" si="52"/>
        <v>0</v>
      </c>
      <c r="I615" s="81">
        <f t="shared" si="52"/>
        <v>5469.93</v>
      </c>
      <c r="J615" s="81">
        <f t="shared" si="52"/>
        <v>0</v>
      </c>
      <c r="K615" s="81">
        <f t="shared" si="52"/>
        <v>0</v>
      </c>
      <c r="L615" s="70">
        <f t="shared" si="52"/>
        <v>262704.84000000003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4009137.68</v>
      </c>
      <c r="H618" s="80">
        <f>SUM(F52)</f>
        <v>4009137.6799999997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1071562.6300000001</v>
      </c>
      <c r="H619" s="80">
        <f>SUM(G52)</f>
        <v>1071562.6300000001</v>
      </c>
      <c r="I619" s="87" t="s">
        <v>875</v>
      </c>
      <c r="J619" s="80">
        <f>G619-H619</f>
        <v>0</v>
      </c>
      <c r="K619" s="80"/>
      <c r="L619" s="80"/>
      <c r="M619" s="8"/>
    </row>
    <row r="620" spans="1:14" s="3" customFormat="1" ht="12.2" customHeight="1" x14ac:dyDescent="0.15">
      <c r="A620" s="74"/>
      <c r="B620" s="22"/>
      <c r="C620" s="22"/>
      <c r="D620" s="22"/>
      <c r="E620" s="22"/>
      <c r="F620" s="87" t="s">
        <v>685</v>
      </c>
      <c r="G620" s="80">
        <f>SUM(H19)</f>
        <v>439515.27</v>
      </c>
      <c r="H620" s="80">
        <f>SUM(H52)</f>
        <v>439515.27000000025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643394.92999999993</v>
      </c>
      <c r="H622" s="80">
        <f>SUM(J52)</f>
        <v>643394.93244910799</v>
      </c>
      <c r="I622" s="87" t="s">
        <v>878</v>
      </c>
      <c r="J622" s="80">
        <f>G622-H622</f>
        <v>-2.4491080548614264E-3</v>
      </c>
      <c r="K622" s="80"/>
      <c r="L622" s="80"/>
      <c r="M622" s="8"/>
    </row>
    <row r="623" spans="1:14" s="3" customFormat="1" ht="12.2" customHeight="1" x14ac:dyDescent="0.15">
      <c r="A623" s="74"/>
      <c r="B623" s="22"/>
      <c r="C623" s="22"/>
      <c r="D623" s="22"/>
      <c r="E623" s="22"/>
      <c r="F623" s="87" t="s">
        <v>864</v>
      </c>
      <c r="G623" s="80">
        <f>F51</f>
        <v>2127482.3899999997</v>
      </c>
      <c r="H623" s="80">
        <f>F477</f>
        <v>2127482.3900000006</v>
      </c>
      <c r="I623" s="87" t="s">
        <v>101</v>
      </c>
      <c r="J623" s="80">
        <f t="shared" ref="J623:J656" si="53">G623-H623</f>
        <v>0</v>
      </c>
      <c r="K623" s="80"/>
      <c r="L623" s="80"/>
      <c r="M623" s="8"/>
    </row>
    <row r="624" spans="1:14" s="3" customFormat="1" ht="12.2" customHeight="1" x14ac:dyDescent="0.15">
      <c r="A624" s="74"/>
      <c r="B624" s="22"/>
      <c r="C624" s="85"/>
      <c r="D624" s="85"/>
      <c r="E624" s="85"/>
      <c r="F624" s="85" t="s">
        <v>865</v>
      </c>
      <c r="G624" s="80">
        <f>G51</f>
        <v>958823.52</v>
      </c>
      <c r="H624" s="80">
        <f>G477</f>
        <v>958823.52</v>
      </c>
      <c r="I624" s="87" t="s">
        <v>102</v>
      </c>
      <c r="J624" s="80">
        <f t="shared" si="53"/>
        <v>0</v>
      </c>
      <c r="K624" s="80"/>
      <c r="L624" s="80"/>
      <c r="M624" s="8"/>
    </row>
    <row r="625" spans="1:13" s="3" customFormat="1" ht="12.2" customHeight="1" x14ac:dyDescent="0.15">
      <c r="A625" s="74"/>
      <c r="B625" s="22"/>
      <c r="C625" s="22"/>
      <c r="D625" s="22"/>
      <c r="E625" s="22"/>
      <c r="F625" s="86" t="s">
        <v>866</v>
      </c>
      <c r="G625" s="80">
        <f>H51</f>
        <v>22766.58000000026</v>
      </c>
      <c r="H625" s="80">
        <f>H477</f>
        <v>22766.580000000075</v>
      </c>
      <c r="I625" s="87" t="s">
        <v>103</v>
      </c>
      <c r="J625" s="80">
        <f t="shared" si="53"/>
        <v>1.8553691916167736E-10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3"/>
        <v>0</v>
      </c>
      <c r="K626" s="80"/>
      <c r="L626" s="80"/>
      <c r="M626" s="8"/>
    </row>
    <row r="627" spans="1:13" s="3" customFormat="1" ht="12.2" customHeight="1" x14ac:dyDescent="0.15">
      <c r="A627" s="21"/>
      <c r="B627" s="22"/>
      <c r="C627" s="22"/>
      <c r="D627" s="22"/>
      <c r="E627" s="22"/>
      <c r="F627" s="86" t="s">
        <v>868</v>
      </c>
      <c r="G627" s="80">
        <f>J51</f>
        <v>593830.93244910799</v>
      </c>
      <c r="H627" s="80">
        <f>J477</f>
        <v>593830.92999999982</v>
      </c>
      <c r="I627" s="87" t="s">
        <v>105</v>
      </c>
      <c r="J627" s="80">
        <f t="shared" si="53"/>
        <v>2.4491081712767482E-3</v>
      </c>
      <c r="K627" s="67"/>
      <c r="L627" s="69"/>
      <c r="M627" s="8"/>
    </row>
    <row r="628" spans="1:13" s="3" customFormat="1" ht="12.2" customHeight="1" x14ac:dyDescent="0.15">
      <c r="A628" s="21"/>
      <c r="B628" s="22"/>
      <c r="C628" s="22"/>
      <c r="D628" s="22"/>
      <c r="E628" s="22"/>
      <c r="F628" s="86" t="s">
        <v>658</v>
      </c>
      <c r="G628" s="80">
        <f>F194</f>
        <v>85747312.890000001</v>
      </c>
      <c r="H628" s="80">
        <f>SUM(F469)</f>
        <v>85747312.890000001</v>
      </c>
      <c r="I628" s="87" t="s">
        <v>106</v>
      </c>
      <c r="J628" s="80">
        <f>G628-H628</f>
        <v>0</v>
      </c>
      <c r="K628" s="67"/>
      <c r="L628" s="69"/>
      <c r="M628" s="8"/>
    </row>
    <row r="629" spans="1:13" s="3" customFormat="1" ht="12.2" customHeight="1" x14ac:dyDescent="0.15">
      <c r="A629" s="21"/>
      <c r="B629" s="22"/>
      <c r="C629" s="22"/>
      <c r="D629" s="22"/>
      <c r="E629" s="22"/>
      <c r="F629" s="86" t="s">
        <v>659</v>
      </c>
      <c r="G629" s="80">
        <f>G194</f>
        <v>1864607.6800000002</v>
      </c>
      <c r="H629" s="80">
        <f>SUM(G469)</f>
        <v>1864607.68</v>
      </c>
      <c r="I629" s="87" t="s">
        <v>107</v>
      </c>
      <c r="J629" s="80">
        <f>G629-H629</f>
        <v>0</v>
      </c>
      <c r="K629" s="67"/>
      <c r="L629" s="69"/>
      <c r="M629" s="8"/>
    </row>
    <row r="630" spans="1:13" s="3" customFormat="1" ht="12.2" customHeight="1" x14ac:dyDescent="0.15">
      <c r="A630" s="21"/>
      <c r="B630" s="22"/>
      <c r="C630" s="22"/>
      <c r="D630" s="22"/>
      <c r="E630" s="22"/>
      <c r="F630" s="86" t="s">
        <v>660</v>
      </c>
      <c r="G630" s="80">
        <f>H194</f>
        <v>2518080.4899999998</v>
      </c>
      <c r="H630" s="80">
        <f>SUM(H469)</f>
        <v>2518080.4900000002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871233.08</v>
      </c>
      <c r="H632" s="80">
        <f>SUM(J469)</f>
        <v>871233.08</v>
      </c>
      <c r="I632" s="87" t="s">
        <v>110</v>
      </c>
      <c r="J632" s="80">
        <f>G632-H632</f>
        <v>0</v>
      </c>
      <c r="K632" s="67"/>
      <c r="L632" s="69"/>
      <c r="M632" s="8"/>
    </row>
    <row r="633" spans="1:13" s="3" customFormat="1" ht="12.2" customHeight="1" x14ac:dyDescent="0.15">
      <c r="A633" s="21"/>
      <c r="B633" s="22"/>
      <c r="C633" s="22"/>
      <c r="D633" s="22"/>
      <c r="E633" s="22"/>
      <c r="F633" s="86" t="s">
        <v>394</v>
      </c>
      <c r="G633" s="80">
        <f>SUM(L272)</f>
        <v>85546007.640000001</v>
      </c>
      <c r="H633" s="80">
        <f>SUM(F473)</f>
        <v>85546007.640000001</v>
      </c>
      <c r="I633" s="87" t="s">
        <v>111</v>
      </c>
      <c r="J633" s="80">
        <f t="shared" si="53"/>
        <v>0</v>
      </c>
      <c r="K633" s="67"/>
      <c r="L633" s="69"/>
      <c r="M633" s="8"/>
    </row>
    <row r="634" spans="1:13" s="3" customFormat="1" ht="12.2" customHeight="1" x14ac:dyDescent="0.15">
      <c r="A634" s="21"/>
      <c r="B634" s="22"/>
      <c r="C634" s="22"/>
      <c r="D634" s="22"/>
      <c r="E634" s="22"/>
      <c r="F634" s="86" t="s">
        <v>395</v>
      </c>
      <c r="G634" s="80">
        <f>SUM(L353)</f>
        <v>2516576.71</v>
      </c>
      <c r="H634" s="80">
        <f>SUM(H473)</f>
        <v>2516576.71</v>
      </c>
      <c r="I634" s="87" t="s">
        <v>112</v>
      </c>
      <c r="J634" s="80">
        <f>G634-H634</f>
        <v>0</v>
      </c>
      <c r="K634" s="67"/>
      <c r="L634" s="69"/>
      <c r="M634" s="8"/>
    </row>
    <row r="635" spans="1:13" s="124" customFormat="1" ht="12.2" customHeight="1" x14ac:dyDescent="0.15">
      <c r="A635" s="21"/>
      <c r="B635" s="22"/>
      <c r="C635" s="22"/>
      <c r="D635" s="22"/>
      <c r="E635" s="22"/>
      <c r="F635" s="99" t="s">
        <v>247</v>
      </c>
      <c r="G635" s="80">
        <f>I363</f>
        <v>824284.42</v>
      </c>
      <c r="H635" s="80">
        <f>I370</f>
        <v>824284.42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1734873.1900000002</v>
      </c>
      <c r="H636" s="80">
        <f>SUM(G473)</f>
        <v>1734873.19</v>
      </c>
      <c r="I636" s="87" t="s">
        <v>114</v>
      </c>
      <c r="J636" s="80">
        <f t="shared" si="53"/>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3"/>
        <v>0</v>
      </c>
      <c r="K637" s="67"/>
      <c r="L637" s="69"/>
      <c r="M637" s="8"/>
    </row>
    <row r="638" spans="1:13" s="3" customFormat="1" ht="12.2" customHeight="1" x14ac:dyDescent="0.15">
      <c r="A638" s="117"/>
      <c r="B638" s="118"/>
      <c r="C638" s="118"/>
      <c r="D638" s="118"/>
      <c r="E638" s="118"/>
      <c r="F638" s="119" t="s">
        <v>477</v>
      </c>
      <c r="G638" s="108">
        <f>SUM(L409)</f>
        <v>871233.08000000007</v>
      </c>
      <c r="H638" s="108">
        <f>SUM(J469)</f>
        <v>871233.08</v>
      </c>
      <c r="I638" s="120" t="s">
        <v>110</v>
      </c>
      <c r="J638" s="108">
        <f t="shared" si="53"/>
        <v>0</v>
      </c>
      <c r="K638" s="121"/>
      <c r="L638" s="122"/>
      <c r="M638" s="8"/>
    </row>
    <row r="639" spans="1:13" s="3" customFormat="1" ht="12.2" customHeight="1" x14ac:dyDescent="0.15">
      <c r="A639" s="117"/>
      <c r="B639" s="118"/>
      <c r="C639" s="118"/>
      <c r="D639" s="118"/>
      <c r="E639" s="118"/>
      <c r="F639" s="119" t="s">
        <v>478</v>
      </c>
      <c r="G639" s="108">
        <f>SUM(L435)</f>
        <v>759528.14</v>
      </c>
      <c r="H639" s="108">
        <f>SUM(J473)</f>
        <v>759528.14</v>
      </c>
      <c r="I639" s="120" t="s">
        <v>117</v>
      </c>
      <c r="J639" s="108">
        <f t="shared" si="53"/>
        <v>0</v>
      </c>
      <c r="K639" s="121"/>
      <c r="L639" s="122"/>
      <c r="M639" s="8"/>
    </row>
    <row r="640" spans="1:13" s="3" customFormat="1" ht="12.2" customHeight="1" x14ac:dyDescent="0.15">
      <c r="A640" s="21"/>
      <c r="B640" s="22"/>
      <c r="C640" s="22"/>
      <c r="D640" s="22"/>
      <c r="E640" s="22"/>
      <c r="F640" s="86" t="s">
        <v>118</v>
      </c>
      <c r="G640" s="80">
        <f>SUM(F447)</f>
        <v>398484.1</v>
      </c>
      <c r="H640" s="80">
        <f>SUM(F462)</f>
        <v>398484.10244910803</v>
      </c>
      <c r="I640" s="87" t="s">
        <v>840</v>
      </c>
      <c r="J640" s="80">
        <f t="shared" si="53"/>
        <v>-2.4491080548614264E-3</v>
      </c>
      <c r="K640" s="67"/>
      <c r="L640" s="69"/>
      <c r="M640" s="8"/>
    </row>
    <row r="641" spans="1:13" s="3" customFormat="1" ht="12.2" customHeight="1" x14ac:dyDescent="0.15">
      <c r="A641" s="21"/>
      <c r="B641" s="22"/>
      <c r="C641" s="22"/>
      <c r="D641" s="22"/>
      <c r="E641" s="22"/>
      <c r="F641" s="86" t="s">
        <v>119</v>
      </c>
      <c r="G641" s="80">
        <f>SUM(G447)</f>
        <v>244910.83000000002</v>
      </c>
      <c r="H641" s="80">
        <f>SUM(G462)</f>
        <v>244910.83000000002</v>
      </c>
      <c r="I641" s="87" t="s">
        <v>841</v>
      </c>
      <c r="J641" s="80">
        <f t="shared" si="53"/>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3"/>
        <v>0</v>
      </c>
      <c r="K642" s="67"/>
      <c r="L642" s="69"/>
      <c r="M642" s="8"/>
    </row>
    <row r="643" spans="1:13" s="3" customFormat="1" ht="12.2" customHeight="1" x14ac:dyDescent="0.15">
      <c r="A643" s="21"/>
      <c r="B643" s="22"/>
      <c r="C643" s="22"/>
      <c r="D643" s="22"/>
      <c r="E643" s="22"/>
      <c r="F643" s="86" t="s">
        <v>121</v>
      </c>
      <c r="G643" s="80">
        <f>SUM(I447)</f>
        <v>643394.92999999993</v>
      </c>
      <c r="H643" s="80">
        <f>SUM(I462)</f>
        <v>643394.93244910799</v>
      </c>
      <c r="I643" s="87" t="s">
        <v>843</v>
      </c>
      <c r="J643" s="80">
        <f t="shared" si="53"/>
        <v>-2.4491080548614264E-3</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3"/>
        <v>0</v>
      </c>
      <c r="K644" s="67"/>
      <c r="L644" s="69"/>
      <c r="M644" s="8"/>
    </row>
    <row r="645" spans="1:13" s="3" customFormat="1" ht="12.2" customHeight="1" x14ac:dyDescent="0.15">
      <c r="A645" s="21"/>
      <c r="B645" s="22"/>
      <c r="C645" s="22"/>
      <c r="D645" s="22"/>
      <c r="E645" s="22"/>
      <c r="F645" s="86" t="s">
        <v>663</v>
      </c>
      <c r="G645" s="80">
        <f>J96</f>
        <v>1233.08</v>
      </c>
      <c r="H645" s="80">
        <f>H409</f>
        <v>1233.08</v>
      </c>
      <c r="I645" s="87" t="s">
        <v>480</v>
      </c>
      <c r="J645" s="80">
        <f t="shared" si="53"/>
        <v>0</v>
      </c>
      <c r="K645" s="67"/>
      <c r="L645" s="69"/>
      <c r="M645" s="8"/>
    </row>
    <row r="646" spans="1:13" s="3" customFormat="1" ht="12.2" customHeight="1" x14ac:dyDescent="0.15">
      <c r="A646" s="21"/>
      <c r="B646" s="22"/>
      <c r="C646" s="22"/>
      <c r="D646" s="22"/>
      <c r="E646" s="22"/>
      <c r="F646" s="86" t="s">
        <v>664</v>
      </c>
      <c r="G646" s="80">
        <f>J184</f>
        <v>870000</v>
      </c>
      <c r="H646" s="80">
        <f>G409</f>
        <v>870000</v>
      </c>
      <c r="I646" s="87" t="s">
        <v>481</v>
      </c>
      <c r="J646" s="80">
        <f t="shared" si="53"/>
        <v>0</v>
      </c>
      <c r="K646" s="67"/>
      <c r="L646" s="69"/>
      <c r="M646" s="8"/>
    </row>
    <row r="647" spans="1:13" s="3" customFormat="1" ht="12.2" customHeight="1" x14ac:dyDescent="0.15">
      <c r="A647" s="21"/>
      <c r="B647" s="22"/>
      <c r="C647" s="22"/>
      <c r="D647" s="22"/>
      <c r="E647" s="22"/>
      <c r="F647" s="86" t="s">
        <v>662</v>
      </c>
      <c r="G647" s="80">
        <f>J194</f>
        <v>871233.08</v>
      </c>
      <c r="H647" s="80">
        <f>L409</f>
        <v>871233.08000000007</v>
      </c>
      <c r="I647" s="87" t="s">
        <v>477</v>
      </c>
      <c r="J647" s="80">
        <f t="shared" si="53"/>
        <v>0</v>
      </c>
      <c r="K647" s="67"/>
      <c r="L647" s="69"/>
      <c r="M647" s="8"/>
    </row>
    <row r="648" spans="1:13" s="3" customFormat="1" ht="12.2" customHeight="1" x14ac:dyDescent="0.15">
      <c r="A648" s="21"/>
      <c r="B648" s="22"/>
      <c r="C648" s="22"/>
      <c r="D648" s="22"/>
      <c r="E648" s="22"/>
      <c r="F648" s="86" t="s">
        <v>51</v>
      </c>
      <c r="G648" s="80">
        <f>K599</f>
        <v>5019500.8699999992</v>
      </c>
      <c r="H648" s="80">
        <f>L209+L227+L245</f>
        <v>5019500.8699999992</v>
      </c>
      <c r="I648" s="87" t="s">
        <v>396</v>
      </c>
      <c r="J648" s="80">
        <f t="shared" si="53"/>
        <v>0</v>
      </c>
      <c r="K648" s="67"/>
      <c r="L648" s="69"/>
      <c r="M648" s="8"/>
    </row>
    <row r="649" spans="1:13" s="3" customFormat="1" ht="12.2" customHeight="1" x14ac:dyDescent="0.15">
      <c r="A649" s="21"/>
      <c r="B649" s="22"/>
      <c r="C649" s="22"/>
      <c r="D649" s="22"/>
      <c r="E649" s="22"/>
      <c r="F649" s="86" t="s">
        <v>52</v>
      </c>
      <c r="G649" s="80">
        <f>K606</f>
        <v>718678.41999999993</v>
      </c>
      <c r="H649" s="80">
        <f>(J258+J339)-(J256+J337)</f>
        <v>718678.42</v>
      </c>
      <c r="I649" s="87" t="s">
        <v>699</v>
      </c>
      <c r="J649" s="80">
        <f t="shared" si="53"/>
        <v>0</v>
      </c>
      <c r="K649" s="67"/>
      <c r="L649" s="69"/>
      <c r="M649" s="8"/>
    </row>
    <row r="650" spans="1:13" s="3" customFormat="1" ht="12.2" customHeight="1" x14ac:dyDescent="0.15">
      <c r="A650" s="21"/>
      <c r="B650" s="22"/>
      <c r="C650" s="22"/>
      <c r="D650" s="22"/>
      <c r="E650" s="22"/>
      <c r="F650" s="86" t="s">
        <v>387</v>
      </c>
      <c r="G650" s="80">
        <f>L209</f>
        <v>2444184.21</v>
      </c>
      <c r="H650" s="80">
        <f>H599</f>
        <v>2444184.21</v>
      </c>
      <c r="I650" s="87" t="s">
        <v>388</v>
      </c>
      <c r="J650" s="80">
        <f t="shared" si="53"/>
        <v>0</v>
      </c>
      <c r="K650" s="67"/>
      <c r="L650" s="69"/>
      <c r="M650" s="8"/>
    </row>
    <row r="651" spans="1:13" s="3" customFormat="1" ht="12.2" customHeight="1" x14ac:dyDescent="0.15">
      <c r="A651" s="21"/>
      <c r="B651" s="22"/>
      <c r="C651" s="22"/>
      <c r="D651" s="22"/>
      <c r="E651" s="22"/>
      <c r="F651" s="86" t="s">
        <v>392</v>
      </c>
      <c r="G651" s="80">
        <f>L227</f>
        <v>1142967.68</v>
      </c>
      <c r="H651" s="80">
        <f>I599</f>
        <v>1142967.68</v>
      </c>
      <c r="I651" s="87" t="s">
        <v>389</v>
      </c>
      <c r="J651" s="80">
        <f t="shared" si="53"/>
        <v>0</v>
      </c>
      <c r="K651" s="67"/>
      <c r="L651" s="69"/>
      <c r="M651" s="8"/>
    </row>
    <row r="652" spans="1:13" s="3" customFormat="1" ht="12.2" customHeight="1" x14ac:dyDescent="0.15">
      <c r="A652" s="21"/>
      <c r="B652" s="22"/>
      <c r="C652" s="22"/>
      <c r="D652" s="22"/>
      <c r="E652" s="22"/>
      <c r="F652" s="86" t="s">
        <v>393</v>
      </c>
      <c r="G652" s="80">
        <f>L245</f>
        <v>1432348.98</v>
      </c>
      <c r="H652" s="80">
        <f>J599</f>
        <v>1432348.9800000002</v>
      </c>
      <c r="I652" s="87" t="s">
        <v>390</v>
      </c>
      <c r="J652" s="80">
        <f t="shared" si="53"/>
        <v>0</v>
      </c>
      <c r="K652" s="67"/>
      <c r="L652" s="69"/>
      <c r="M652" s="8"/>
    </row>
    <row r="653" spans="1:13" s="3" customFormat="1" ht="12.2" customHeight="1" x14ac:dyDescent="0.15">
      <c r="A653" s="21"/>
      <c r="B653" s="22"/>
      <c r="C653" s="22"/>
      <c r="D653" s="22"/>
      <c r="E653" s="22"/>
      <c r="F653" s="86" t="s">
        <v>665</v>
      </c>
      <c r="G653" s="80">
        <f>G180+G182</f>
        <v>4443.49</v>
      </c>
      <c r="H653" s="80">
        <f>K264+K346</f>
        <v>4443.49</v>
      </c>
      <c r="I653" s="87" t="s">
        <v>397</v>
      </c>
      <c r="J653" s="80">
        <f t="shared" si="53"/>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3"/>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3"/>
        <v>0</v>
      </c>
      <c r="K655" s="67"/>
      <c r="L655" s="69"/>
      <c r="M655" s="8"/>
    </row>
    <row r="656" spans="1:13" s="3" customFormat="1" ht="12.2" customHeight="1" x14ac:dyDescent="0.15">
      <c r="A656" s="21"/>
      <c r="B656" s="22"/>
      <c r="C656" s="22"/>
      <c r="D656" s="22"/>
      <c r="E656" s="22"/>
      <c r="F656" s="86" t="s">
        <v>668</v>
      </c>
      <c r="G656" s="80">
        <f>J180+J182</f>
        <v>870000</v>
      </c>
      <c r="H656" s="80">
        <f>K267+K348</f>
        <v>870000</v>
      </c>
      <c r="I656" s="87" t="s">
        <v>400</v>
      </c>
      <c r="J656" s="80">
        <f t="shared" si="53"/>
        <v>0</v>
      </c>
      <c r="K656" s="67"/>
      <c r="L656" s="69"/>
      <c r="M656" s="9"/>
    </row>
    <row r="657" spans="1:13" s="3" customFormat="1" ht="12.2" customHeight="1" x14ac:dyDescent="0.15">
      <c r="F657" s="25" t="s">
        <v>122</v>
      </c>
      <c r="G657" s="13"/>
      <c r="H657" s="80">
        <f>SUM(G618:G656)-SUM(H618:H656)</f>
        <v>-4.8982203006744385E-3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38231516.690000005</v>
      </c>
      <c r="G661" s="13">
        <f>(L230+L310+L360)</f>
        <v>19396811.919999994</v>
      </c>
      <c r="H661" s="13">
        <f>(L248+L329+L361)</f>
        <v>29069643.419999994</v>
      </c>
      <c r="I661" s="13">
        <f>SUM(F661:H661)</f>
        <v>86697972.030000001</v>
      </c>
      <c r="J661" s="13"/>
      <c r="K661" s="13"/>
      <c r="L661" s="13"/>
      <c r="M661" s="9"/>
    </row>
    <row r="662" spans="1:13" s="3" customFormat="1" ht="12.2" customHeight="1" x14ac:dyDescent="0.2">
      <c r="A662" s="1" t="s">
        <v>127</v>
      </c>
      <c r="F662" s="13">
        <f>(L359/IF(SUM(L359:L361)=0,1,SUM(L359:L361))*(SUM(G97:G110)))</f>
        <v>544392.07598935871</v>
      </c>
      <c r="G662" s="13">
        <f>(L360/IF(SUM(L359:L361)=0,1,SUM(L359:L361))*(SUM(G97:G110)))</f>
        <v>260334.57079887579</v>
      </c>
      <c r="H662" s="13">
        <f>(L361/IF(SUM(L359:L361)=0,1,SUM(L359:L361))*(SUM(G97:G110)))</f>
        <v>389731.76321176568</v>
      </c>
      <c r="I662" s="13">
        <f>SUM(F662:H662)</f>
        <v>1194458.4100000001</v>
      </c>
      <c r="J662"/>
      <c r="K662" s="13"/>
      <c r="L662" s="13"/>
      <c r="M662" s="8"/>
    </row>
    <row r="663" spans="1:13" s="3" customFormat="1" ht="12.2" customHeight="1" x14ac:dyDescent="0.2">
      <c r="A663" s="1" t="s">
        <v>128</v>
      </c>
      <c r="F663" s="13">
        <f>(L209+L288)-(J209+J288)</f>
        <v>2507250.08</v>
      </c>
      <c r="G663" s="13">
        <f>(L227+L307)-(J227+J307)</f>
        <v>1158734.1299999999</v>
      </c>
      <c r="H663" s="13">
        <f>(L245+L326)-(J245+J326)</f>
        <v>1432348.98</v>
      </c>
      <c r="I663" s="13">
        <f>SUM(F663:H663)</f>
        <v>5098333.1899999995</v>
      </c>
      <c r="J663"/>
      <c r="K663" s="13"/>
      <c r="L663" s="13"/>
      <c r="M663" s="9"/>
    </row>
    <row r="664" spans="1:13" s="3" customFormat="1" ht="12.2" customHeight="1" x14ac:dyDescent="0.15">
      <c r="A664" s="142" t="s">
        <v>129</v>
      </c>
      <c r="B664" s="124"/>
      <c r="C664" s="124"/>
      <c r="D664" s="124"/>
      <c r="E664" s="124"/>
      <c r="F664" s="143">
        <f>SUM(F576:F588)+SUM(H603:H605)+SUM(L612)</f>
        <v>425354.39</v>
      </c>
      <c r="G664" s="143">
        <f>SUM(G576:G588)+SUM(I603:I605)+L613</f>
        <v>904563.26</v>
      </c>
      <c r="H664" s="143">
        <f>SUM(H576:H588)+SUM(J603:J605)+L614</f>
        <v>1808611.3499999999</v>
      </c>
      <c r="I664" s="13">
        <f>SUM(F664:H664)</f>
        <v>3138529</v>
      </c>
      <c r="J664" s="13"/>
      <c r="K664" s="13"/>
      <c r="L664" s="13"/>
      <c r="M664" s="9"/>
    </row>
    <row r="665" spans="1:13" s="3" customFormat="1" ht="12.2" customHeight="1" x14ac:dyDescent="0.15">
      <c r="A665" s="1" t="s">
        <v>130</v>
      </c>
      <c r="F665" s="13">
        <f>F661-SUM(F662:F664)</f>
        <v>34754520.144010648</v>
      </c>
      <c r="G665" s="13">
        <f>G661-SUM(G662:G664)</f>
        <v>17073179.95920112</v>
      </c>
      <c r="H665" s="13">
        <f>H661-SUM(H662:H664)</f>
        <v>25438951.326788228</v>
      </c>
      <c r="I665" s="13">
        <f>I661-SUM(I662:I664)</f>
        <v>77266651.430000007</v>
      </c>
      <c r="J665" s="13"/>
      <c r="K665" s="13"/>
      <c r="L665" s="13"/>
      <c r="M665" s="8"/>
    </row>
    <row r="666" spans="1:13" s="3" customFormat="1" ht="12.2" customHeight="1" x14ac:dyDescent="0.2">
      <c r="A666" s="1" t="s">
        <v>131</v>
      </c>
      <c r="F666" s="183">
        <v>1649.12</v>
      </c>
      <c r="G666" s="184">
        <v>885.26</v>
      </c>
      <c r="H666" s="184">
        <v>1349.34</v>
      </c>
      <c r="I666" s="13">
        <f>SUM(F666:H666)</f>
        <v>3883.7200000000003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21074.59</v>
      </c>
      <c r="G668" s="13">
        <f>ROUND(G665/G666,2)</f>
        <v>19286.060000000001</v>
      </c>
      <c r="H668" s="13">
        <f>ROUND(H665/H666,2)</f>
        <v>18852.88</v>
      </c>
      <c r="I668" s="13">
        <f>ROUND(I665/I666,2)</f>
        <v>19895.009999999998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4">IF(AND(F666=0,F665&gt;0),F665*-1,"")</f>
        <v/>
      </c>
      <c r="G670" s="73" t="str">
        <f t="shared" si="54"/>
        <v/>
      </c>
      <c r="H670" s="73" t="str">
        <f t="shared" si="54"/>
        <v/>
      </c>
      <c r="I670" s="13">
        <f>SUM(F670:H670)</f>
        <v>0</v>
      </c>
      <c r="J670" s="13"/>
      <c r="K670" s="13"/>
      <c r="L670" s="13"/>
      <c r="M670" s="9"/>
    </row>
    <row r="671" spans="1:13" s="3" customFormat="1" ht="12.2" customHeight="1" x14ac:dyDescent="0.15">
      <c r="A671" s="1" t="s">
        <v>135</v>
      </c>
      <c r="F671" s="18"/>
      <c r="G671" s="18"/>
      <c r="H671" s="18">
        <v>-30.72</v>
      </c>
      <c r="I671" s="13">
        <f>SUM(F671:H671)</f>
        <v>-30.72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21074.59</v>
      </c>
      <c r="G673" s="13">
        <f>ROUND((G665+G670)/(G666+G671),2)</f>
        <v>19286.060000000001</v>
      </c>
      <c r="H673" s="13">
        <f>ROUND((H665+H670)/(H666+H671),2)</f>
        <v>19292.099999999999</v>
      </c>
      <c r="I673" s="13">
        <f>ROUND((I665+I670)/(I666+I671),2)</f>
        <v>20053.63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1" sqref="H11"/>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189806.16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65896.47+26464.84+61231.75</f>
        <v>153593.06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10298.44+25914.66</f>
        <v>36213.1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Londonderry</v>
      </c>
      <c r="C5" s="317"/>
      <c r="D5" s="317"/>
      <c r="E5" s="317"/>
      <c r="F5" s="317"/>
    </row>
    <row r="8" spans="1:9" ht="18" x14ac:dyDescent="0.25">
      <c r="A8" s="240" t="s">
        <v>1560</v>
      </c>
      <c r="F8" s="247" t="s">
        <v>1578</v>
      </c>
    </row>
    <row r="9" spans="1:9" ht="15" x14ac:dyDescent="0.2">
      <c r="A9" s="238" t="s">
        <v>1561</v>
      </c>
      <c r="B9" s="241">
        <f>'DOE25'!G97</f>
        <v>1158350.29</v>
      </c>
      <c r="F9" s="238" t="s">
        <v>1574</v>
      </c>
    </row>
    <row r="10" spans="1:9" ht="15" x14ac:dyDescent="0.2">
      <c r="A10" s="238" t="s">
        <v>1562</v>
      </c>
      <c r="B10" s="241">
        <f>'DOE25'!G112-'DOE25'!G97</f>
        <v>36115.360000000102</v>
      </c>
      <c r="F10" s="238" t="s">
        <v>1575</v>
      </c>
    </row>
    <row r="11" spans="1:9" ht="15" x14ac:dyDescent="0.2">
      <c r="A11" s="238" t="s">
        <v>1563</v>
      </c>
      <c r="B11" s="241">
        <f>'DOE25'!G140</f>
        <v>21435.3</v>
      </c>
      <c r="F11" s="238" t="s">
        <v>1576</v>
      </c>
    </row>
    <row r="12" spans="1:9" ht="15" x14ac:dyDescent="0.2">
      <c r="A12" s="238" t="s">
        <v>1564</v>
      </c>
      <c r="B12" s="241">
        <f>'DOE25'!G170</f>
        <v>644263.24</v>
      </c>
      <c r="F12" s="238" t="s">
        <v>1577</v>
      </c>
    </row>
    <row r="13" spans="1:9" ht="15" x14ac:dyDescent="0.2">
      <c r="A13" s="238" t="s">
        <v>1565</v>
      </c>
      <c r="B13" s="241">
        <f>'DOE25'!G193-'DOE25'!G180</f>
        <v>0</v>
      </c>
      <c r="F13" s="238" t="s">
        <v>1587</v>
      </c>
    </row>
    <row r="14" spans="1:9" ht="18" x14ac:dyDescent="0.25">
      <c r="A14" s="240" t="s">
        <v>732</v>
      </c>
      <c r="B14" s="242">
        <f>SUM(B9:B13)</f>
        <v>1860164.1900000002</v>
      </c>
    </row>
    <row r="16" spans="1:9" ht="18" x14ac:dyDescent="0.25">
      <c r="A16" s="240" t="s">
        <v>786</v>
      </c>
      <c r="F16" s="247" t="s">
        <v>1579</v>
      </c>
    </row>
    <row r="17" spans="1:6" ht="15" x14ac:dyDescent="0.2">
      <c r="A17" s="238" t="s">
        <v>1566</v>
      </c>
      <c r="B17" s="241">
        <f>'DOE25'!L363-'DOE25'!L362</f>
        <v>1734873.1900000002</v>
      </c>
      <c r="F17" s="238" t="s">
        <v>1580</v>
      </c>
    </row>
    <row r="18" spans="1:6" ht="15" x14ac:dyDescent="0.2">
      <c r="A18" s="238" t="s">
        <v>1567</v>
      </c>
      <c r="B18" s="251"/>
      <c r="F18" s="247" t="s">
        <v>1604</v>
      </c>
    </row>
    <row r="19" spans="1:6" ht="18" x14ac:dyDescent="0.25">
      <c r="A19" s="240" t="s">
        <v>725</v>
      </c>
      <c r="B19" s="242">
        <f>SUM(B17:B18)</f>
        <v>1734873.1900000002</v>
      </c>
    </row>
    <row r="21" spans="1:6" ht="18.75" thickBot="1" x14ac:dyDescent="0.3">
      <c r="A21" s="240" t="s">
        <v>1568</v>
      </c>
    </row>
    <row r="22" spans="1:6" ht="18.75" thickTop="1" x14ac:dyDescent="0.25">
      <c r="A22" s="240" t="s">
        <v>1569</v>
      </c>
      <c r="B22" s="246">
        <f>B14-B19</f>
        <v>125291</v>
      </c>
      <c r="F22" s="238" t="s">
        <v>1581</v>
      </c>
    </row>
    <row r="26" spans="1:6" ht="18" x14ac:dyDescent="0.25">
      <c r="A26" s="240" t="s">
        <v>186</v>
      </c>
    </row>
    <row r="27" spans="1:6" ht="15" x14ac:dyDescent="0.2">
      <c r="A27" s="238" t="s">
        <v>1570</v>
      </c>
      <c r="B27" s="241">
        <f>'DOE25'!G180</f>
        <v>4443.49</v>
      </c>
      <c r="F27" s="238" t="s">
        <v>1582</v>
      </c>
    </row>
    <row r="28" spans="1:6" ht="15" x14ac:dyDescent="0.2">
      <c r="A28" s="238" t="s">
        <v>1572</v>
      </c>
      <c r="B28" s="241">
        <f>'DOE25'!L362</f>
        <v>0</v>
      </c>
      <c r="F28" s="238" t="s">
        <v>1583</v>
      </c>
    </row>
    <row r="31" spans="1:6" ht="15" x14ac:dyDescent="0.2">
      <c r="A31" s="238" t="s">
        <v>1797</v>
      </c>
      <c r="B31" s="241">
        <f>'DOE25'!G466</f>
        <v>829089.03</v>
      </c>
      <c r="F31" s="238" t="s">
        <v>1584</v>
      </c>
    </row>
    <row r="33" spans="1:6" ht="15" x14ac:dyDescent="0.2">
      <c r="A33" s="238" t="s">
        <v>1798</v>
      </c>
      <c r="B33" s="241">
        <f>'DOE25'!G477</f>
        <v>958823.52</v>
      </c>
      <c r="F33" s="238" t="s">
        <v>1585</v>
      </c>
    </row>
    <row r="36" spans="1:6" ht="15" x14ac:dyDescent="0.2">
      <c r="A36" s="238" t="s">
        <v>1571</v>
      </c>
      <c r="B36" s="252">
        <v>61269.16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120" zoomScaleNormal="120" workbookViewId="0">
      <selection activeCell="C43" sqref="C4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Londonderry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20138236.859999999</v>
      </c>
      <c r="C9" s="167">
        <f>'DOE25'!G198+'DOE25'!G216+'DOE25'!G234+'DOE25'!G277+'DOE25'!G296+'DOE25'!G315</f>
        <v>10972094.689999999</v>
      </c>
    </row>
    <row r="10" spans="1:3" x14ac:dyDescent="0.2">
      <c r="A10" t="s">
        <v>775</v>
      </c>
      <c r="B10" s="177">
        <f>18848155.94+845336.9</f>
        <v>19693492.84</v>
      </c>
      <c r="C10" s="177">
        <v>10730706.609999999</v>
      </c>
    </row>
    <row r="11" spans="1:3" x14ac:dyDescent="0.2">
      <c r="A11" t="s">
        <v>776</v>
      </c>
      <c r="B11" s="177">
        <v>444744.02</v>
      </c>
      <c r="C11" s="177">
        <v>241388.08</v>
      </c>
    </row>
    <row r="12" spans="1:3" x14ac:dyDescent="0.2">
      <c r="A12" t="s">
        <v>777</v>
      </c>
      <c r="B12" s="177">
        <v>0</v>
      </c>
      <c r="C12" s="177"/>
    </row>
    <row r="13" spans="1:3" x14ac:dyDescent="0.2">
      <c r="A13" t="str">
        <f>IF(B9=B13,IF(C9=C13,"Check Total OK","Check Total Error"),"Check Total Error")</f>
        <v>Check Total OK</v>
      </c>
      <c r="B13" s="169">
        <f>SUM(B10:B12)</f>
        <v>20138236.859999999</v>
      </c>
      <c r="C13" s="169">
        <f>SUM(C10:C12)</f>
        <v>10972094.689999999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9678960.5499999989</v>
      </c>
      <c r="C18" s="167">
        <f>'DOE25'!G199+'DOE25'!G217+'DOE25'!G235+'DOE25'!G278+'DOE25'!G297+'DOE25'!G316</f>
        <v>5294231.3499999996</v>
      </c>
    </row>
    <row r="19" spans="1:3" x14ac:dyDescent="0.2">
      <c r="A19" t="s">
        <v>775</v>
      </c>
      <c r="B19" s="177">
        <f>6360474.88-470146.61+11239-0.01</f>
        <v>5901567.2599999998</v>
      </c>
      <c r="C19" s="177">
        <v>3229481.12</v>
      </c>
    </row>
    <row r="20" spans="1:3" x14ac:dyDescent="0.2">
      <c r="A20" t="s">
        <v>776</v>
      </c>
      <c r="B20" s="177">
        <f>3260515.12-171044.96</f>
        <v>3089470.16</v>
      </c>
      <c r="C20" s="177">
        <v>1688859.5</v>
      </c>
    </row>
    <row r="21" spans="1:3" x14ac:dyDescent="0.2">
      <c r="A21" t="s">
        <v>777</v>
      </c>
      <c r="B21" s="177">
        <f>470146.61+171044.96+29264.04+17467.52</f>
        <v>687923.13</v>
      </c>
      <c r="C21" s="177">
        <v>375890.73</v>
      </c>
    </row>
    <row r="22" spans="1:3" x14ac:dyDescent="0.2">
      <c r="A22" t="str">
        <f>IF(B18=B22,IF(C18=C22,"Check Total OK","Check Total Error"),"Check Total Error")</f>
        <v>Check Total OK</v>
      </c>
      <c r="B22" s="169">
        <f>SUM(B19:B21)</f>
        <v>9678960.5500000007</v>
      </c>
      <c r="C22" s="169">
        <f>SUM(C19:C21)</f>
        <v>5294231.3499999996</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1363463.59</v>
      </c>
      <c r="C36" s="173">
        <f>'DOE25'!G201+'DOE25'!G219+'DOE25'!G237+'DOE25'!G280+'DOE25'!G299+'DOE25'!G318</f>
        <v>765073.24</v>
      </c>
    </row>
    <row r="37" spans="1:3" x14ac:dyDescent="0.2">
      <c r="A37" t="s">
        <v>775</v>
      </c>
      <c r="B37" s="177">
        <v>242175.01</v>
      </c>
      <c r="C37" s="177">
        <v>137877.01</v>
      </c>
    </row>
    <row r="38" spans="1:3" x14ac:dyDescent="0.2">
      <c r="A38" t="s">
        <v>776</v>
      </c>
      <c r="B38" s="177">
        <f>1079167.87-687148.59-242175.01</f>
        <v>149844.27000000014</v>
      </c>
      <c r="C38" s="177">
        <v>84081.55</v>
      </c>
    </row>
    <row r="39" spans="1:3" x14ac:dyDescent="0.2">
      <c r="A39" t="s">
        <v>777</v>
      </c>
      <c r="B39" s="177">
        <f>125674.68+158621.04+687148.59</f>
        <v>971444.30999999994</v>
      </c>
      <c r="C39" s="177">
        <v>543114.68000000005</v>
      </c>
    </row>
    <row r="40" spans="1:3" x14ac:dyDescent="0.2">
      <c r="A40" t="str">
        <f>IF(B36=B40,IF(C36=C40,"Check Total OK","Check Total Error"),"Check Total Error")</f>
        <v>Check Total OK</v>
      </c>
      <c r="B40" s="169">
        <f>SUM(B37:B39)</f>
        <v>1363463.59</v>
      </c>
      <c r="C40" s="169">
        <f>SUM(C37:C39)</f>
        <v>765073.24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Londonderry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50612251.699999996</v>
      </c>
      <c r="D5" s="19">
        <f>SUM('DOE25'!L198:L201)+SUM('DOE25'!L216:L219)+SUM('DOE25'!L234:L237)-F5-G5-H5</f>
        <v>50413449.739999995</v>
      </c>
      <c r="E5" s="180"/>
      <c r="F5" s="181"/>
      <c r="G5" s="19">
        <f>SUM('DOE25'!J198:J201)+SUM('DOE25'!J216:J219)+SUM('DOE25'!J234:J237)</f>
        <v>137967.81</v>
      </c>
      <c r="H5" s="19">
        <f>SUM('DOE25'!K198:K201)+SUM('DOE25'!K216:K219)+SUM('DOE25'!K234:K237)</f>
        <v>60834.15</v>
      </c>
      <c r="I5" s="192"/>
    </row>
    <row r="6" spans="1:9" x14ac:dyDescent="0.2">
      <c r="A6" s="31">
        <v>2100</v>
      </c>
      <c r="B6" t="s">
        <v>796</v>
      </c>
      <c r="C6" s="206">
        <f t="shared" si="0"/>
        <v>7801486.2700000005</v>
      </c>
      <c r="D6" s="19">
        <f>'DOE25'!L203+'DOE25'!L221+'DOE25'!L239-F6-G6-H6</f>
        <v>7794131.2400000002</v>
      </c>
      <c r="E6" s="180"/>
      <c r="F6" s="181"/>
      <c r="G6" s="19">
        <f>'DOE25'!J203+'DOE25'!J221+'DOE25'!J239</f>
        <v>0</v>
      </c>
      <c r="H6" s="19">
        <f>'DOE25'!K203+'DOE25'!K221+'DOE25'!K239</f>
        <v>7355.03</v>
      </c>
      <c r="I6" s="192"/>
    </row>
    <row r="7" spans="1:9" x14ac:dyDescent="0.2">
      <c r="A7" s="31">
        <v>2200</v>
      </c>
      <c r="B7" t="s">
        <v>820</v>
      </c>
      <c r="C7" s="206">
        <f t="shared" si="0"/>
        <v>2083109.4200000002</v>
      </c>
      <c r="D7" s="19">
        <f>'DOE25'!L204+'DOE25'!L222+'DOE25'!L240-F7-G7-H7</f>
        <v>2081751.9400000002</v>
      </c>
      <c r="E7" s="180"/>
      <c r="F7" s="181"/>
      <c r="G7" s="19">
        <f>'DOE25'!J204+'DOE25'!J222+'DOE25'!J240</f>
        <v>0</v>
      </c>
      <c r="H7" s="19">
        <f>'DOE25'!K204+'DOE25'!K222+'DOE25'!K240</f>
        <v>1357.48</v>
      </c>
      <c r="I7" s="192"/>
    </row>
    <row r="8" spans="1:9" x14ac:dyDescent="0.2">
      <c r="A8" s="31">
        <v>2300</v>
      </c>
      <c r="B8" t="s">
        <v>797</v>
      </c>
      <c r="C8" s="206">
        <f t="shared" si="0"/>
        <v>1302288.48</v>
      </c>
      <c r="D8" s="180"/>
      <c r="E8" s="19">
        <f>'DOE25'!L205+'DOE25'!L223+'DOE25'!L241-F8-G8-H8-D9-D11</f>
        <v>1284792.72</v>
      </c>
      <c r="F8" s="181"/>
      <c r="G8" s="19">
        <f>'DOE25'!J205+'DOE25'!J223+'DOE25'!J241</f>
        <v>1456.94</v>
      </c>
      <c r="H8" s="19">
        <f>'DOE25'!K205+'DOE25'!K223+'DOE25'!K241</f>
        <v>16038.82</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4182199.6399999997</v>
      </c>
      <c r="D12" s="19">
        <f>'DOE25'!L206+'DOE25'!L224+'DOE25'!L242-F12-G12-H12</f>
        <v>4169309.6599999997</v>
      </c>
      <c r="E12" s="180"/>
      <c r="F12" s="181"/>
      <c r="G12" s="19">
        <f>'DOE25'!J206+'DOE25'!J224+'DOE25'!J242</f>
        <v>0</v>
      </c>
      <c r="H12" s="19">
        <f>'DOE25'!K206+'DOE25'!K224+'DOE25'!K242</f>
        <v>12889.98</v>
      </c>
      <c r="I12" s="192"/>
    </row>
    <row r="13" spans="1:9" x14ac:dyDescent="0.2">
      <c r="A13" s="31">
        <v>2500</v>
      </c>
      <c r="B13" t="s">
        <v>798</v>
      </c>
      <c r="C13" s="206">
        <f t="shared" si="0"/>
        <v>1028592.5</v>
      </c>
      <c r="D13" s="180"/>
      <c r="E13" s="19">
        <f>'DOE25'!L207+'DOE25'!L225+'DOE25'!L243-F13-G13-H13</f>
        <v>1028592.5</v>
      </c>
      <c r="F13" s="181"/>
      <c r="G13" s="19">
        <f>'DOE25'!J207+'DOE25'!J225+'DOE25'!J243</f>
        <v>0</v>
      </c>
      <c r="H13" s="19">
        <f>'DOE25'!K207+'DOE25'!K225+'DOE25'!K243</f>
        <v>0</v>
      </c>
      <c r="I13" s="192"/>
    </row>
    <row r="14" spans="1:9" x14ac:dyDescent="0.2">
      <c r="A14" s="31">
        <v>2600</v>
      </c>
      <c r="B14" t="s">
        <v>818</v>
      </c>
      <c r="C14" s="206">
        <f t="shared" si="0"/>
        <v>8539220</v>
      </c>
      <c r="D14" s="19">
        <f>'DOE25'!L208+'DOE25'!L226+'DOE25'!L244-F14-G14-H14</f>
        <v>8404899.8599999994</v>
      </c>
      <c r="E14" s="180"/>
      <c r="F14" s="181"/>
      <c r="G14" s="19">
        <f>'DOE25'!J208+'DOE25'!J226+'DOE25'!J244</f>
        <v>134170.13999999998</v>
      </c>
      <c r="H14" s="19">
        <f>'DOE25'!K208+'DOE25'!K226+'DOE25'!K244</f>
        <v>150</v>
      </c>
      <c r="I14" s="192"/>
    </row>
    <row r="15" spans="1:9" x14ac:dyDescent="0.2">
      <c r="A15" s="31">
        <v>2700</v>
      </c>
      <c r="B15" t="s">
        <v>799</v>
      </c>
      <c r="C15" s="206">
        <f t="shared" si="0"/>
        <v>5019500.8699999992</v>
      </c>
      <c r="D15" s="19">
        <f>'DOE25'!L209+'DOE25'!L227+'DOE25'!L245-F15-G15-H15</f>
        <v>5019500.8699999992</v>
      </c>
      <c r="E15" s="180"/>
      <c r="F15" s="181"/>
      <c r="G15" s="19">
        <f>'DOE25'!J209+'DOE25'!J227+'DOE25'!J245</f>
        <v>0</v>
      </c>
      <c r="H15" s="19">
        <f>'DOE25'!K209+'DOE25'!K227+'DOE25'!K245</f>
        <v>0</v>
      </c>
      <c r="I15" s="192"/>
    </row>
    <row r="16" spans="1:9" x14ac:dyDescent="0.2">
      <c r="A16" s="31">
        <v>2800</v>
      </c>
      <c r="B16" t="s">
        <v>800</v>
      </c>
      <c r="C16" s="206">
        <f t="shared" si="0"/>
        <v>1918816.98</v>
      </c>
      <c r="D16" s="180"/>
      <c r="E16" s="19">
        <f>'DOE25'!L210+'DOE25'!L228+'DOE25'!L246-F16-G16-H16</f>
        <v>1488469.05</v>
      </c>
      <c r="F16" s="181"/>
      <c r="G16" s="19">
        <f>'DOE25'!J210+'DOE25'!J228+'DOE25'!J246</f>
        <v>430347.93</v>
      </c>
      <c r="H16" s="19">
        <f>'DOE25'!K210+'DOE25'!K228+'DOE25'!K246</f>
        <v>0</v>
      </c>
      <c r="I16" s="192"/>
    </row>
    <row r="17" spans="1:9" x14ac:dyDescent="0.2">
      <c r="A17" s="31">
        <v>1600</v>
      </c>
      <c r="B17" t="s">
        <v>801</v>
      </c>
      <c r="C17" s="206">
        <f t="shared" si="0"/>
        <v>102279.29</v>
      </c>
      <c r="D17" s="19">
        <f>'DOE25'!L252-F17-G17-H17</f>
        <v>102279.29</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2081819</v>
      </c>
      <c r="D25" s="180"/>
      <c r="E25" s="180"/>
      <c r="F25" s="191"/>
      <c r="G25" s="180"/>
      <c r="H25" s="180"/>
      <c r="I25" s="190">
        <f>'DOE25'!L261+'DOE25'!L262+'DOE25'!L342+'DOE25'!L343</f>
        <v>2081819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1028768.0700000002</v>
      </c>
      <c r="D29" s="212">
        <f>'DOE25'!L359+'DOE25'!L360+'DOE25'!L361-'DOE25'!I368-F29-G29-H29-F39</f>
        <v>893438.12000000011</v>
      </c>
      <c r="E29" s="180"/>
      <c r="F29" s="180"/>
      <c r="G29" s="19">
        <f>'DOE25'!J359+'DOE25'!J360+'DOE25'!J361</f>
        <v>132505.18000000002</v>
      </c>
      <c r="H29" s="19">
        <f>'DOE25'!K359+'DOE25'!K360+'DOE25'!K361</f>
        <v>2824.77</v>
      </c>
      <c r="I29" s="192"/>
    </row>
    <row r="30" spans="1:9" x14ac:dyDescent="0.2">
      <c r="A30" s="31"/>
      <c r="C30" s="207"/>
      <c r="D30" s="19"/>
      <c r="F30" s="201"/>
      <c r="G30" s="19"/>
      <c r="H30" s="19"/>
      <c r="I30" s="192"/>
    </row>
    <row r="31" spans="1:9" x14ac:dyDescent="0.2">
      <c r="A31" s="31" t="s">
        <v>817</v>
      </c>
      <c r="B31" t="s">
        <v>816</v>
      </c>
      <c r="C31" s="206">
        <f>SUM(D31:I31)</f>
        <v>2516576.71</v>
      </c>
      <c r="D31" s="19">
        <f>'DOE25'!L291+'DOE25'!L310+'DOE25'!L329+'DOE25'!L334+'DOE25'!L335+'DOE25'!L336-F31-G31-H31</f>
        <v>2500491.11</v>
      </c>
      <c r="E31" s="180"/>
      <c r="F31" s="181"/>
      <c r="G31" s="19">
        <f>'DOE25'!J291+'DOE25'!J310+'DOE25'!J329+'DOE25'!J334+'DOE25'!J335+'DOE25'!J336</f>
        <v>14735.6</v>
      </c>
      <c r="H31" s="19">
        <f>'DOE25'!K291+'DOE25'!K310+'DOE25'!K329+'DOE25'!K334+'DOE25'!K335+'DOE25'!K336</f>
        <v>1350</v>
      </c>
      <c r="I31" s="192"/>
    </row>
    <row r="32" spans="1:9" ht="12" thickBot="1" x14ac:dyDescent="0.25">
      <c r="C32" s="207"/>
      <c r="G32" s="188"/>
      <c r="H32" s="188"/>
      <c r="I32" s="194"/>
    </row>
    <row r="33" spans="1:9" ht="12" thickTop="1" x14ac:dyDescent="0.2">
      <c r="B33" t="s">
        <v>809</v>
      </c>
      <c r="D33" s="182">
        <f t="shared" ref="D33:I33" si="1">SUM(D5:D31)</f>
        <v>81379251.830000013</v>
      </c>
      <c r="E33" s="182">
        <f t="shared" si="1"/>
        <v>3801854.2699999996</v>
      </c>
      <c r="F33" s="182">
        <f t="shared" si="1"/>
        <v>0</v>
      </c>
      <c r="G33" s="182">
        <f t="shared" si="1"/>
        <v>851183.60000000009</v>
      </c>
      <c r="H33" s="182">
        <f t="shared" si="1"/>
        <v>102800.23000000001</v>
      </c>
      <c r="I33" s="182">
        <f t="shared" si="1"/>
        <v>2081819</v>
      </c>
    </row>
    <row r="34" spans="1:9" ht="12" thickBot="1" x14ac:dyDescent="0.25"/>
    <row r="35" spans="1:9" ht="12" thickBot="1" x14ac:dyDescent="0.25">
      <c r="B35" s="188" t="s">
        <v>830</v>
      </c>
      <c r="D35" s="189">
        <f>E33</f>
        <v>3801854.2699999996</v>
      </c>
      <c r="E35" s="185"/>
      <c r="F35" s="295" t="s">
        <v>1608</v>
      </c>
      <c r="G35" s="296"/>
      <c r="H35" s="296"/>
      <c r="I35" s="297"/>
    </row>
    <row r="36" spans="1:9" ht="12" thickTop="1" x14ac:dyDescent="0.2">
      <c r="B36" t="s">
        <v>810</v>
      </c>
      <c r="D36" s="19">
        <f>D33</f>
        <v>81379251.830000013</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M3" sqref="M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Londonderry</v>
      </c>
      <c r="B2">
        <f>'DOE25'!B2</f>
        <v>319</v>
      </c>
      <c r="J2" s="224" t="s">
        <v>1808</v>
      </c>
      <c r="K2" s="309">
        <f>SUM('DOE25'!L198:L201)+SUM('DOE25'!L216:L219)+SUM('DOE25'!L234:L237)+SUM('DOE25'!L277:L280)+SUM('DOE25'!L296:L299)+SUM('DOE25'!L315:L318)</f>
        <v>52337881.719999999</v>
      </c>
      <c r="L2" s="309">
        <f>'DOE25'!L203+'DOE25'!L221+'DOE25'!L239+'DOE25'!L282+'DOE25'!L301+'DOE25'!L320</f>
        <v>8075215.8499999996</v>
      </c>
      <c r="M2" s="309">
        <f>'DOE25'!L204+'DOE25'!L222+'DOE25'!L240+'DOE25'!L283+'DOE25'!L302+'DOE25'!L321</f>
        <v>2297679.7200000002</v>
      </c>
      <c r="N2" s="309">
        <f>'DOE25'!L206+'DOE25'!L224+'DOE25'!L242+'DOE25'!L285+'DOE25'!L304+'DOE25'!L323</f>
        <v>4260199.6399999997</v>
      </c>
      <c r="O2" s="309">
        <f>'Salaries-Benefits'!B10+'Salaries-Benefits'!B12+'Salaries-Benefits'!B19+'Salaries-Benefits'!B21+'Salaries-Benefits'!B28+'Salaries-Benefits'!B30+'Salaries-Benefits'!B37+'Salaries-Benefits'!B39</f>
        <v>27496602.550000001</v>
      </c>
      <c r="P2" s="309">
        <f>'Salaries-Benefits'!B11+'Salaries-Benefits'!B20+'Salaries-Benefits'!B29+'Salaries-Benefits'!B38</f>
        <v>3684058.45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-52337881.719999999</v>
      </c>
      <c r="L3" s="311">
        <f t="shared" ref="L3:P3" si="0">L21+L33+L43-L2</f>
        <v>-8075215.8499999996</v>
      </c>
      <c r="M3" s="311">
        <f t="shared" si="0"/>
        <v>-2297679.7200000002</v>
      </c>
      <c r="N3" s="311">
        <f t="shared" si="0"/>
        <v>-4260199.6399999997</v>
      </c>
      <c r="O3" s="311">
        <f t="shared" si="0"/>
        <v>-27496602.550000001</v>
      </c>
      <c r="P3" s="311">
        <f t="shared" si="0"/>
        <v>-3684058.45</v>
      </c>
      <c r="Q3" s="310"/>
      <c r="R3" s="306"/>
      <c r="S3" s="215"/>
      <c r="T3" s="215"/>
      <c r="U3" s="216"/>
    </row>
    <row r="4" spans="1:21" ht="55.5" customHeight="1" thickBot="1" x14ac:dyDescent="0.25">
      <c r="A4" s="224" t="s">
        <v>1522</v>
      </c>
      <c r="B4" s="224" t="s">
        <v>1523</v>
      </c>
      <c r="C4" s="224" t="s">
        <v>896</v>
      </c>
      <c r="D4" s="224" t="s">
        <v>786</v>
      </c>
      <c r="E4" s="224" t="s">
        <v>786</v>
      </c>
      <c r="F4" s="228">
        <f>SUM(F5:F20)</f>
        <v>37440822.590000004</v>
      </c>
      <c r="G4" s="229">
        <f>'DOE25'!L212+'DOE25'!L291</f>
        <v>37440822.590000004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46178.2</v>
      </c>
      <c r="E5" s="220"/>
      <c r="F5" s="232">
        <f>D5+E5</f>
        <v>46178.2</v>
      </c>
      <c r="G5" s="223"/>
      <c r="H5" s="223"/>
      <c r="J5" s="223"/>
      <c r="K5" s="223"/>
      <c r="L5" s="223"/>
      <c r="M5" s="223"/>
      <c r="N5" s="223"/>
      <c r="O5" s="223"/>
      <c r="P5" s="223"/>
      <c r="Q5" s="223"/>
    </row>
    <row r="6" spans="1:21" x14ac:dyDescent="0.2">
      <c r="A6" t="str" cm="1">
        <f t="array" ref="A6">IFERROR(INDEX('School Tables'!$A$4:$G$325,'School Tables'!$J4,3),"")</f>
        <v>Matthew Thornton Elementary School</v>
      </c>
      <c r="B6" s="230">
        <f>IFERROR(VLOOKUP(A6,'School Tables'!$C$3:$D$365,2,FALSE),"")</f>
        <v>20485</v>
      </c>
      <c r="C6" s="223" t="str">
        <f>IFERROR(INDEX('School Tables'!$B$3:$B$365,MATCH('School Level Expenditures'!B6,'School Tables'!$D$3:$D$365,0)),"")</f>
        <v>Londonderry</v>
      </c>
      <c r="D6" s="220">
        <f>4754838.79+5868606.73</f>
        <v>10623445.52</v>
      </c>
      <c r="E6" s="220">
        <v>243834.72</v>
      </c>
      <c r="F6" s="232">
        <f t="shared" ref="F6:F20" si="1">D6+E6</f>
        <v>10867280.24</v>
      </c>
      <c r="G6" s="223"/>
      <c r="H6" s="223"/>
      <c r="J6" t="str">
        <f>A6</f>
        <v>Matthew Thornton Elementary School</v>
      </c>
      <c r="K6" s="20"/>
      <c r="L6" s="20"/>
      <c r="M6" s="308"/>
      <c r="N6" s="20"/>
      <c r="O6" s="20"/>
      <c r="P6" s="20"/>
      <c r="Q6" s="20"/>
    </row>
    <row r="7" spans="1:21" x14ac:dyDescent="0.2">
      <c r="A7" t="str" cm="1">
        <f t="array" ref="A7">IFERROR(INDEX('School Tables'!$A$4:$G$325,'School Tables'!$J5,3),"")</f>
        <v>Moose Hill School</v>
      </c>
      <c r="B7" s="230">
        <f>IFERROR(VLOOKUP(A7,'School Tables'!$C$3:$D$365,2,FALSE),"")</f>
        <v>27905</v>
      </c>
      <c r="C7" s="223" t="str">
        <f>IFERROR(INDEX('School Tables'!$B$3:$B$365,MATCH('School Level Expenditures'!B7,'School Tables'!$D$3:$D$365,0)),"")</f>
        <v>Londonderry</v>
      </c>
      <c r="D7" s="220">
        <f>2946876.22+3168742.11</f>
        <v>6115618.3300000001</v>
      </c>
      <c r="E7" s="220">
        <v>355791.11</v>
      </c>
      <c r="F7" s="232">
        <f t="shared" si="1"/>
        <v>6471409.4400000004</v>
      </c>
      <c r="G7" s="223"/>
      <c r="H7" s="223"/>
      <c r="J7" t="str">
        <f t="shared" ref="J7:J20" si="2">A7</f>
        <v>Moose Hill School</v>
      </c>
      <c r="K7" s="20"/>
      <c r="L7" s="20"/>
      <c r="M7" s="308"/>
      <c r="N7" s="20"/>
      <c r="O7" s="20"/>
      <c r="P7" s="20"/>
      <c r="Q7" s="20"/>
    </row>
    <row r="8" spans="1:21" x14ac:dyDescent="0.2">
      <c r="A8" t="str" cm="1">
        <f t="array" ref="A8">IFERROR(INDEX('School Tables'!$A$4:$G$325,'School Tables'!$J6,3),"")</f>
        <v>North Londonderry Elementary School</v>
      </c>
      <c r="B8" s="230">
        <f>IFERROR(VLOOKUP(A8,'School Tables'!$C$3:$D$365,2,FALSE),"")</f>
        <v>20470</v>
      </c>
      <c r="C8" s="223" t="str">
        <f>IFERROR(INDEX('School Tables'!$B$3:$B$365,MATCH('School Level Expenditures'!B8,'School Tables'!$D$3:$D$365,0)),"")</f>
        <v>Londonderry</v>
      </c>
      <c r="D8" s="220">
        <f>4275013.07+5614455.71</f>
        <v>9889468.7800000012</v>
      </c>
      <c r="E8" s="220">
        <v>158687.5</v>
      </c>
      <c r="F8" s="232">
        <f t="shared" si="1"/>
        <v>10048156.280000001</v>
      </c>
      <c r="G8" s="223"/>
      <c r="H8" s="223"/>
      <c r="J8" t="str">
        <f t="shared" si="2"/>
        <v>North Londonderry Elementary School</v>
      </c>
      <c r="K8" s="20"/>
      <c r="L8" s="20"/>
      <c r="M8" s="308"/>
      <c r="N8" s="20"/>
      <c r="O8" s="20"/>
      <c r="P8" s="20"/>
      <c r="Q8" s="20"/>
    </row>
    <row r="9" spans="1:21" x14ac:dyDescent="0.2">
      <c r="A9" t="str" cm="1">
        <f t="array" ref="A9">IFERROR(INDEX('School Tables'!$A$4:$G$325,'School Tables'!$J7,3),"")</f>
        <v>South Londonderry Elementary School</v>
      </c>
      <c r="B9" s="230">
        <f>IFERROR(VLOOKUP(A9,'School Tables'!$C$3:$D$365,2,FALSE),"")</f>
        <v>20475</v>
      </c>
      <c r="C9" s="223" t="str">
        <f>IFERROR(INDEX('School Tables'!$B$3:$B$365,MATCH('School Level Expenditures'!B9,'School Tables'!$D$3:$D$365,0)),"")</f>
        <v>Londonderry</v>
      </c>
      <c r="D9" s="220">
        <f>3941203.71+5422681.74</f>
        <v>9363885.4499999993</v>
      </c>
      <c r="E9" s="220">
        <v>643912.98</v>
      </c>
      <c r="F9" s="232">
        <f t="shared" si="1"/>
        <v>10007798.43</v>
      </c>
      <c r="G9" s="223"/>
      <c r="H9" s="223"/>
      <c r="J9" t="str">
        <f t="shared" si="2"/>
        <v>South Londonderry Elementary School</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36038596.280000001</v>
      </c>
      <c r="E21" s="262">
        <f>SUM(E5:E20)</f>
        <v>1402226.31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19018692.879999999</v>
      </c>
      <c r="G24" s="229">
        <f>'DOE25'!L230+'DOE25'!L310</f>
        <v>19018692.879999995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763159.88</v>
      </c>
      <c r="E25" s="220"/>
      <c r="F25" s="232">
        <f>D25+E25</f>
        <v>763159.88</v>
      </c>
      <c r="G25" s="223"/>
      <c r="H25" s="223"/>
      <c r="J25" s="223"/>
      <c r="K25" s="223"/>
      <c r="L25" s="224"/>
      <c r="M25" s="223"/>
      <c r="N25" s="223"/>
      <c r="O25" s="223"/>
      <c r="P25" s="223"/>
      <c r="Q25" s="223"/>
    </row>
    <row r="26" spans="1:17" x14ac:dyDescent="0.2">
      <c r="A26" t="str" cm="1">
        <f t="array" ref="A26">IFERROR(INDEX('School Tables'!$L$4:$R$75,'School Tables'!$U4,3),"")</f>
        <v>Londonderry Middle School</v>
      </c>
      <c r="B26" s="230">
        <f>IFERROR(VLOOKUP(A26,'School Tables'!$N$4:$O$75,2,FALSE),"")</f>
        <v>20480</v>
      </c>
      <c r="C26" s="223" t="str">
        <f>IFERROR(INDEX('School Tables'!$M$4:$M$75,MATCH('School Level Expenditures'!A26,'School Tables'!$N$4:$N$75,0)),"")</f>
        <v>Londonderry</v>
      </c>
      <c r="D26" s="220">
        <v>17781428.870000001</v>
      </c>
      <c r="E26" s="220">
        <v>474104.13</v>
      </c>
      <c r="F26" s="232">
        <f t="shared" ref="F26:F32" si="4">D26+E26</f>
        <v>18255533</v>
      </c>
      <c r="G26" s="223"/>
      <c r="H26" s="223"/>
      <c r="J26" t="str">
        <f t="shared" ref="J26:J32" si="5">A26</f>
        <v>Londonderry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18544588.75</v>
      </c>
      <c r="E33" s="262">
        <f>SUM(E25:E32)</f>
        <v>474104.13</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28503583.370000001</v>
      </c>
      <c r="G36" s="229">
        <f>'DOE25'!L248+'DOE25'!L329</f>
        <v>28503583.369999994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1162861.01+184946.65</f>
        <v>1347807.66</v>
      </c>
      <c r="E37" s="220"/>
      <c r="F37" s="232">
        <f t="shared" ref="F37:F42" si="7">D37+E37</f>
        <v>1347807.66</v>
      </c>
      <c r="G37" s="223"/>
      <c r="H37" s="223"/>
      <c r="J37" s="223"/>
      <c r="K37" s="223"/>
      <c r="L37" s="224"/>
      <c r="M37" s="223"/>
      <c r="N37" s="223"/>
      <c r="O37" s="223"/>
      <c r="P37" s="223"/>
      <c r="Q37" s="223"/>
    </row>
    <row r="38" spans="1:18" x14ac:dyDescent="0.2">
      <c r="A38" t="str" cm="1">
        <f t="array" ref="A38">IFERROR(INDEX('School Tables'!$W$4:$AC$100,'School Tables'!$AF4,3),"")</f>
        <v>Londonderry Senior High School</v>
      </c>
      <c r="B38" s="230">
        <f>IFERROR(VLOOKUP(A38,'School Tables'!$Y$4:$Z$100,2,FALSE),"")</f>
        <v>20490</v>
      </c>
      <c r="C38" s="223" t="str">
        <f>IFERROR(INDEX('School Tables'!$X$4:$X$100,MATCH('School Level Expenditures'!A38,'School Tables'!$Y$4:$Y$100,0)),"")</f>
        <v>Londonderry</v>
      </c>
      <c r="D38" s="220">
        <v>26556473.170000002</v>
      </c>
      <c r="E38" s="220">
        <v>599302.54</v>
      </c>
      <c r="F38" s="232">
        <f t="shared" si="7"/>
        <v>27155775.710000001</v>
      </c>
      <c r="G38" s="223"/>
      <c r="H38" s="223"/>
      <c r="J38" t="str">
        <f t="shared" ref="J38:J42" si="8">A38</f>
        <v>Londonderry Senior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27904280.830000002</v>
      </c>
      <c r="E43" s="263">
        <f>SUM(E37:E42)</f>
        <v>599302.54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Londonderry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3975436.7</v>
      </c>
      <c r="D8" s="73">
        <f>'DOE25'!G9</f>
        <v>5900</v>
      </c>
      <c r="E8" s="73">
        <f>'DOE25'!H9</f>
        <v>0</v>
      </c>
      <c r="F8" s="73">
        <f>'DOE25'!I9</f>
        <v>0</v>
      </c>
      <c r="G8" s="73">
        <f>'DOE25'!J9</f>
        <v>643394.92999999993</v>
      </c>
      <c r="H8" s="13">
        <f>SUM(C8:G8)</f>
        <v>4624731.63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902906</v>
      </c>
      <c r="E11" s="73">
        <f>'DOE25'!H12</f>
        <v>0</v>
      </c>
      <c r="F11" s="73">
        <f>'DOE25'!I12</f>
        <v>0</v>
      </c>
      <c r="G11" s="73">
        <f>'DOE25'!J12</f>
        <v>0</v>
      </c>
      <c r="H11" s="13">
        <f t="shared" si="0"/>
        <v>902906</v>
      </c>
      <c r="I11" s="90"/>
    </row>
    <row r="12" spans="1:9" x14ac:dyDescent="0.2">
      <c r="A12" s="1" t="s">
        <v>143</v>
      </c>
      <c r="B12" s="6">
        <v>140</v>
      </c>
      <c r="C12" s="73">
        <f>'DOE25'!F13</f>
        <v>0</v>
      </c>
      <c r="D12" s="73">
        <f>'DOE25'!G13</f>
        <v>86688.05</v>
      </c>
      <c r="E12" s="73">
        <f>'DOE25'!H13</f>
        <v>439515.27</v>
      </c>
      <c r="F12" s="73">
        <f>'DOE25'!I13</f>
        <v>0</v>
      </c>
      <c r="G12" s="73">
        <f>'DOE25'!J13</f>
        <v>0</v>
      </c>
      <c r="H12" s="13">
        <f t="shared" si="0"/>
        <v>526203.32000000007</v>
      </c>
      <c r="I12" s="90"/>
    </row>
    <row r="13" spans="1:9" x14ac:dyDescent="0.2">
      <c r="A13" s="1" t="s">
        <v>144</v>
      </c>
      <c r="B13" s="6">
        <v>150</v>
      </c>
      <c r="C13" s="73">
        <f>'DOE25'!F14</f>
        <v>4430</v>
      </c>
      <c r="D13" s="73">
        <f>'DOE25'!G14</f>
        <v>46174.73</v>
      </c>
      <c r="E13" s="73">
        <f>'DOE25'!H14</f>
        <v>0</v>
      </c>
      <c r="F13" s="73">
        <f>'DOE25'!I14</f>
        <v>0</v>
      </c>
      <c r="G13" s="73">
        <f>'DOE25'!J14</f>
        <v>0</v>
      </c>
      <c r="H13" s="13">
        <f t="shared" si="0"/>
        <v>50604.73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29893.85</v>
      </c>
      <c r="E15" s="73">
        <f>'DOE25'!H16</f>
        <v>0</v>
      </c>
      <c r="F15" s="73">
        <f>'DOE25'!I16</f>
        <v>0</v>
      </c>
      <c r="G15" s="23" t="s">
        <v>288</v>
      </c>
      <c r="H15" s="13">
        <f t="shared" si="0"/>
        <v>29893.85</v>
      </c>
      <c r="I15" s="90"/>
    </row>
    <row r="16" spans="1:9" x14ac:dyDescent="0.2">
      <c r="A16" s="1" t="s">
        <v>147</v>
      </c>
      <c r="B16" s="6">
        <v>180</v>
      </c>
      <c r="C16" s="73">
        <f>'DOE25'!F17</f>
        <v>29270.98</v>
      </c>
      <c r="D16" s="73">
        <f>'DOE25'!G17</f>
        <v>0</v>
      </c>
      <c r="E16" s="73">
        <f>'DOE25'!H17</f>
        <v>0</v>
      </c>
      <c r="F16" s="73">
        <f>'DOE25'!I17</f>
        <v>0</v>
      </c>
      <c r="G16" s="73">
        <f>'DOE25'!J17</f>
        <v>0</v>
      </c>
      <c r="H16" s="13">
        <f t="shared" si="0"/>
        <v>29270.98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4009137.68</v>
      </c>
      <c r="D18" s="38">
        <f>SUM(D8:D17)</f>
        <v>1071562.6300000001</v>
      </c>
      <c r="E18" s="38">
        <f>SUM(E8:E17)</f>
        <v>439515.27</v>
      </c>
      <c r="F18" s="38">
        <f>SUM(F8:F17)</f>
        <v>0</v>
      </c>
      <c r="G18" s="38">
        <f>SUM(G8:G17)</f>
        <v>643394.92999999993</v>
      </c>
      <c r="H18" s="38">
        <f t="shared" si="0"/>
        <v>6163610.5099999998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528552.73</v>
      </c>
      <c r="D21" s="73">
        <f>'DOE25'!G22</f>
        <v>0</v>
      </c>
      <c r="E21" s="73">
        <f>'DOE25'!H22</f>
        <v>324789.27</v>
      </c>
      <c r="F21" s="73">
        <f>'DOE25'!I22</f>
        <v>0</v>
      </c>
      <c r="G21" s="73">
        <f>'DOE25'!J22</f>
        <v>49564</v>
      </c>
      <c r="H21" s="13">
        <f t="shared" ref="H21:H31" si="1">SUM(C21:G21)</f>
        <v>902906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492176.3</v>
      </c>
      <c r="D23" s="73">
        <f>'DOE25'!G24</f>
        <v>99607.45</v>
      </c>
      <c r="E23" s="73">
        <f>'DOE25'!H24</f>
        <v>27708</v>
      </c>
      <c r="F23" s="73">
        <f>'DOE25'!I24</f>
        <v>0</v>
      </c>
      <c r="G23" s="73">
        <f>'DOE25'!J24</f>
        <v>0</v>
      </c>
      <c r="H23" s="13">
        <f t="shared" si="1"/>
        <v>619491.75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637783.68000000005</v>
      </c>
      <c r="D27" s="73">
        <f>'DOE25'!G28</f>
        <v>13131.66</v>
      </c>
      <c r="E27" s="73">
        <f>'DOE25'!H28</f>
        <v>64251.42</v>
      </c>
      <c r="F27" s="73">
        <f>'DOE25'!I28</f>
        <v>0</v>
      </c>
      <c r="G27" s="23" t="s">
        <v>288</v>
      </c>
      <c r="H27" s="13">
        <f t="shared" si="1"/>
        <v>715166.76000000013</v>
      </c>
      <c r="I27" s="90"/>
    </row>
    <row r="28" spans="1:9" x14ac:dyDescent="0.2">
      <c r="A28" s="1" t="s">
        <v>157</v>
      </c>
      <c r="B28" s="6">
        <v>470</v>
      </c>
      <c r="C28" s="73">
        <f>'DOE25'!F29</f>
        <v>198482.58000000002</v>
      </c>
      <c r="D28" s="73">
        <f>'DOE25'!G29</f>
        <v>0</v>
      </c>
      <c r="E28" s="73">
        <f>'DOE25'!H29</f>
        <v>0</v>
      </c>
      <c r="F28" s="73">
        <f>'DOE25'!I29</f>
        <v>0</v>
      </c>
      <c r="G28" s="23" t="s">
        <v>288</v>
      </c>
      <c r="H28" s="13">
        <f t="shared" si="1"/>
        <v>198482.58000000002</v>
      </c>
      <c r="I28" s="90"/>
    </row>
    <row r="29" spans="1:9" x14ac:dyDescent="0.2">
      <c r="A29" s="1" t="s">
        <v>158</v>
      </c>
      <c r="B29" s="6">
        <v>480</v>
      </c>
      <c r="C29" s="73">
        <f>'DOE25'!F30</f>
        <v>24660</v>
      </c>
      <c r="D29" s="73">
        <f>'DOE25'!G30</f>
        <v>0</v>
      </c>
      <c r="E29" s="73">
        <f>'DOE25'!H30</f>
        <v>0</v>
      </c>
      <c r="F29" s="73">
        <f>'DOE25'!I30</f>
        <v>0</v>
      </c>
      <c r="G29" s="23" t="s">
        <v>288</v>
      </c>
      <c r="H29" s="13">
        <f t="shared" si="1"/>
        <v>24660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1881655.29</v>
      </c>
      <c r="D31" s="38">
        <f>SUM(D21:D30)</f>
        <v>112739.11</v>
      </c>
      <c r="E31" s="38">
        <f>SUM(E21:E30)</f>
        <v>416748.69</v>
      </c>
      <c r="F31" s="38">
        <f>SUM(F21:F30)</f>
        <v>0</v>
      </c>
      <c r="G31" s="38">
        <f>SUM(G21:G30)</f>
        <v>49564</v>
      </c>
      <c r="H31" s="38">
        <f t="shared" si="1"/>
        <v>2460707.0900000003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29893.85</v>
      </c>
      <c r="E34" s="73">
        <f>'DOE25'!H35</f>
        <v>0</v>
      </c>
      <c r="F34" s="73">
        <f>'DOE25'!I35</f>
        <v>0</v>
      </c>
      <c r="G34" s="23" t="s">
        <v>288</v>
      </c>
      <c r="H34" s="13">
        <f t="shared" ref="H34:H51" si="2">SUM(C34:G34)</f>
        <v>29893.85</v>
      </c>
      <c r="I34" s="90"/>
    </row>
    <row r="35" spans="1:9" x14ac:dyDescent="0.2">
      <c r="A35" s="1" t="s">
        <v>849</v>
      </c>
      <c r="B35" s="6">
        <v>752</v>
      </c>
      <c r="C35" s="73">
        <f>'DOE25'!F36</f>
        <v>29270.98</v>
      </c>
      <c r="D35" s="73">
        <f>'DOE25'!G36</f>
        <v>0</v>
      </c>
      <c r="E35" s="73">
        <f>'DOE25'!H36</f>
        <v>0</v>
      </c>
      <c r="F35" s="73">
        <f>'DOE25'!I36</f>
        <v>0</v>
      </c>
      <c r="G35" s="23" t="s">
        <v>288</v>
      </c>
      <c r="H35" s="13">
        <f t="shared" si="2"/>
        <v>29270.98</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928929.67</v>
      </c>
      <c r="E39" s="23" t="s">
        <v>288</v>
      </c>
      <c r="F39" s="23" t="s">
        <v>288</v>
      </c>
      <c r="G39" s="23" t="s">
        <v>288</v>
      </c>
      <c r="H39" s="13">
        <f t="shared" si="2"/>
        <v>928929.67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22766.58000000026</v>
      </c>
      <c r="F42" s="73">
        <f>'DOE25'!I43</f>
        <v>0</v>
      </c>
      <c r="G42" s="73">
        <f>'DOE25'!J43</f>
        <v>0</v>
      </c>
      <c r="H42" s="13">
        <f t="shared" si="2"/>
        <v>22766.58000000026</v>
      </c>
      <c r="I42" s="90"/>
    </row>
    <row r="43" spans="1:9" x14ac:dyDescent="0.2">
      <c r="A43" s="1" t="s">
        <v>862</v>
      </c>
      <c r="B43" s="6">
        <v>755</v>
      </c>
      <c r="C43" s="73">
        <f>'DOE25'!F44</f>
        <v>403500</v>
      </c>
      <c r="D43" s="73">
        <f>'DOE25'!G44</f>
        <v>0</v>
      </c>
      <c r="E43" s="73">
        <f>'DOE25'!H44</f>
        <v>0</v>
      </c>
      <c r="F43" s="73">
        <f>'DOE25'!I44</f>
        <v>0</v>
      </c>
      <c r="G43" s="23" t="s">
        <v>288</v>
      </c>
      <c r="H43" s="13">
        <f t="shared" si="2"/>
        <v>403500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1375000</v>
      </c>
      <c r="D45" s="23" t="s">
        <v>288</v>
      </c>
      <c r="E45" s="23" t="s">
        <v>288</v>
      </c>
      <c r="F45" s="23" t="s">
        <v>288</v>
      </c>
      <c r="G45" s="23" t="s">
        <v>288</v>
      </c>
      <c r="H45" s="13">
        <f t="shared" si="2"/>
        <v>1375000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593830.93244910799</v>
      </c>
      <c r="H47" s="13">
        <f t="shared" si="2"/>
        <v>593830.93244910799</v>
      </c>
      <c r="I47" s="90"/>
    </row>
    <row r="48" spans="1:9" x14ac:dyDescent="0.2">
      <c r="A48" s="1" t="s">
        <v>881</v>
      </c>
      <c r="B48" s="6">
        <v>753</v>
      </c>
      <c r="C48" s="73">
        <f>'DOE25'!F49</f>
        <v>84560</v>
      </c>
      <c r="D48" s="73">
        <f>'DOE25'!G49</f>
        <v>0</v>
      </c>
      <c r="E48" s="73">
        <f>'DOE25'!H49</f>
        <v>0</v>
      </c>
      <c r="F48" s="73">
        <f>'DOE25'!I49</f>
        <v>0</v>
      </c>
      <c r="G48" s="73">
        <f>'DOE25'!J49</f>
        <v>0</v>
      </c>
      <c r="H48" s="13">
        <f t="shared" si="2"/>
        <v>84560</v>
      </c>
      <c r="I48" s="90"/>
    </row>
    <row r="49" spans="1:9" ht="12" thickBot="1" x14ac:dyDescent="0.25">
      <c r="A49" s="28" t="s">
        <v>882</v>
      </c>
      <c r="B49" s="56">
        <v>770</v>
      </c>
      <c r="C49" s="73">
        <f>'DOE25'!F50</f>
        <v>235151.40999999992</v>
      </c>
      <c r="D49" s="23" t="s">
        <v>288</v>
      </c>
      <c r="E49" s="23" t="s">
        <v>288</v>
      </c>
      <c r="F49" s="23" t="s">
        <v>288</v>
      </c>
      <c r="G49" s="23" t="s">
        <v>288</v>
      </c>
      <c r="H49" s="13">
        <f t="shared" si="2"/>
        <v>235151.40999999992</v>
      </c>
      <c r="I49" s="90"/>
    </row>
    <row r="50" spans="1:9" ht="12.75" thickTop="1" thickBot="1" x14ac:dyDescent="0.25">
      <c r="A50" s="35" t="s">
        <v>883</v>
      </c>
      <c r="B50" s="44"/>
      <c r="C50" s="38">
        <f>SUM(C34:C49)</f>
        <v>2127482.3899999997</v>
      </c>
      <c r="D50" s="38">
        <f>SUM(D34:D49)</f>
        <v>958823.52</v>
      </c>
      <c r="E50" s="38">
        <f>SUM(E34:E49)</f>
        <v>22766.58000000026</v>
      </c>
      <c r="F50" s="38">
        <f>SUM(F34:F49)</f>
        <v>0</v>
      </c>
      <c r="G50" s="38">
        <f>SUM(G34:G49)</f>
        <v>593830.93244910799</v>
      </c>
      <c r="H50" s="38">
        <f t="shared" si="2"/>
        <v>3702903.4224491077</v>
      </c>
      <c r="I50" s="90"/>
    </row>
    <row r="51" spans="1:9" ht="12" thickTop="1" x14ac:dyDescent="0.2">
      <c r="A51" s="35" t="s">
        <v>884</v>
      </c>
      <c r="B51" s="2"/>
      <c r="C51" s="38">
        <f>C50+C31</f>
        <v>4009137.6799999997</v>
      </c>
      <c r="D51" s="38">
        <f>D50+D31</f>
        <v>1071562.6300000001</v>
      </c>
      <c r="E51" s="38">
        <f>E50+E31</f>
        <v>439515.27000000025</v>
      </c>
      <c r="F51" s="38">
        <f>F50+F31</f>
        <v>0</v>
      </c>
      <c r="G51" s="38">
        <f>G50+G31</f>
        <v>643394.93244910799</v>
      </c>
      <c r="H51" s="38">
        <f t="shared" si="2"/>
        <v>6163610.5124491081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63348064</v>
      </c>
      <c r="D56" s="73">
        <f>'DOE25'!G60</f>
        <v>0</v>
      </c>
      <c r="E56" s="73">
        <f>'DOE25'!H60</f>
        <v>0</v>
      </c>
      <c r="F56" s="73">
        <f>'DOE25'!I60</f>
        <v>0</v>
      </c>
      <c r="G56" s="73">
        <f>'DOE25'!J60</f>
        <v>0</v>
      </c>
      <c r="H56" s="13">
        <f t="shared" ref="H56:H63" si="3">SUM(C56:G56)</f>
        <v>63348064</v>
      </c>
      <c r="I56"/>
    </row>
    <row r="57" spans="1:9" x14ac:dyDescent="0.2">
      <c r="A57" s="1" t="s">
        <v>164</v>
      </c>
      <c r="B57" s="6" t="s">
        <v>165</v>
      </c>
      <c r="C57" s="73">
        <f>'DOE25'!F79</f>
        <v>1650792.3399999999</v>
      </c>
      <c r="D57" s="23" t="s">
        <v>288</v>
      </c>
      <c r="E57" s="73">
        <f>'DOE25'!H79</f>
        <v>0</v>
      </c>
      <c r="F57" s="23" t="s">
        <v>288</v>
      </c>
      <c r="G57" s="23" t="s">
        <v>288</v>
      </c>
      <c r="H57" s="13">
        <f t="shared" si="3"/>
        <v>1650792.3399999999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23168.91</v>
      </c>
      <c r="D59" s="73">
        <f>'DOE25'!G96</f>
        <v>7.24</v>
      </c>
      <c r="E59" s="73">
        <f>'DOE25'!H96</f>
        <v>0</v>
      </c>
      <c r="F59" s="73">
        <f>'DOE25'!I96</f>
        <v>0</v>
      </c>
      <c r="G59" s="73">
        <f>'DOE25'!J96</f>
        <v>1233.08</v>
      </c>
      <c r="H59" s="13">
        <f t="shared" si="3"/>
        <v>24409.230000000003</v>
      </c>
      <c r="I59"/>
    </row>
    <row r="60" spans="1:9" x14ac:dyDescent="0.2">
      <c r="A60" s="1" t="s">
        <v>170</v>
      </c>
      <c r="B60" s="22" t="s">
        <v>171</v>
      </c>
      <c r="C60" s="23" t="s">
        <v>288</v>
      </c>
      <c r="D60" s="73">
        <f>'DOE25'!G97</f>
        <v>1158350.29</v>
      </c>
      <c r="E60" s="23" t="s">
        <v>288</v>
      </c>
      <c r="F60" s="23" t="s">
        <v>288</v>
      </c>
      <c r="G60" s="23" t="s">
        <v>288</v>
      </c>
      <c r="H60" s="13">
        <f t="shared" si="3"/>
        <v>1158350.29</v>
      </c>
      <c r="I60"/>
    </row>
    <row r="61" spans="1:9" ht="12" thickBot="1" x14ac:dyDescent="0.25">
      <c r="A61" s="1" t="s">
        <v>172</v>
      </c>
      <c r="B61" s="22" t="s">
        <v>173</v>
      </c>
      <c r="C61" s="73">
        <f>SUM('DOE25'!F98:F110)</f>
        <v>112789.5</v>
      </c>
      <c r="D61" s="73">
        <f>SUM('DOE25'!G98:G110)</f>
        <v>36108.120000000003</v>
      </c>
      <c r="E61" s="73">
        <f>SUM('DOE25'!H98:H110)</f>
        <v>11759.33</v>
      </c>
      <c r="F61" s="73">
        <f>SUM('DOE25'!I98:I110)</f>
        <v>0</v>
      </c>
      <c r="G61" s="73">
        <f>SUM('DOE25'!J98:J110)</f>
        <v>0</v>
      </c>
      <c r="H61" s="13">
        <f t="shared" si="3"/>
        <v>160656.94999999998</v>
      </c>
      <c r="I61"/>
    </row>
    <row r="62" spans="1:9" ht="12.75" thickTop="1" thickBot="1" x14ac:dyDescent="0.25">
      <c r="A62" s="28" t="s">
        <v>174</v>
      </c>
      <c r="B62" s="6"/>
      <c r="C62" s="93">
        <f>SUM(C57:C61)</f>
        <v>1786750.7499999998</v>
      </c>
      <c r="D62" s="93">
        <f>SUM(D57:D61)</f>
        <v>1194465.6500000001</v>
      </c>
      <c r="E62" s="93">
        <f>SUM(E57:E61)</f>
        <v>11759.33</v>
      </c>
      <c r="F62" s="93">
        <f>SUM(F57:F61)</f>
        <v>0</v>
      </c>
      <c r="G62" s="93">
        <f>SUM(G57:G61)</f>
        <v>1233.08</v>
      </c>
      <c r="H62" s="13">
        <f t="shared" si="3"/>
        <v>2994208.81</v>
      </c>
      <c r="I62"/>
    </row>
    <row r="63" spans="1:9" ht="12" thickTop="1" x14ac:dyDescent="0.2">
      <c r="A63" s="28" t="s">
        <v>175</v>
      </c>
      <c r="B63" s="6"/>
      <c r="C63" s="21">
        <f>C56+C62</f>
        <v>65134814.75</v>
      </c>
      <c r="D63" s="21">
        <f>D56+D62</f>
        <v>1194465.6500000001</v>
      </c>
      <c r="E63" s="21">
        <f>E56+E62</f>
        <v>11759.33</v>
      </c>
      <c r="F63" s="21">
        <f>F56+F62</f>
        <v>0</v>
      </c>
      <c r="G63" s="21">
        <f>G56+G62</f>
        <v>1233.08</v>
      </c>
      <c r="H63" s="13">
        <f t="shared" si="3"/>
        <v>66342272.809999995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12964712.09</v>
      </c>
      <c r="D66" s="23" t="s">
        <v>288</v>
      </c>
      <c r="E66" s="23" t="s">
        <v>288</v>
      </c>
      <c r="F66" s="23" t="s">
        <v>288</v>
      </c>
      <c r="G66" s="23" t="s">
        <v>288</v>
      </c>
      <c r="H66" s="13">
        <f t="shared" ref="H66:H81" si="4">SUM(C66:G66)</f>
        <v>12964712.09</v>
      </c>
      <c r="I66"/>
    </row>
    <row r="67" spans="1:9" x14ac:dyDescent="0.2">
      <c r="A67" s="1" t="s">
        <v>770</v>
      </c>
      <c r="B67" s="6">
        <v>3112</v>
      </c>
      <c r="C67" s="73">
        <f>'DOE25'!F118</f>
        <v>5318525</v>
      </c>
      <c r="D67" s="23"/>
      <c r="E67" s="23"/>
      <c r="F67" s="23"/>
      <c r="G67" s="23"/>
      <c r="H67" s="13">
        <f t="shared" si="4"/>
        <v>5318525</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483819.61</v>
      </c>
      <c r="D69" s="73">
        <f>'DOE25'!G120</f>
        <v>0</v>
      </c>
      <c r="E69" s="73">
        <f>'DOE25'!H120</f>
        <v>0</v>
      </c>
      <c r="F69" s="73">
        <f>'DOE25'!I120</f>
        <v>0</v>
      </c>
      <c r="G69" s="73">
        <f>'DOE25'!J120</f>
        <v>0</v>
      </c>
      <c r="H69" s="13">
        <f t="shared" si="4"/>
        <v>483819.61</v>
      </c>
      <c r="I69"/>
    </row>
    <row r="70" spans="1:9" ht="12" thickTop="1" x14ac:dyDescent="0.2">
      <c r="A70" s="28" t="s">
        <v>252</v>
      </c>
      <c r="B70" s="2"/>
      <c r="C70" s="97">
        <f>SUM(C66:C69)</f>
        <v>18767056.699999999</v>
      </c>
      <c r="D70" s="97">
        <f>D69</f>
        <v>0</v>
      </c>
      <c r="E70" s="97">
        <f>E69</f>
        <v>0</v>
      </c>
      <c r="F70" s="97">
        <f>F69</f>
        <v>0</v>
      </c>
      <c r="G70" s="97">
        <f>G69</f>
        <v>0</v>
      </c>
      <c r="H70" s="13">
        <f t="shared" si="4"/>
        <v>18767056.699999999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244367.83</v>
      </c>
      <c r="D72" s="23" t="s">
        <v>288</v>
      </c>
      <c r="E72" s="23" t="s">
        <v>288</v>
      </c>
      <c r="F72" s="73">
        <f>'DOE25'!I123</f>
        <v>0</v>
      </c>
      <c r="G72" s="23" t="s">
        <v>288</v>
      </c>
      <c r="H72" s="13">
        <f t="shared" si="4"/>
        <v>244367.83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521256.15</v>
      </c>
      <c r="D75" s="23" t="s">
        <v>288</v>
      </c>
      <c r="E75" s="23" t="s">
        <v>288</v>
      </c>
      <c r="F75" s="23" t="s">
        <v>288</v>
      </c>
      <c r="G75" s="23" t="s">
        <v>288</v>
      </c>
      <c r="H75" s="13">
        <f t="shared" si="4"/>
        <v>521256.15</v>
      </c>
      <c r="I75"/>
    </row>
    <row r="76" spans="1:9" x14ac:dyDescent="0.2">
      <c r="A76" s="1" t="s">
        <v>257</v>
      </c>
      <c r="B76" s="6" t="s">
        <v>179</v>
      </c>
      <c r="C76" s="73">
        <f>SUM('DOE25'!F127:F130)</f>
        <v>25988.7</v>
      </c>
      <c r="D76" s="23" t="s">
        <v>288</v>
      </c>
      <c r="E76" s="73">
        <f>SUM('DOE25'!H127:H130)</f>
        <v>4950</v>
      </c>
      <c r="F76" s="73">
        <f>SUM('DOE25'!I127:I130)</f>
        <v>0</v>
      </c>
      <c r="G76" s="23" t="s">
        <v>288</v>
      </c>
      <c r="H76" s="13">
        <f t="shared" si="4"/>
        <v>30938.7</v>
      </c>
      <c r="I76"/>
    </row>
    <row r="77" spans="1:9" ht="12" thickBot="1" x14ac:dyDescent="0.25">
      <c r="A77" s="1" t="s">
        <v>258</v>
      </c>
      <c r="B77" s="6" t="s">
        <v>180</v>
      </c>
      <c r="C77" s="73">
        <f>SUM('DOE25'!F131:F135)</f>
        <v>0</v>
      </c>
      <c r="D77" s="73">
        <f>SUM('DOE25'!G131:G135)</f>
        <v>21435.3</v>
      </c>
      <c r="E77" s="73">
        <f>SUM('DOE25'!H131:H135)</f>
        <v>78847.199999999997</v>
      </c>
      <c r="F77" s="73">
        <f>SUM('DOE25'!I131:I135)</f>
        <v>0</v>
      </c>
      <c r="G77" s="73">
        <f>SUM('DOE25'!J131:J135)</f>
        <v>0</v>
      </c>
      <c r="H77" s="13">
        <f t="shared" si="4"/>
        <v>100282.5</v>
      </c>
      <c r="I77"/>
    </row>
    <row r="78" spans="1:9" ht="12.75" thickTop="1" thickBot="1" x14ac:dyDescent="0.25">
      <c r="A78" s="28" t="s">
        <v>259</v>
      </c>
      <c r="B78" s="6"/>
      <c r="C78" s="93">
        <f>SUM(C72:C77)</f>
        <v>791612.67999999993</v>
      </c>
      <c r="D78" s="93">
        <f>SUM(D72:D77)</f>
        <v>21435.3</v>
      </c>
      <c r="E78" s="93">
        <f>SUM(E72:E77)</f>
        <v>83797.2</v>
      </c>
      <c r="F78" s="93">
        <f>SUM(F72:F77)</f>
        <v>0</v>
      </c>
      <c r="G78" s="93">
        <f>SUM(G72:G77)</f>
        <v>0</v>
      </c>
      <c r="H78" s="13">
        <f t="shared" si="4"/>
        <v>896845.17999999993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19558669.379999999</v>
      </c>
      <c r="D81" s="93">
        <f>SUM(D79:D80)+D78+D70</f>
        <v>21435.3</v>
      </c>
      <c r="E81" s="93">
        <f>SUM(E79:E80)+E78+E70</f>
        <v>83797.2</v>
      </c>
      <c r="F81" s="93">
        <f>SUM(F79:F80)+F78+F70</f>
        <v>0</v>
      </c>
      <c r="G81" s="93">
        <f>SUM(G79:G80)+G78+G70</f>
        <v>0</v>
      </c>
      <c r="H81" s="93">
        <f t="shared" si="4"/>
        <v>19663901.879999999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294300.62</v>
      </c>
      <c r="D88" s="253">
        <f>SUM('DOE25'!G153:G162)</f>
        <v>644263.24</v>
      </c>
      <c r="E88" s="253">
        <f>SUM('DOE25'!H153:H162)</f>
        <v>2422523.96</v>
      </c>
      <c r="F88" s="253">
        <f>SUM('DOE25'!I153:I162)</f>
        <v>0</v>
      </c>
      <c r="G88" s="23" t="s">
        <v>288</v>
      </c>
      <c r="H88" s="13">
        <f t="shared" si="5"/>
        <v>3361087.82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294300.62</v>
      </c>
      <c r="D91" s="94">
        <f>SUM(D85:D90)</f>
        <v>644263.24</v>
      </c>
      <c r="E91" s="94">
        <f>SUM(E85:E90)</f>
        <v>2422523.96</v>
      </c>
      <c r="F91" s="94">
        <f>SUM(F85:F90)</f>
        <v>0</v>
      </c>
      <c r="G91" s="23" t="s">
        <v>288</v>
      </c>
      <c r="H91" s="13">
        <f t="shared" si="5"/>
        <v>3361087.82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4443.49</v>
      </c>
      <c r="E96" s="73">
        <f>'DOE25'!H180</f>
        <v>0</v>
      </c>
      <c r="F96" s="73">
        <f>'DOE25'!I180</f>
        <v>0</v>
      </c>
      <c r="G96" s="73">
        <f>'DOE25'!J180</f>
        <v>870000</v>
      </c>
      <c r="H96" s="13">
        <f t="shared" si="5"/>
        <v>874443.49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759528.14</v>
      </c>
      <c r="D100" s="73">
        <f>SUM('DOE25'!G187:G188)</f>
        <v>0</v>
      </c>
      <c r="E100" s="73">
        <f>SUM('DOE25'!H187:H188)</f>
        <v>0</v>
      </c>
      <c r="F100" s="73">
        <f>SUM('DOE25'!I187:I188)</f>
        <v>0</v>
      </c>
      <c r="G100" s="23" t="s">
        <v>288</v>
      </c>
      <c r="H100" s="13">
        <f t="shared" si="5"/>
        <v>759528.14</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759528.14</v>
      </c>
      <c r="D103" s="68">
        <f>SUM(D93:D102)</f>
        <v>4443.49</v>
      </c>
      <c r="E103" s="68">
        <f>SUM(E93:E102)</f>
        <v>0</v>
      </c>
      <c r="F103" s="68">
        <f>SUM(F93:F102)</f>
        <v>0</v>
      </c>
      <c r="G103" s="68">
        <f>SUM(G93:G102)</f>
        <v>870000</v>
      </c>
      <c r="H103" s="68">
        <f t="shared" si="5"/>
        <v>1633971.63</v>
      </c>
    </row>
    <row r="104" spans="1:8" ht="12.75" thickTop="1" thickBot="1" x14ac:dyDescent="0.25">
      <c r="A104" s="32" t="s">
        <v>761</v>
      </c>
      <c r="C104" s="68">
        <f>C63+C81+C91+C103</f>
        <v>85747312.890000001</v>
      </c>
      <c r="D104" s="68">
        <f>D63+D81+D91+D103</f>
        <v>1864607.6800000002</v>
      </c>
      <c r="E104" s="68">
        <f>E63+E81+E91+E103</f>
        <v>2518080.4899999998</v>
      </c>
      <c r="F104" s="68">
        <f>F63+F81+F91+F103</f>
        <v>0</v>
      </c>
      <c r="G104" s="68">
        <f>G63+G81+G103</f>
        <v>871233.08</v>
      </c>
      <c r="H104" s="68">
        <f t="shared" si="5"/>
        <v>91001234.140000001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31554661.080000002</v>
      </c>
      <c r="D109" s="23" t="s">
        <v>288</v>
      </c>
      <c r="E109" s="73">
        <f>('DOE25'!L277)+('DOE25'!L296)+('DOE25'!L315)</f>
        <v>445257.14</v>
      </c>
      <c r="F109" s="23" t="s">
        <v>288</v>
      </c>
      <c r="G109" s="23" t="s">
        <v>288</v>
      </c>
      <c r="H109" s="13">
        <f t="shared" ref="H109:H115" si="6">SUM(C109:G109)</f>
        <v>31999918.220000003</v>
      </c>
    </row>
    <row r="110" spans="1:8" x14ac:dyDescent="0.2">
      <c r="A110" t="s">
        <v>198</v>
      </c>
      <c r="B110" s="31" t="s">
        <v>199</v>
      </c>
      <c r="C110" s="73">
        <f>('DOE25'!L199)+('DOE25'!L217)+('DOE25'!L235)</f>
        <v>16497890.209999997</v>
      </c>
      <c r="D110" s="23" t="s">
        <v>288</v>
      </c>
      <c r="E110" s="73">
        <f>('DOE25'!L278)+('DOE25'!L297)+('DOE25'!L316)</f>
        <v>1160212.1500000001</v>
      </c>
      <c r="F110" s="23" t="s">
        <v>288</v>
      </c>
      <c r="G110" s="23" t="s">
        <v>288</v>
      </c>
      <c r="H110" s="13">
        <f t="shared" si="6"/>
        <v>17658102.359999996</v>
      </c>
    </row>
    <row r="111" spans="1:8" x14ac:dyDescent="0.2">
      <c r="A111" t="s">
        <v>200</v>
      </c>
      <c r="B111" s="31" t="s">
        <v>165</v>
      </c>
      <c r="C111" s="73">
        <f>('DOE25'!L200)+('DOE25'!L218)+('DOE25'!L236)</f>
        <v>184946.65</v>
      </c>
      <c r="D111" s="23" t="s">
        <v>288</v>
      </c>
      <c r="E111" s="73">
        <f>('DOE25'!L279)+('DOE25'!L298)+('DOE25'!L317)</f>
        <v>0</v>
      </c>
      <c r="F111" s="23" t="s">
        <v>288</v>
      </c>
      <c r="G111" s="23" t="s">
        <v>288</v>
      </c>
      <c r="H111" s="13">
        <f t="shared" si="6"/>
        <v>184946.65</v>
      </c>
    </row>
    <row r="112" spans="1:8" x14ac:dyDescent="0.2">
      <c r="A112" t="s">
        <v>201</v>
      </c>
      <c r="B112" s="31" t="s">
        <v>167</v>
      </c>
      <c r="C112" s="73">
        <f>('DOE25'!L201)+('DOE25'!L219)+('DOE25'!L237)</f>
        <v>2374753.7600000002</v>
      </c>
      <c r="D112" s="23" t="s">
        <v>288</v>
      </c>
      <c r="E112" s="73">
        <f>+('DOE25'!L280)+('DOE25'!L299)+('DOE25'!L318)</f>
        <v>120160.73</v>
      </c>
      <c r="F112" s="23" t="s">
        <v>288</v>
      </c>
      <c r="G112" s="23" t="s">
        <v>288</v>
      </c>
      <c r="H112" s="13">
        <f t="shared" si="6"/>
        <v>2494914.4900000002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102279.29</v>
      </c>
      <c r="D114" s="23" t="s">
        <v>288</v>
      </c>
      <c r="E114" s="73">
        <f>+ SUM('DOE25'!L334:L336)</f>
        <v>40943.729999999996</v>
      </c>
      <c r="F114" s="23" t="s">
        <v>288</v>
      </c>
      <c r="G114" s="23" t="s">
        <v>288</v>
      </c>
      <c r="H114" s="13">
        <f t="shared" si="6"/>
        <v>143223.01999999999</v>
      </c>
    </row>
    <row r="115" spans="1:8" ht="12.75" thickTop="1" thickBot="1" x14ac:dyDescent="0.25">
      <c r="A115" s="32" t="s">
        <v>205</v>
      </c>
      <c r="C115" s="68">
        <f>SUM(C109:C114)</f>
        <v>50714530.989999995</v>
      </c>
      <c r="D115" s="68">
        <f>SUM(D109:D114)</f>
        <v>0</v>
      </c>
      <c r="E115" s="68">
        <f>SUM(E109:E114)</f>
        <v>1766573.75</v>
      </c>
      <c r="F115" s="68">
        <f>SUM(F109:F114)</f>
        <v>0</v>
      </c>
      <c r="G115" s="68">
        <f>SUM(G109:G114)</f>
        <v>0</v>
      </c>
      <c r="H115" s="68">
        <f t="shared" si="6"/>
        <v>52481104.739999995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7801486.2700000005</v>
      </c>
      <c r="D118" s="23" t="s">
        <v>288</v>
      </c>
      <c r="E118" s="73">
        <f>+('DOE25'!L282)+('DOE25'!L301)+('DOE25'!L320)</f>
        <v>273729.57999999996</v>
      </c>
      <c r="F118" s="23" t="s">
        <v>288</v>
      </c>
      <c r="G118" s="23" t="s">
        <v>288</v>
      </c>
      <c r="H118" s="13">
        <f t="shared" ref="H118:H145" si="7">SUM(C118:G118)</f>
        <v>8075215.8500000006</v>
      </c>
    </row>
    <row r="119" spans="1:8" x14ac:dyDescent="0.2">
      <c r="A119" t="s">
        <v>208</v>
      </c>
      <c r="B119" s="31" t="s">
        <v>209</v>
      </c>
      <c r="C119" s="73">
        <f>('DOE25'!L204)+('DOE25'!L222)+('DOE25'!L240)</f>
        <v>2083109.4200000002</v>
      </c>
      <c r="D119" s="23" t="s">
        <v>288</v>
      </c>
      <c r="E119" s="73">
        <f>+('DOE25'!L283)+('DOE25'!L302)+('DOE25'!L321)</f>
        <v>214570.3</v>
      </c>
      <c r="F119" s="23" t="s">
        <v>288</v>
      </c>
      <c r="G119" s="23" t="s">
        <v>288</v>
      </c>
      <c r="H119" s="13">
        <f t="shared" si="7"/>
        <v>2297679.7200000002</v>
      </c>
    </row>
    <row r="120" spans="1:8" x14ac:dyDescent="0.2">
      <c r="A120" t="s">
        <v>210</v>
      </c>
      <c r="B120" s="31" t="s">
        <v>211</v>
      </c>
      <c r="C120" s="73">
        <f>('DOE25'!L205)+('DOE25'!L223)+('DOE25'!L241)</f>
        <v>1302288.48</v>
      </c>
      <c r="D120" s="23" t="s">
        <v>288</v>
      </c>
      <c r="E120" s="73">
        <f>+('DOE25'!L284)+('DOE25'!L303)+('DOE25'!L322)</f>
        <v>0</v>
      </c>
      <c r="F120" s="23" t="s">
        <v>288</v>
      </c>
      <c r="G120" s="23" t="s">
        <v>288</v>
      </c>
      <c r="H120" s="13">
        <f t="shared" si="7"/>
        <v>1302288.48</v>
      </c>
    </row>
    <row r="121" spans="1:8" x14ac:dyDescent="0.2">
      <c r="A121" t="s">
        <v>212</v>
      </c>
      <c r="B121" s="31" t="s">
        <v>213</v>
      </c>
      <c r="C121" s="73">
        <f>('DOE25'!L206)+('DOE25'!L224)+('DOE25'!L242)</f>
        <v>4182199.6399999997</v>
      </c>
      <c r="D121" s="23" t="s">
        <v>288</v>
      </c>
      <c r="E121" s="73">
        <f>+('DOE25'!L285)+('DOE25'!L304)+('DOE25'!L323)</f>
        <v>78000</v>
      </c>
      <c r="F121" s="23" t="s">
        <v>288</v>
      </c>
      <c r="G121" s="23" t="s">
        <v>288</v>
      </c>
      <c r="H121" s="13">
        <f t="shared" si="7"/>
        <v>4260199.6399999997</v>
      </c>
    </row>
    <row r="122" spans="1:8" x14ac:dyDescent="0.2">
      <c r="A122" t="s">
        <v>214</v>
      </c>
      <c r="B122" s="31" t="s">
        <v>215</v>
      </c>
      <c r="C122" s="73">
        <f>('DOE25'!L207)+('DOE25'!L225)+('DOE25'!L243)</f>
        <v>1028592.5</v>
      </c>
      <c r="D122" s="23" t="s">
        <v>288</v>
      </c>
      <c r="E122" s="73">
        <f>+('DOE25'!L286)+('DOE25'!L305)+('DOE25'!L324)</f>
        <v>0</v>
      </c>
      <c r="F122" s="23" t="s">
        <v>288</v>
      </c>
      <c r="G122" s="23" t="s">
        <v>288</v>
      </c>
      <c r="H122" s="13">
        <f t="shared" si="7"/>
        <v>1028592.5</v>
      </c>
    </row>
    <row r="123" spans="1:8" x14ac:dyDescent="0.2">
      <c r="A123" t="s">
        <v>216</v>
      </c>
      <c r="B123" s="31" t="s">
        <v>217</v>
      </c>
      <c r="C123" s="73">
        <f>('DOE25'!L208)+('DOE25'!L226)+('DOE25'!L244)</f>
        <v>8539220</v>
      </c>
      <c r="D123" s="23" t="s">
        <v>288</v>
      </c>
      <c r="E123" s="73">
        <f>+('DOE25'!L287)+('DOE25'!L306)+('DOE25'!L325)</f>
        <v>104870.76000000001</v>
      </c>
      <c r="F123" s="23" t="s">
        <v>288</v>
      </c>
      <c r="G123" s="23" t="s">
        <v>288</v>
      </c>
      <c r="H123" s="13">
        <f t="shared" si="7"/>
        <v>8644090.7599999998</v>
      </c>
    </row>
    <row r="124" spans="1:8" x14ac:dyDescent="0.2">
      <c r="A124" t="s">
        <v>218</v>
      </c>
      <c r="B124" s="31" t="s">
        <v>219</v>
      </c>
      <c r="C124" s="73">
        <f>('DOE25'!L209)+('DOE25'!L227)+('DOE25'!L245+'DOE25'!L255)</f>
        <v>5019500.8699999992</v>
      </c>
      <c r="D124" s="23" t="s">
        <v>288</v>
      </c>
      <c r="E124" s="73">
        <f>+('DOE25'!L288)+('DOE25'!L307)+('DOE25'!L326)</f>
        <v>78832.320000000007</v>
      </c>
      <c r="F124" s="23" t="s">
        <v>288</v>
      </c>
      <c r="G124" s="23" t="s">
        <v>288</v>
      </c>
      <c r="H124" s="13">
        <f t="shared" si="7"/>
        <v>5098333.1899999995</v>
      </c>
    </row>
    <row r="125" spans="1:8" x14ac:dyDescent="0.2">
      <c r="A125" t="s">
        <v>220</v>
      </c>
      <c r="B125" s="31" t="s">
        <v>221</v>
      </c>
      <c r="C125" s="73">
        <f>('DOE25'!L210)+('DOE25'!L228)+('DOE25'!L246)</f>
        <v>1918816.98</v>
      </c>
      <c r="D125" s="23" t="s">
        <v>288</v>
      </c>
      <c r="E125" s="73">
        <f>+('DOE25'!L289)+('DOE25'!L308)+('DOE25'!L327)</f>
        <v>0</v>
      </c>
      <c r="F125" s="23" t="s">
        <v>288</v>
      </c>
      <c r="G125" s="23" t="s">
        <v>288</v>
      </c>
      <c r="H125" s="13">
        <f t="shared" si="7"/>
        <v>1918816.98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1734873.1900000002</v>
      </c>
      <c r="E127" s="23" t="s">
        <v>288</v>
      </c>
      <c r="F127" s="23" t="s">
        <v>288</v>
      </c>
      <c r="G127" s="23" t="s">
        <v>288</v>
      </c>
      <c r="H127" s="13">
        <f t="shared" si="7"/>
        <v>1734873.1900000002</v>
      </c>
    </row>
    <row r="128" spans="1:8" ht="12.75" thickTop="1" thickBot="1" x14ac:dyDescent="0.25">
      <c r="A128" s="32" t="s">
        <v>226</v>
      </c>
      <c r="C128" s="68">
        <f>SUM(C118:C127)</f>
        <v>31875214.16</v>
      </c>
      <c r="D128" s="68">
        <f>SUM(D118:D127)</f>
        <v>1734873.1900000002</v>
      </c>
      <c r="E128" s="68">
        <f>SUM(E118:E127)</f>
        <v>750002.96</v>
      </c>
      <c r="F128" s="68">
        <f>SUM(F118:F127)</f>
        <v>0</v>
      </c>
      <c r="G128" s="68">
        <f>SUM(G118:G127)</f>
        <v>0</v>
      </c>
      <c r="H128" s="68">
        <f t="shared" si="7"/>
        <v>34360090.310000002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1605000</v>
      </c>
      <c r="D131" s="23" t="s">
        <v>288</v>
      </c>
      <c r="E131" s="92">
        <f>'DOE25'!L342</f>
        <v>0</v>
      </c>
      <c r="F131" s="23" t="s">
        <v>288</v>
      </c>
      <c r="G131" s="23" t="s">
        <v>288</v>
      </c>
      <c r="H131" s="13">
        <f t="shared" si="7"/>
        <v>1605000</v>
      </c>
    </row>
    <row r="132" spans="1:8" x14ac:dyDescent="0.2">
      <c r="A132" t="s">
        <v>230</v>
      </c>
      <c r="B132" s="31">
        <v>5120</v>
      </c>
      <c r="C132" s="73">
        <f>'DOE25'!L262</f>
        <v>476819</v>
      </c>
      <c r="D132" s="23" t="s">
        <v>288</v>
      </c>
      <c r="E132" s="92">
        <f>'DOE25'!L343</f>
        <v>0</v>
      </c>
      <c r="F132" s="23" t="s">
        <v>288</v>
      </c>
      <c r="G132" s="23" t="s">
        <v>288</v>
      </c>
      <c r="H132" s="13">
        <f t="shared" si="7"/>
        <v>476819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759528.14</v>
      </c>
      <c r="H134" s="13">
        <f t="shared" si="7"/>
        <v>759528.14</v>
      </c>
    </row>
    <row r="135" spans="1:8" x14ac:dyDescent="0.2">
      <c r="A135" t="s">
        <v>233</v>
      </c>
      <c r="B135" s="31" t="s">
        <v>234</v>
      </c>
      <c r="C135" s="73">
        <f>'DOE25'!L264</f>
        <v>4443.49</v>
      </c>
      <c r="D135" s="23" t="s">
        <v>288</v>
      </c>
      <c r="E135" s="92">
        <f>'DOE25'!L346</f>
        <v>0</v>
      </c>
      <c r="F135" s="23" t="s">
        <v>288</v>
      </c>
      <c r="G135" s="23" t="s">
        <v>288</v>
      </c>
      <c r="H135" s="13">
        <f t="shared" si="7"/>
        <v>4443.49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871020.54</v>
      </c>
      <c r="D138" s="23" t="s">
        <v>288</v>
      </c>
      <c r="E138" s="23" t="s">
        <v>288</v>
      </c>
      <c r="F138" s="23" t="s">
        <v>288</v>
      </c>
      <c r="G138" s="23" t="s">
        <v>288</v>
      </c>
      <c r="H138" s="13">
        <f t="shared" si="7"/>
        <v>871020.54</v>
      </c>
    </row>
    <row r="139" spans="1:8" x14ac:dyDescent="0.2">
      <c r="A139" t="s">
        <v>239</v>
      </c>
      <c r="B139" s="31">
        <v>5252</v>
      </c>
      <c r="C139" s="73">
        <f>'DOE25'!L402</f>
        <v>212.54</v>
      </c>
      <c r="D139" s="23" t="s">
        <v>288</v>
      </c>
      <c r="E139" s="23" t="s">
        <v>288</v>
      </c>
      <c r="F139" s="23" t="s">
        <v>288</v>
      </c>
      <c r="G139" s="23" t="s">
        <v>288</v>
      </c>
      <c r="H139" s="13">
        <f t="shared" si="7"/>
        <v>212.54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-1233.0800000000745</v>
      </c>
      <c r="D141" s="23" t="s">
        <v>288</v>
      </c>
      <c r="E141" s="23" t="s">
        <v>288</v>
      </c>
      <c r="F141" s="23" t="s">
        <v>288</v>
      </c>
      <c r="G141" s="23" t="s">
        <v>288</v>
      </c>
      <c r="H141" s="13">
        <f t="shared" si="7"/>
        <v>-1233.0800000000745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2956262.49</v>
      </c>
      <c r="D144" s="98">
        <f>SUM(D130:D143)</f>
        <v>0</v>
      </c>
      <c r="E144" s="98">
        <f>SUM(E130:E143)</f>
        <v>0</v>
      </c>
      <c r="F144" s="98">
        <f>SUM(F130:F143)</f>
        <v>0</v>
      </c>
      <c r="G144" s="98">
        <f>SUM(G130:G143)</f>
        <v>759528.14</v>
      </c>
      <c r="H144" s="98">
        <f t="shared" si="7"/>
        <v>3715790.6300000004</v>
      </c>
    </row>
    <row r="145" spans="1:9" ht="12.75" thickTop="1" thickBot="1" x14ac:dyDescent="0.25">
      <c r="A145" s="32" t="s">
        <v>244</v>
      </c>
      <c r="C145" s="68">
        <f>(C115+C128+C144)</f>
        <v>85546007.639999986</v>
      </c>
      <c r="D145" s="68">
        <f>(D115+D128+D144)</f>
        <v>1734873.1900000002</v>
      </c>
      <c r="E145" s="68">
        <f>(E115+E128+E144)</f>
        <v>2516576.71</v>
      </c>
      <c r="F145" s="68">
        <f>(F115+F128+F144)</f>
        <v>0</v>
      </c>
      <c r="G145" s="68">
        <f>(G115+G128+G144)</f>
        <v>759528.14</v>
      </c>
      <c r="H145" s="68">
        <f t="shared" si="7"/>
        <v>90556985.679999977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12</v>
      </c>
      <c r="E151" s="110">
        <f>'DOE25'!I491</f>
        <v>10</v>
      </c>
      <c r="F151" s="110">
        <f>'DOE25'!J491</f>
        <v>0</v>
      </c>
      <c r="G151" s="23" t="s">
        <v>288</v>
      </c>
    </row>
    <row r="152" spans="1:9" x14ac:dyDescent="0.2">
      <c r="A152" s="21" t="s">
        <v>28</v>
      </c>
      <c r="B152" s="109" t="str">
        <f>'DOE25'!F492</f>
        <v>04/02</v>
      </c>
      <c r="C152" s="109" t="str">
        <f>'DOE25'!G492</f>
        <v>05/2017</v>
      </c>
      <c r="D152" s="109" t="str">
        <f>'DOE25'!H492</f>
        <v xml:space="preserve"> 05/14</v>
      </c>
      <c r="E152" s="109" t="str">
        <f>'DOE25'!I492</f>
        <v xml:space="preserve"> 07/14</v>
      </c>
      <c r="F152" s="109">
        <f>'DOE25'!J492</f>
        <v>0</v>
      </c>
      <c r="G152" s="23" t="s">
        <v>288</v>
      </c>
    </row>
    <row r="153" spans="1:9" x14ac:dyDescent="0.2">
      <c r="A153" s="21" t="s">
        <v>29</v>
      </c>
      <c r="B153" s="109" t="str">
        <f>'DOE25'!F493</f>
        <v>7/22</v>
      </c>
      <c r="C153" s="109" t="str">
        <f>'DOE25'!G493</f>
        <v>07/2028</v>
      </c>
      <c r="D153" s="109" t="str">
        <f>'DOE25'!H493</f>
        <v xml:space="preserve"> 08/25</v>
      </c>
      <c r="E153" s="109" t="str">
        <f>'DOE25'!I493</f>
        <v xml:space="preserve"> 07/24</v>
      </c>
      <c r="F153" s="109">
        <f>'DOE25'!J493</f>
        <v>0</v>
      </c>
      <c r="G153" s="23" t="s">
        <v>288</v>
      </c>
    </row>
    <row r="154" spans="1:9" x14ac:dyDescent="0.2">
      <c r="A154" s="21" t="s">
        <v>30</v>
      </c>
      <c r="B154" s="19">
        <f>'DOE25'!F494</f>
        <v>12030000</v>
      </c>
      <c r="C154" s="19">
        <f>'DOE25'!G494</f>
        <v>2720000</v>
      </c>
      <c r="D154" s="19">
        <f>'DOE25'!H494</f>
        <v>2955000</v>
      </c>
      <c r="E154" s="19">
        <f>'DOE25'!I494</f>
        <v>3895000</v>
      </c>
      <c r="F154" s="19">
        <f>'DOE25'!J494</f>
        <v>0</v>
      </c>
      <c r="G154" s="23" t="s">
        <v>288</v>
      </c>
    </row>
    <row r="155" spans="1:9" x14ac:dyDescent="0.2">
      <c r="A155" s="21" t="s">
        <v>31</v>
      </c>
      <c r="B155" s="19">
        <f>'DOE25'!F495</f>
        <v>4.57</v>
      </c>
      <c r="C155" s="19">
        <f>'DOE25'!G495</f>
        <v>2.69</v>
      </c>
      <c r="D155" s="19">
        <f>'DOE25'!H495</f>
        <v>1.94</v>
      </c>
      <c r="E155" s="19">
        <f>'DOE25'!I495</f>
        <v>2.14</v>
      </c>
      <c r="F155" s="19">
        <f>'DOE25'!J495</f>
        <v>0</v>
      </c>
      <c r="G155" s="23" t="s">
        <v>288</v>
      </c>
    </row>
    <row r="156" spans="1:9" x14ac:dyDescent="0.2">
      <c r="A156" s="21" t="s">
        <v>32</v>
      </c>
      <c r="B156" s="19">
        <f>'DOE25'!F496</f>
        <v>665000</v>
      </c>
      <c r="C156" s="19">
        <f>'DOE25'!G496</f>
        <v>1825000</v>
      </c>
      <c r="D156" s="19">
        <f>'DOE25'!H496</f>
        <v>1090000</v>
      </c>
      <c r="E156" s="19">
        <f>'DOE25'!I496</f>
        <v>1165000</v>
      </c>
      <c r="F156" s="19">
        <f>'DOE25'!J496</f>
        <v>0</v>
      </c>
      <c r="G156" s="96">
        <f>SUM(B156:F156)</f>
        <v>4745000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665000</v>
      </c>
      <c r="C158" s="19">
        <f>'DOE25'!G498</f>
        <v>270000</v>
      </c>
      <c r="D158" s="19">
        <f>'DOE25'!H498</f>
        <v>280000</v>
      </c>
      <c r="E158" s="19">
        <f>'DOE25'!I498</f>
        <v>390000</v>
      </c>
      <c r="F158" s="19">
        <f>'DOE25'!J498</f>
        <v>0</v>
      </c>
      <c r="G158" s="96">
        <f t="shared" si="8"/>
        <v>1605000</v>
      </c>
    </row>
    <row r="159" spans="1:9" x14ac:dyDescent="0.2">
      <c r="A159" s="21" t="s">
        <v>35</v>
      </c>
      <c r="B159" s="19">
        <f>'DOE25'!F499</f>
        <v>0</v>
      </c>
      <c r="C159" s="19">
        <f>'DOE25'!G499</f>
        <v>1555000</v>
      </c>
      <c r="D159" s="19">
        <f>'DOE25'!H499</f>
        <v>810000</v>
      </c>
      <c r="E159" s="19">
        <f>'DOE25'!I499</f>
        <v>775000</v>
      </c>
      <c r="F159" s="19">
        <f>'DOE25'!J499</f>
        <v>0</v>
      </c>
      <c r="G159" s="96">
        <f t="shared" si="8"/>
        <v>3140000</v>
      </c>
    </row>
    <row r="160" spans="1:9" x14ac:dyDescent="0.2">
      <c r="A160" s="21" t="s">
        <v>36</v>
      </c>
      <c r="B160" s="19">
        <f>'DOE25'!F500</f>
        <v>0</v>
      </c>
      <c r="C160" s="19">
        <f>'DOE25'!G500</f>
        <v>123870.55</v>
      </c>
      <c r="D160" s="19">
        <f>'DOE25'!H500</f>
        <v>28618.77</v>
      </c>
      <c r="E160" s="19">
        <f>'DOE25'!I500</f>
        <v>23175</v>
      </c>
      <c r="F160" s="19">
        <f>'DOE25'!J500</f>
        <v>0</v>
      </c>
      <c r="G160" s="96">
        <f t="shared" si="8"/>
        <v>175664.32</v>
      </c>
    </row>
    <row r="161" spans="1:7" x14ac:dyDescent="0.2">
      <c r="A161" s="21" t="s">
        <v>37</v>
      </c>
      <c r="B161" s="19">
        <f>'DOE25'!F501</f>
        <v>0</v>
      </c>
      <c r="C161" s="19">
        <f>'DOE25'!G501</f>
        <v>1678870.55</v>
      </c>
      <c r="D161" s="19">
        <f>'DOE25'!H501</f>
        <v>838618.77</v>
      </c>
      <c r="E161" s="19">
        <f>'DOE25'!I501</f>
        <v>798175</v>
      </c>
      <c r="F161" s="19">
        <f>'DOE25'!J501</f>
        <v>0</v>
      </c>
      <c r="G161" s="96">
        <f t="shared" si="8"/>
        <v>3315664.3200000003</v>
      </c>
    </row>
    <row r="162" spans="1:7" x14ac:dyDescent="0.2">
      <c r="A162" s="21" t="s">
        <v>38</v>
      </c>
      <c r="B162" s="19">
        <f>'DOE25'!F502</f>
        <v>0</v>
      </c>
      <c r="C162" s="19">
        <f>'DOE25'!G502</f>
        <v>270000</v>
      </c>
      <c r="D162" s="19">
        <f>'DOE25'!H502</f>
        <v>275000</v>
      </c>
      <c r="E162" s="19">
        <f>'DOE25'!I502</f>
        <v>390000</v>
      </c>
      <c r="F162" s="19">
        <f>'DOE25'!J502</f>
        <v>0</v>
      </c>
      <c r="G162" s="96">
        <f t="shared" si="8"/>
        <v>935000</v>
      </c>
    </row>
    <row r="163" spans="1:7" x14ac:dyDescent="0.2">
      <c r="A163" s="21" t="s">
        <v>39</v>
      </c>
      <c r="B163" s="19">
        <f>'DOE25'!F503</f>
        <v>0</v>
      </c>
      <c r="C163" s="19">
        <f>'DOE25'!G503</f>
        <v>38122.83</v>
      </c>
      <c r="D163" s="19">
        <f>'DOE25'!H503</f>
        <v>15971.88</v>
      </c>
      <c r="E163" s="19">
        <f>'DOE25'!I503</f>
        <v>17400</v>
      </c>
      <c r="F163" s="19">
        <f>'DOE25'!J503</f>
        <v>0</v>
      </c>
      <c r="G163" s="96">
        <f t="shared" si="8"/>
        <v>71494.709999999992</v>
      </c>
    </row>
    <row r="164" spans="1:7" x14ac:dyDescent="0.2">
      <c r="A164" s="21" t="s">
        <v>246</v>
      </c>
      <c r="B164" s="19">
        <f>'DOE25'!F504</f>
        <v>0</v>
      </c>
      <c r="C164" s="19">
        <f>'DOE25'!G504</f>
        <v>308122.83</v>
      </c>
      <c r="D164" s="19">
        <f>'DOE25'!H504</f>
        <v>290971.88</v>
      </c>
      <c r="E164" s="19">
        <f>'DOE25'!I504</f>
        <v>407400</v>
      </c>
      <c r="F164" s="19">
        <f>'DOE25'!J504</f>
        <v>0</v>
      </c>
      <c r="G164" s="96">
        <f t="shared" si="8"/>
        <v>1006494.71</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Londonderry</v>
      </c>
    </row>
    <row r="3" spans="1:4" x14ac:dyDescent="0.2">
      <c r="B3" s="137" t="s">
        <v>1799</v>
      </c>
    </row>
    <row r="4" spans="1:4" x14ac:dyDescent="0.2">
      <c r="B4" t="s">
        <v>61</v>
      </c>
      <c r="C4" s="129">
        <f>IF('DOE25'!F666+'DOE25'!F671=0,0,ROUND('DOE25'!F673,0))</f>
        <v>21075</v>
      </c>
    </row>
    <row r="5" spans="1:4" x14ac:dyDescent="0.2">
      <c r="B5" t="s">
        <v>700</v>
      </c>
      <c r="C5" s="129">
        <f>IF('DOE25'!G666+'DOE25'!G671=0,0,ROUND('DOE25'!G673,0))</f>
        <v>19286</v>
      </c>
    </row>
    <row r="6" spans="1:4" x14ac:dyDescent="0.2">
      <c r="B6" t="s">
        <v>62</v>
      </c>
      <c r="C6" s="129">
        <f>IF('DOE25'!H666+'DOE25'!H671=0,0,ROUND('DOE25'!H673,0))</f>
        <v>19292</v>
      </c>
    </row>
    <row r="7" spans="1:4" x14ac:dyDescent="0.2">
      <c r="B7" t="s">
        <v>701</v>
      </c>
      <c r="C7" s="129">
        <f>IF('DOE25'!I666+'DOE25'!I671=0,0,ROUND('DOE25'!I673,0))</f>
        <v>20054</v>
      </c>
    </row>
    <row r="9" spans="1:4" x14ac:dyDescent="0.2">
      <c r="A9" s="136" t="s">
        <v>94</v>
      </c>
      <c r="B9" s="137" t="s">
        <v>1800</v>
      </c>
      <c r="C9" s="131" t="s">
        <v>720</v>
      </c>
      <c r="D9" s="131" t="s">
        <v>721</v>
      </c>
    </row>
    <row r="10" spans="1:4" x14ac:dyDescent="0.2">
      <c r="A10">
        <v>1100</v>
      </c>
      <c r="B10" t="s">
        <v>702</v>
      </c>
      <c r="C10" s="129">
        <f>ROUND('DOE25'!L198+'DOE25'!L216+'DOE25'!L234+'DOE25'!L277+'DOE25'!L296+'DOE25'!L315,0)</f>
        <v>31999918</v>
      </c>
      <c r="D10" s="132">
        <f>ROUND((C10/$C$28)*100,1)</f>
        <v>37.200000000000003</v>
      </c>
    </row>
    <row r="11" spans="1:4" x14ac:dyDescent="0.2">
      <c r="A11">
        <v>1200</v>
      </c>
      <c r="B11" t="s">
        <v>703</v>
      </c>
      <c r="C11" s="129">
        <f>ROUND('DOE25'!L199+'DOE25'!L217+'DOE25'!L235+'DOE25'!L278+'DOE25'!L297+'DOE25'!L316,0)</f>
        <v>17658102</v>
      </c>
      <c r="D11" s="132">
        <f>ROUND((C11/$C$28)*100,1)</f>
        <v>20.5</v>
      </c>
    </row>
    <row r="12" spans="1:4" x14ac:dyDescent="0.2">
      <c r="A12">
        <v>1300</v>
      </c>
      <c r="B12" t="s">
        <v>704</v>
      </c>
      <c r="C12" s="129">
        <f>ROUND('DOE25'!L200+'DOE25'!L218+'DOE25'!L236+'DOE25'!L279+'DOE25'!L298+'DOE25'!L317,0)</f>
        <v>184947</v>
      </c>
      <c r="D12" s="132">
        <f>ROUND((C12/$C$28)*100,1)</f>
        <v>0.2</v>
      </c>
    </row>
    <row r="13" spans="1:4" x14ac:dyDescent="0.2">
      <c r="A13">
        <v>1400</v>
      </c>
      <c r="B13" t="s">
        <v>705</v>
      </c>
      <c r="C13" s="129">
        <f>ROUND('DOE25'!L201+'DOE25'!L219+'DOE25'!L237+'DOE25'!L280+'DOE25'!L299+'DOE25'!L318,0)</f>
        <v>2494914</v>
      </c>
      <c r="D13" s="132">
        <f>ROUND((C13/$C$28)*100,1)</f>
        <v>2.9</v>
      </c>
    </row>
    <row r="14" spans="1:4" x14ac:dyDescent="0.2">
      <c r="D14" s="132"/>
    </row>
    <row r="15" spans="1:4" x14ac:dyDescent="0.2">
      <c r="A15">
        <v>2100</v>
      </c>
      <c r="B15" t="s">
        <v>706</v>
      </c>
      <c r="C15" s="129">
        <f>ROUND('DOE25'!L203+'DOE25'!L221+'DOE25'!L239+'DOE25'!L282+'DOE25'!L301+'DOE25'!L320,0)</f>
        <v>8075216</v>
      </c>
      <c r="D15" s="132">
        <f t="shared" ref="D15:D27" si="0">ROUND((C15/$C$28)*100,1)</f>
        <v>9.4</v>
      </c>
    </row>
    <row r="16" spans="1:4" x14ac:dyDescent="0.2">
      <c r="A16">
        <v>2200</v>
      </c>
      <c r="B16" t="s">
        <v>707</v>
      </c>
      <c r="C16" s="129">
        <f>ROUND('DOE25'!L204+'DOE25'!L222+'DOE25'!L240+'DOE25'!L283+'DOE25'!L302+'DOE25'!L321,0)</f>
        <v>2297680</v>
      </c>
      <c r="D16" s="132">
        <f t="shared" si="0"/>
        <v>2.7</v>
      </c>
    </row>
    <row r="17" spans="1:4" x14ac:dyDescent="0.2">
      <c r="A17" s="133" t="s">
        <v>723</v>
      </c>
      <c r="B17" t="s">
        <v>738</v>
      </c>
      <c r="C17" s="129">
        <f>ROUND('DOE25'!L205+'DOE25'!L210+'DOE25'!L223+'DOE25'!L228+'DOE25'!L241+'DOE25'!L246+'DOE25'!L284+'DOE25'!L289+'DOE25'!L303+'DOE25'!L308+'DOE25'!L322+'DOE25'!L327,0)</f>
        <v>3221105</v>
      </c>
      <c r="D17" s="132">
        <f t="shared" si="0"/>
        <v>3.7</v>
      </c>
    </row>
    <row r="18" spans="1:4" x14ac:dyDescent="0.2">
      <c r="A18">
        <v>2400</v>
      </c>
      <c r="B18" t="s">
        <v>711</v>
      </c>
      <c r="C18" s="129">
        <f>ROUND('DOE25'!L206+'DOE25'!L224+'DOE25'!L242+'DOE25'!L285+'DOE25'!L304+'DOE25'!L323,0)</f>
        <v>4260200</v>
      </c>
      <c r="D18" s="132">
        <f t="shared" si="0"/>
        <v>4.9000000000000004</v>
      </c>
    </row>
    <row r="19" spans="1:4" x14ac:dyDescent="0.2">
      <c r="A19">
        <v>2500</v>
      </c>
      <c r="B19" t="s">
        <v>708</v>
      </c>
      <c r="C19" s="129">
        <f>ROUND('DOE25'!L207+'DOE25'!L225+'DOE25'!L243+'DOE25'!L286+'DOE25'!L305+'DOE25'!L324,0)</f>
        <v>1028593</v>
      </c>
      <c r="D19" s="132">
        <f t="shared" si="0"/>
        <v>1.2</v>
      </c>
    </row>
    <row r="20" spans="1:4" x14ac:dyDescent="0.2">
      <c r="A20">
        <v>2600</v>
      </c>
      <c r="B20" t="s">
        <v>709</v>
      </c>
      <c r="C20" s="129">
        <f>ROUND('DOE25'!L208+'DOE25'!L226+'DOE25'!L244+'DOE25'!L287+'DOE25'!L306+'DOE25'!L325,0)</f>
        <v>8644091</v>
      </c>
      <c r="D20" s="132">
        <f t="shared" si="0"/>
        <v>10</v>
      </c>
    </row>
    <row r="21" spans="1:4" x14ac:dyDescent="0.2">
      <c r="A21">
        <v>2700</v>
      </c>
      <c r="B21" t="s">
        <v>710</v>
      </c>
      <c r="C21" s="129">
        <f>ROUND('DOE25'!L209+'DOE25'!L227+'DOE25'!L245+'DOE25'!L288+'DOE25'!L307+'DOE25'!L326,0)</f>
        <v>5098333</v>
      </c>
      <c r="D21" s="132">
        <f t="shared" si="0"/>
        <v>5.9</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143223</v>
      </c>
      <c r="D24" s="132">
        <f t="shared" si="0"/>
        <v>0.2</v>
      </c>
    </row>
    <row r="25" spans="1:4" x14ac:dyDescent="0.2">
      <c r="A25">
        <v>5120</v>
      </c>
      <c r="B25" t="s">
        <v>716</v>
      </c>
      <c r="C25" s="129">
        <f>ROUND('DOE25'!L262+'DOE25'!L343,0)</f>
        <v>476819</v>
      </c>
      <c r="D25" s="132">
        <f t="shared" si="0"/>
        <v>0.6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540414.58999999985</v>
      </c>
      <c r="D27" s="132">
        <f t="shared" si="0"/>
        <v>0.6</v>
      </c>
    </row>
    <row r="28" spans="1:4" x14ac:dyDescent="0.2">
      <c r="B28" s="136" t="s">
        <v>719</v>
      </c>
      <c r="C28" s="130">
        <f>SUM(C10:C27)</f>
        <v>86123555.590000004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86123555.590000004</v>
      </c>
    </row>
    <row r="31" spans="1:4" x14ac:dyDescent="0.2">
      <c r="B31" s="32"/>
      <c r="C31" s="130"/>
    </row>
    <row r="32" spans="1:4" x14ac:dyDescent="0.2">
      <c r="A32">
        <v>5100</v>
      </c>
      <c r="B32" s="32" t="s">
        <v>726</v>
      </c>
      <c r="C32" s="130">
        <f>ROUND('DOE25'!L261+'DOE25'!L342,0)</f>
        <v>1605000</v>
      </c>
    </row>
    <row r="34" spans="1:4" x14ac:dyDescent="0.2">
      <c r="A34" s="136" t="s">
        <v>94</v>
      </c>
      <c r="B34" s="137" t="s">
        <v>1801</v>
      </c>
      <c r="C34" s="131" t="s">
        <v>720</v>
      </c>
      <c r="D34" s="131" t="s">
        <v>721</v>
      </c>
    </row>
    <row r="35" spans="1:4" x14ac:dyDescent="0.2">
      <c r="A35">
        <v>1100</v>
      </c>
      <c r="B35" s="71" t="s">
        <v>727</v>
      </c>
      <c r="C35" s="129">
        <f>ROUND('DOE25'!F60+'DOE25'!G60+'DOE25'!H60+'DOE25'!I60+'DOE25'!J60,0)</f>
        <v>63348064</v>
      </c>
      <c r="D35" s="132">
        <f t="shared" ref="D35:D40" si="1">ROUND((C35/$C$41)*100,1)</f>
        <v>71.8</v>
      </c>
    </row>
    <row r="36" spans="1:4" x14ac:dyDescent="0.2">
      <c r="B36" s="71" t="s">
        <v>739</v>
      </c>
      <c r="C36" s="129">
        <f>SUM('DOE25'!F112:J112)-SUM('DOE25'!G97:G110)+('DOE25'!F175+'DOE25'!F176+'DOE25'!I175+'DOE25'!I176)-C35</f>
        <v>1799750.3999999911</v>
      </c>
      <c r="D36" s="132">
        <f t="shared" si="1"/>
        <v>2</v>
      </c>
    </row>
    <row r="37" spans="1:4" x14ac:dyDescent="0.2">
      <c r="A37" s="133" t="s">
        <v>834</v>
      </c>
      <c r="B37" s="71" t="s">
        <v>728</v>
      </c>
      <c r="C37" s="129">
        <f>ROUND('DOE25'!F117+'DOE25'!F118,0)</f>
        <v>18283237</v>
      </c>
      <c r="D37" s="132">
        <f t="shared" si="1"/>
        <v>20.7</v>
      </c>
    </row>
    <row r="38" spans="1:4" x14ac:dyDescent="0.2">
      <c r="A38" s="133" t="s">
        <v>734</v>
      </c>
      <c r="B38" s="71" t="s">
        <v>729</v>
      </c>
      <c r="C38" s="129">
        <f>ROUND(SUM('DOE25'!F140:J140)-SUM('DOE25'!F117:F119),0)</f>
        <v>1380665</v>
      </c>
      <c r="D38" s="132">
        <f t="shared" si="1"/>
        <v>1.6</v>
      </c>
    </row>
    <row r="39" spans="1:4" x14ac:dyDescent="0.2">
      <c r="A39">
        <v>4000</v>
      </c>
      <c r="B39" s="71" t="s">
        <v>730</v>
      </c>
      <c r="C39" s="129">
        <f>ROUND('DOE25'!F170+'DOE25'!G170+'DOE25'!H170+'DOE25'!I170,0)</f>
        <v>3361088</v>
      </c>
      <c r="D39" s="132">
        <f t="shared" si="1"/>
        <v>3.8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88172804.399999991</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Londonderry</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v>
      </c>
      <c r="B4" s="150">
        <v>32</v>
      </c>
      <c r="C4" s="327" t="s">
        <v>1820</v>
      </c>
      <c r="D4" s="327"/>
      <c r="E4" s="327"/>
      <c r="F4" s="327"/>
      <c r="G4" s="327"/>
      <c r="H4" s="327"/>
      <c r="I4" s="327"/>
      <c r="J4" s="327"/>
      <c r="K4" s="327"/>
      <c r="L4" s="327"/>
      <c r="M4" s="329"/>
    </row>
    <row r="5" spans="1:13" x14ac:dyDescent="0.2">
      <c r="A5" s="159">
        <v>1</v>
      </c>
      <c r="B5" s="150">
        <v>35</v>
      </c>
      <c r="C5" s="327" t="s">
        <v>1820</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180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48</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197</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216</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273</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f>IF('School Level Expenditures'!$B$2='School Tables'!L44,'School Tables'!S44,"")</f>
        <v>41</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f>IF('School Level Expenditures'!$B$2='School Tables'!W51,'School Tables'!AD51,"")</f>
        <v>48</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f>IF('School Level Expenditures'!$B$2=A183,'School Tables'!H183,"")</f>
        <v>180</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f>IF('School Level Expenditures'!$B$2=A200,'School Tables'!H200,"")</f>
        <v>197</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f>IF('School Level Expenditures'!$B$2=A219,'School Tables'!H219,"")</f>
        <v>216</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f>IF('School Level Expenditures'!$B$2=A276,'School Tables'!H276,"")</f>
        <v>273</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2023-09-06T12:19:13Z</cp:lastPrinted>
  <dcterms:created xsi:type="dcterms:W3CDTF">1997-12-04T19:04:30Z</dcterms:created>
  <dcterms:modified xsi:type="dcterms:W3CDTF">2023-12-28T19:02:31Z</dcterms:modified>
</cp:coreProperties>
</file>