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7549EFEE-325A-4909-B39D-71A3E529D1B5}"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1" i="13" l="1"/>
  <c r="G583" i="1" l="1"/>
  <c r="F580" i="1"/>
  <c r="F583" i="1"/>
  <c r="F22" i="1" l="1"/>
  <c r="F49" i="1"/>
  <c r="F216" i="1"/>
  <c r="F473" i="1"/>
  <c r="J469" i="1"/>
  <c r="K267" i="1"/>
  <c r="G401" i="1"/>
  <c r="J180" i="1"/>
  <c r="H401" i="1"/>
  <c r="F14" i="1" l="1"/>
  <c r="F16" i="13"/>
  <c r="F14" i="13"/>
  <c r="F12" i="13"/>
  <c r="F5" i="13"/>
  <c r="F8" i="13"/>
  <c r="F6" i="13"/>
  <c r="H287" i="1" l="1"/>
  <c r="J306" i="1"/>
  <c r="H306" i="1"/>
  <c r="J325" i="1"/>
  <c r="H325" i="1"/>
  <c r="H244" i="1"/>
  <c r="F316" i="1" l="1"/>
  <c r="H473" i="1"/>
  <c r="H219" i="1" l="1"/>
  <c r="H237" i="1"/>
  <c r="H226" i="1"/>
  <c r="H208" i="1"/>
  <c r="H207" i="1"/>
  <c r="H225" i="1"/>
  <c r="H243" i="1"/>
  <c r="H239" i="1"/>
  <c r="H221" i="1"/>
  <c r="H203" i="1"/>
  <c r="F198" i="1" l="1"/>
  <c r="F234" i="1"/>
  <c r="F24" i="1" l="1"/>
  <c r="H317" i="1"/>
  <c r="H14" i="1" l="1"/>
  <c r="F28" i="1"/>
  <c r="F29" i="1"/>
  <c r="F9" i="1" l="1"/>
  <c r="H583" i="1" l="1"/>
  <c r="G9" i="1" l="1"/>
  <c r="G13" i="1"/>
  <c r="G30" i="1"/>
  <c r="G97" i="1"/>
  <c r="H98" i="1" l="1"/>
  <c r="H159" i="1"/>
  <c r="H135" i="1"/>
  <c r="H102" i="1"/>
  <c r="H70" i="1"/>
  <c r="H24" i="1"/>
  <c r="J334" i="1" l="1"/>
  <c r="I334" i="1"/>
  <c r="H334" i="1"/>
  <c r="H333" i="1" l="1"/>
  <c r="H252" i="1" l="1"/>
  <c r="F252" i="1"/>
  <c r="G508" i="1" l="1"/>
  <c r="I508"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H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F111" i="1"/>
  <c r="G111" i="1"/>
  <c r="H79" i="1"/>
  <c r="H94" i="1"/>
  <c r="E58" i="2" s="1"/>
  <c r="H111" i="1"/>
  <c r="I111" i="1"/>
  <c r="I112" i="1" s="1"/>
  <c r="J111" i="1"/>
  <c r="F121" i="1"/>
  <c r="F136" i="1"/>
  <c r="G121" i="1"/>
  <c r="G136" i="1"/>
  <c r="H121" i="1"/>
  <c r="H136" i="1"/>
  <c r="I121" i="1"/>
  <c r="I136" i="1"/>
  <c r="J121" i="1"/>
  <c r="J136" i="1"/>
  <c r="J140" i="1" s="1"/>
  <c r="F147" i="1"/>
  <c r="C85" i="2" s="1"/>
  <c r="G147" i="1"/>
  <c r="D85" i="2" s="1"/>
  <c r="H147" i="1"/>
  <c r="H170" i="1" s="1"/>
  <c r="I147" i="1"/>
  <c r="F85" i="2"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H26" i="2" s="1"/>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9" i="2"/>
  <c r="D59" i="2"/>
  <c r="E59" i="2"/>
  <c r="F59" i="2"/>
  <c r="D60" i="2"/>
  <c r="H60" i="2" s="1"/>
  <c r="C61" i="2"/>
  <c r="D61" i="2"/>
  <c r="E61" i="2"/>
  <c r="F61" i="2"/>
  <c r="C66" i="2"/>
  <c r="H66" i="2" s="1"/>
  <c r="C67" i="2"/>
  <c r="H67" i="2" s="1"/>
  <c r="C69" i="2"/>
  <c r="D69" i="2"/>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H80" i="2" s="1"/>
  <c r="C87" i="2"/>
  <c r="E87" i="2"/>
  <c r="F87" i="2"/>
  <c r="C89" i="2"/>
  <c r="D89" i="2"/>
  <c r="E89" i="2"/>
  <c r="F89" i="2"/>
  <c r="C90" i="2"/>
  <c r="H90" i="2" s="1"/>
  <c r="C93" i="2"/>
  <c r="F93" i="2"/>
  <c r="C94" i="2"/>
  <c r="F94" i="2"/>
  <c r="H94" i="2" s="1"/>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0" i="2"/>
  <c r="E124" i="2"/>
  <c r="E125" i="2"/>
  <c r="F128" i="2"/>
  <c r="G128" i="2"/>
  <c r="D134" i="2"/>
  <c r="D144" i="2" s="1"/>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H653" i="1"/>
  <c r="G654" i="1"/>
  <c r="H654" i="1"/>
  <c r="H655" i="1"/>
  <c r="H656" i="1"/>
  <c r="I170" i="1"/>
  <c r="J112" i="1" l="1"/>
  <c r="G62" i="2"/>
  <c r="H59" i="2"/>
  <c r="G646" i="1"/>
  <c r="H47" i="2"/>
  <c r="H25" i="2"/>
  <c r="H29" i="2"/>
  <c r="H8" i="2"/>
  <c r="H58" i="2"/>
  <c r="H102" i="2"/>
  <c r="H101" i="2"/>
  <c r="H93" i="2"/>
  <c r="F170" i="1"/>
  <c r="H79" i="2"/>
  <c r="H73" i="2"/>
  <c r="H72" i="2"/>
  <c r="H100" i="2"/>
  <c r="H99" i="2"/>
  <c r="H89" i="2"/>
  <c r="H87" i="2"/>
  <c r="H76" i="2"/>
  <c r="H28" i="2"/>
  <c r="H27" i="2"/>
  <c r="H17" i="2"/>
  <c r="H15" i="2"/>
  <c r="H140" i="1"/>
  <c r="D29" i="13"/>
  <c r="C29" i="13" s="1"/>
  <c r="G662" i="1"/>
  <c r="H48" i="2"/>
  <c r="H43" i="2"/>
  <c r="H36" i="2"/>
  <c r="H35" i="2"/>
  <c r="H34" i="2"/>
  <c r="H24" i="2"/>
  <c r="H22" i="2"/>
  <c r="H13" i="2"/>
  <c r="H9" i="2"/>
  <c r="G477" i="1"/>
  <c r="H77" i="2"/>
  <c r="D70" i="2"/>
  <c r="H70" i="2" s="1"/>
  <c r="H69" i="2"/>
  <c r="H61" i="2"/>
  <c r="H477" i="1"/>
  <c r="H625" i="1" s="1"/>
  <c r="J625" i="1" s="1"/>
  <c r="H98" i="2"/>
  <c r="H97" i="2"/>
  <c r="H96" i="2"/>
  <c r="H44" i="2"/>
  <c r="H38" i="2"/>
  <c r="H30" i="2"/>
  <c r="H23" i="2"/>
  <c r="H12" i="2"/>
  <c r="H11" i="2"/>
  <c r="H143" i="2"/>
  <c r="H137" i="2"/>
  <c r="E121" i="2"/>
  <c r="E112" i="2"/>
  <c r="E111" i="2"/>
  <c r="H113" i="2"/>
  <c r="C32" i="10"/>
  <c r="C13" i="10"/>
  <c r="C110" i="2"/>
  <c r="C125" i="2"/>
  <c r="H125" i="2" s="1"/>
  <c r="E13" i="13"/>
  <c r="C13" i="13" s="1"/>
  <c r="N2" i="14"/>
  <c r="N3" i="14" s="1"/>
  <c r="M2" i="14"/>
  <c r="M3" i="14" s="1"/>
  <c r="C112" i="2"/>
  <c r="H112" i="2" s="1"/>
  <c r="A40" i="12"/>
  <c r="C12" i="10"/>
  <c r="C121" i="2"/>
  <c r="H121" i="2" s="1"/>
  <c r="C120" i="2"/>
  <c r="H120" i="2" s="1"/>
  <c r="C119" i="2"/>
  <c r="D6" i="13"/>
  <c r="C6" i="13" s="1"/>
  <c r="L2" i="14"/>
  <c r="L3" i="14" s="1"/>
  <c r="K2" i="14"/>
  <c r="K3" i="14" s="1"/>
  <c r="G409" i="1"/>
  <c r="H646" i="1" s="1"/>
  <c r="F409" i="1"/>
  <c r="H644" i="1" s="1"/>
  <c r="J644" i="1" s="1"/>
  <c r="I409" i="1"/>
  <c r="J652" i="1"/>
  <c r="G663" i="1"/>
  <c r="D15" i="13"/>
  <c r="C15" i="13" s="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J32" i="1"/>
  <c r="J435" i="1"/>
  <c r="F435" i="1"/>
  <c r="K435" i="1"/>
  <c r="G134" i="2" s="1"/>
  <c r="G31" i="13"/>
  <c r="J194" i="1"/>
  <c r="G647" i="1" s="1"/>
  <c r="G140" i="1"/>
  <c r="B11" i="16" s="1"/>
  <c r="F140" i="1"/>
  <c r="G63" i="2"/>
  <c r="J619" i="1"/>
  <c r="G42" i="2"/>
  <c r="J51" i="1"/>
  <c r="G16" i="2"/>
  <c r="J19" i="1"/>
  <c r="G622" i="1" s="1"/>
  <c r="F546" i="1"/>
  <c r="H435" i="1"/>
  <c r="D103" i="2"/>
  <c r="I140" i="1"/>
  <c r="A22" i="12"/>
  <c r="J653" i="1"/>
  <c r="G572" i="1"/>
  <c r="I435" i="1"/>
  <c r="G435" i="1"/>
  <c r="I664" i="1"/>
  <c r="J646" i="1" l="1"/>
  <c r="H111" i="2"/>
  <c r="C81" i="2"/>
  <c r="F194" i="1"/>
  <c r="G628" i="1" s="1"/>
  <c r="J628" i="1" s="1"/>
  <c r="D128" i="2"/>
  <c r="D145" i="2" s="1"/>
  <c r="H127" i="2"/>
  <c r="D51" i="2"/>
  <c r="I662" i="1"/>
  <c r="H103" i="2"/>
  <c r="E91" i="2"/>
  <c r="H91" i="2" s="1"/>
  <c r="H85" i="2"/>
  <c r="E81" i="2"/>
  <c r="H78" i="2"/>
  <c r="E62" i="2"/>
  <c r="H57" i="2"/>
  <c r="E51" i="2"/>
  <c r="E128" i="2"/>
  <c r="H123" i="2"/>
  <c r="G24" i="14"/>
  <c r="H24" i="14" s="1"/>
  <c r="I24" i="14" s="1"/>
  <c r="H122" i="2"/>
  <c r="H119" i="2"/>
  <c r="H118" i="2"/>
  <c r="H114" i="2"/>
  <c r="H110" i="2"/>
  <c r="G144" i="2"/>
  <c r="G145" i="2" s="1"/>
  <c r="H134" i="2"/>
  <c r="G50" i="2"/>
  <c r="H50" i="2" s="1"/>
  <c r="H42" i="2"/>
  <c r="G31" i="2"/>
  <c r="H31" i="2" s="1"/>
  <c r="H21" i="2"/>
  <c r="G18" i="2"/>
  <c r="H18" i="2" s="1"/>
  <c r="H16" i="2"/>
  <c r="L572" i="1"/>
  <c r="I663" i="1"/>
  <c r="F661" i="1"/>
  <c r="F665" i="1" s="1"/>
  <c r="F670" i="1" s="1"/>
  <c r="E115" i="2"/>
  <c r="H109" i="2"/>
  <c r="F144" i="2"/>
  <c r="H130" i="2"/>
  <c r="H661" i="1"/>
  <c r="H665" i="1" s="1"/>
  <c r="H194" i="1"/>
  <c r="G630" i="1" s="1"/>
  <c r="J630" i="1" s="1"/>
  <c r="H649" i="1"/>
  <c r="J649" i="1" s="1"/>
  <c r="C141" i="2"/>
  <c r="F51" i="2"/>
  <c r="G36" i="14"/>
  <c r="H36" i="14" s="1"/>
  <c r="C36" i="10"/>
  <c r="L435" i="1"/>
  <c r="G639" i="1" s="1"/>
  <c r="J639" i="1" s="1"/>
  <c r="G104" i="2"/>
  <c r="L339" i="1"/>
  <c r="L353" i="1" s="1"/>
  <c r="G634" i="1" s="1"/>
  <c r="J634" i="1" s="1"/>
  <c r="I194" i="1"/>
  <c r="G631" i="1" s="1"/>
  <c r="J631" i="1" s="1"/>
  <c r="G636" i="1"/>
  <c r="J636" i="1" s="1"/>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04" i="2" l="1"/>
  <c r="H81" i="2"/>
  <c r="E63" i="2"/>
  <c r="H62" i="2"/>
  <c r="H128" i="2"/>
  <c r="M24" i="14"/>
  <c r="C144" i="2"/>
  <c r="H144" i="2" s="1"/>
  <c r="H141" i="2"/>
  <c r="G51" i="2"/>
  <c r="H51" i="2" s="1"/>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3" i="2" l="1"/>
  <c r="E104" i="2"/>
  <c r="H104" i="2" s="1"/>
  <c r="C145" i="2"/>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<sst xmlns="http://schemas.openxmlformats.org/spreadsheetml/2006/main" count="6557" uniqueCount="1812">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</sst>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898</v>
      </c>
      <c r="B2">
        <f>INDEX('School Tables'!$AH$3:$AH$209,MATCH('DOE25'!A2,'School Tables'!$AJ$3:$AJ$209,0))</f>
        <v>335</v>
      </c>
      <c r="C2">
        <f>INDEX('School Tables'!$AI$3:$AI$209,MATCH('DOE25'!A2,'School Tables'!$AJ$3:$AJ$209,0))</f>
        <v>335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200+1662491.81+6312743.61+15.89+359.19</f>
        <v>7975810.5</v>
      </c>
      <c r="G9" s="18">
        <f>200+853583.45</f>
        <v>853783.45</v>
      </c>
      <c r="H9" s="18">
        <v>1400</v>
      </c>
      <c r="I9" s="18">
        <v>0</v>
      </c>
      <c r="J9" s="13">
        <f>SUM(I440)</f>
        <v>0</v>
      </c>
      <c r="K9" s="23" t="s">
        <v>288</v>
      </c>
      <c r="L9" s="23" t="s">
        <v>288</v>
      </c>
      <c r="M9" s="8"/>
      <c r="N9" s="165"/>
    </row>
    <row r="10" spans="1:14" s="3" customFormat="1" ht="12.2" customHeight="1" x14ac:dyDescent="0.15">
      <c r="A10" s="1" t="s">
        <v>562</v>
      </c>
      <c r="B10" s="2" t="s">
        <v>289</v>
      </c>
      <c r="C10" s="6">
        <v>2</v>
      </c>
      <c r="D10" s="2" t="s">
        <v>428</v>
      </c>
      <c r="E10" s="6">
        <v>110</v>
      </c>
      <c r="F10" s="18">
        <v>0</v>
      </c>
      <c r="G10" s="18">
        <v>0</v>
      </c>
      <c r="H10" s="18">
        <v>0</v>
      </c>
      <c r="I10" s="18">
        <v>0</v>
      </c>
      <c r="J10" s="13">
        <f>SUM(I441)</f>
        <v>0</v>
      </c>
      <c r="K10" s="23" t="s">
        <v>288</v>
      </c>
      <c r="L10" s="23" t="s">
        <v>288</v>
      </c>
      <c r="M10" s="8"/>
      <c r="N10" s="165"/>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5238814.37</v>
      </c>
      <c r="G12" s="18">
        <v>0</v>
      </c>
      <c r="H12" s="18">
        <v>0</v>
      </c>
      <c r="I12" s="18">
        <v>0</v>
      </c>
      <c r="J12" s="13">
        <f>SUM(I442)</f>
        <v>4078010.15</v>
      </c>
      <c r="K12" s="23" t="s">
        <v>288</v>
      </c>
      <c r="L12" s="23" t="s">
        <v>288</v>
      </c>
      <c r="M12" s="8"/>
      <c r="N12" s="165"/>
    </row>
    <row r="13" spans="1:14" s="3" customFormat="1" ht="12.2" customHeight="1" x14ac:dyDescent="0.15">
      <c r="A13" s="1" t="s">
        <v>604</v>
      </c>
      <c r="B13" s="2" t="s">
        <v>289</v>
      </c>
      <c r="C13" s="6">
        <v>5</v>
      </c>
      <c r="D13" s="2" t="s">
        <v>428</v>
      </c>
      <c r="E13" s="6">
        <v>140</v>
      </c>
      <c r="F13" s="18">
        <v>44289622.490000002</v>
      </c>
      <c r="G13" s="18">
        <f>3709.71+682940.72</f>
        <v>686650.42999999993</v>
      </c>
      <c r="H13" s="18">
        <v>0</v>
      </c>
      <c r="I13" s="18">
        <v>0</v>
      </c>
      <c r="J13" s="13">
        <f>SUM(I443)</f>
        <v>27201890.59</v>
      </c>
      <c r="K13" s="23" t="s">
        <v>288</v>
      </c>
      <c r="L13" s="23" t="s">
        <v>288</v>
      </c>
      <c r="M13" s="8"/>
      <c r="N13" s="165"/>
    </row>
    <row r="14" spans="1:14" s="3" customFormat="1" ht="12.2" customHeight="1" x14ac:dyDescent="0.15">
      <c r="A14" s="1" t="s">
        <v>565</v>
      </c>
      <c r="B14" s="2" t="s">
        <v>289</v>
      </c>
      <c r="C14" s="6">
        <v>6</v>
      </c>
      <c r="D14" s="2" t="s">
        <v>428</v>
      </c>
      <c r="E14" s="6">
        <v>150</v>
      </c>
      <c r="F14" s="18">
        <f>266371.62+2196174.54</f>
        <v>2462546.16</v>
      </c>
      <c r="G14" s="18">
        <v>1583.87</v>
      </c>
      <c r="H14" s="18">
        <f>9724368.52+86209.4</f>
        <v>9810577.9199999999</v>
      </c>
      <c r="I14" s="18">
        <v>0</v>
      </c>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5"/>
    </row>
    <row r="16" spans="1:14" s="3" customFormat="1" ht="12.2" customHeight="1" x14ac:dyDescent="0.15">
      <c r="A16" s="1" t="s">
        <v>566</v>
      </c>
      <c r="B16" s="2" t="s">
        <v>289</v>
      </c>
      <c r="C16" s="6">
        <v>8</v>
      </c>
      <c r="D16" s="2" t="s">
        <v>428</v>
      </c>
      <c r="E16" s="6">
        <v>170</v>
      </c>
      <c r="F16" s="18">
        <v>0</v>
      </c>
      <c r="G16" s="18">
        <v>80624.58</v>
      </c>
      <c r="H16" s="18">
        <v>0</v>
      </c>
      <c r="I16" s="18">
        <v>0</v>
      </c>
      <c r="J16" s="23" t="s">
        <v>288</v>
      </c>
      <c r="K16" s="23" t="s">
        <v>288</v>
      </c>
      <c r="L16" s="23" t="s">
        <v>288</v>
      </c>
      <c r="M16" s="8"/>
      <c r="N16" s="165"/>
    </row>
    <row r="17" spans="1:14" s="3" customFormat="1" ht="12.2" customHeight="1" x14ac:dyDescent="0.15">
      <c r="A17" s="1" t="s">
        <v>567</v>
      </c>
      <c r="B17" s="2" t="s">
        <v>289</v>
      </c>
      <c r="C17" s="6">
        <v>9</v>
      </c>
      <c r="D17" s="2" t="s">
        <v>428</v>
      </c>
      <c r="E17" s="6">
        <v>180</v>
      </c>
      <c r="F17" s="18">
        <v>20642.18</v>
      </c>
      <c r="G17" s="18">
        <v>0</v>
      </c>
      <c r="H17" s="18">
        <v>0</v>
      </c>
      <c r="I17" s="18">
        <v>0</v>
      </c>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59987435.699999996</v>
      </c>
      <c r="G19" s="38">
        <f>SUM(G9:G18)</f>
        <v>1622642.33</v>
      </c>
      <c r="H19" s="38">
        <f>SUM(H9:H18)</f>
        <v>9811977.9199999999</v>
      </c>
      <c r="I19" s="38">
        <f>SUM(I9:I18)</f>
        <v>0</v>
      </c>
      <c r="J19" s="38">
        <f>SUM(J9:J18)</f>
        <v>31279900.739999998</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f>4078020.6</f>
        <v>4078020.6</v>
      </c>
      <c r="G22" s="18">
        <v>319600</v>
      </c>
      <c r="H22" s="18">
        <v>4922293.0199999996</v>
      </c>
      <c r="I22" s="18">
        <v>0</v>
      </c>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0</v>
      </c>
      <c r="G23" s="18">
        <v>0</v>
      </c>
      <c r="H23" s="18">
        <v>0</v>
      </c>
      <c r="I23" s="18">
        <v>0</v>
      </c>
      <c r="J23" s="13">
        <f>SUM(I450)</f>
        <v>0</v>
      </c>
      <c r="K23" s="23" t="s">
        <v>288</v>
      </c>
      <c r="L23" s="23" t="s">
        <v>288</v>
      </c>
      <c r="M23" s="8"/>
      <c r="N23" s="165"/>
    </row>
    <row r="24" spans="1:14" s="3" customFormat="1" ht="12.2" customHeight="1" x14ac:dyDescent="0.15">
      <c r="A24" s="1" t="s">
        <v>570</v>
      </c>
      <c r="B24" s="2" t="s">
        <v>289</v>
      </c>
      <c r="C24" s="6">
        <v>14</v>
      </c>
      <c r="D24" s="2" t="s">
        <v>429</v>
      </c>
      <c r="E24" s="6">
        <v>420</v>
      </c>
      <c r="F24" s="18">
        <f>4504907.64+11979.04</f>
        <v>4516886.68</v>
      </c>
      <c r="G24" s="18">
        <v>117038.65</v>
      </c>
      <c r="H24" s="18">
        <f>3515734.48</f>
        <v>3515734.48</v>
      </c>
      <c r="I24" s="18">
        <v>0</v>
      </c>
      <c r="J24" s="13">
        <f>SUM(I451)</f>
        <v>0</v>
      </c>
      <c r="K24" s="23" t="s">
        <v>288</v>
      </c>
      <c r="L24" s="23" t="s">
        <v>288</v>
      </c>
      <c r="M24" s="8"/>
      <c r="N24" s="165"/>
    </row>
    <row r="25" spans="1:14" s="3" customFormat="1" ht="12.2" customHeight="1" x14ac:dyDescent="0.15">
      <c r="A25" s="1" t="s">
        <v>574</v>
      </c>
      <c r="B25" s="2" t="s">
        <v>289</v>
      </c>
      <c r="C25" s="6">
        <v>15</v>
      </c>
      <c r="D25" s="2" t="s">
        <v>429</v>
      </c>
      <c r="E25" s="6">
        <v>430</v>
      </c>
      <c r="F25" s="18">
        <v>0</v>
      </c>
      <c r="G25" s="102">
        <v>0</v>
      </c>
      <c r="H25" s="18">
        <v>0</v>
      </c>
      <c r="I25" s="18">
        <v>0</v>
      </c>
      <c r="J25" s="23" t="s">
        <v>288</v>
      </c>
      <c r="K25" s="23" t="s">
        <v>288</v>
      </c>
      <c r="L25" s="23" t="s">
        <v>288</v>
      </c>
      <c r="M25" s="8"/>
      <c r="N25" s="165"/>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5"/>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5"/>
    </row>
    <row r="28" spans="1:14" s="3" customFormat="1" ht="12.2" customHeight="1" x14ac:dyDescent="0.15">
      <c r="A28" s="1" t="s">
        <v>573</v>
      </c>
      <c r="B28" s="2" t="s">
        <v>289</v>
      </c>
      <c r="C28" s="6">
        <v>18</v>
      </c>
      <c r="D28" s="2" t="s">
        <v>429</v>
      </c>
      <c r="E28" s="6">
        <v>460</v>
      </c>
      <c r="F28" s="18">
        <f>3404433.17+115673.08</f>
        <v>3520106.25</v>
      </c>
      <c r="G28" s="18">
        <v>19498.759999999998</v>
      </c>
      <c r="H28" s="18">
        <v>813264.36</v>
      </c>
      <c r="I28" s="18">
        <v>0</v>
      </c>
      <c r="J28" s="23" t="s">
        <v>288</v>
      </c>
      <c r="K28" s="23" t="s">
        <v>288</v>
      </c>
      <c r="L28" s="23" t="s">
        <v>288</v>
      </c>
      <c r="M28" s="8"/>
      <c r="N28" s="165"/>
    </row>
    <row r="29" spans="1:14" s="3" customFormat="1" ht="12.2" customHeight="1" x14ac:dyDescent="0.15">
      <c r="A29" s="1" t="s">
        <v>575</v>
      </c>
      <c r="B29" s="2" t="s">
        <v>289</v>
      </c>
      <c r="C29" s="6">
        <v>19</v>
      </c>
      <c r="D29" s="2" t="s">
        <v>429</v>
      </c>
      <c r="E29" s="6">
        <v>470</v>
      </c>
      <c r="F29" s="18">
        <f>-1392.13+41773.23+29785.49+42963.75+1889929.88</f>
        <v>2003060.22</v>
      </c>
      <c r="G29" s="18">
        <v>0</v>
      </c>
      <c r="H29" s="18">
        <v>0</v>
      </c>
      <c r="I29" s="18">
        <v>0</v>
      </c>
      <c r="J29" s="23" t="s">
        <v>288</v>
      </c>
      <c r="K29" s="23" t="s">
        <v>288</v>
      </c>
      <c r="L29" s="23" t="s">
        <v>288</v>
      </c>
      <c r="M29" s="8"/>
      <c r="N29" s="165"/>
    </row>
    <row r="30" spans="1:14" s="3" customFormat="1" ht="12.2" customHeight="1" x14ac:dyDescent="0.15">
      <c r="A30" s="1" t="s">
        <v>576</v>
      </c>
      <c r="B30" s="2" t="s">
        <v>289</v>
      </c>
      <c r="C30" s="6">
        <v>20</v>
      </c>
      <c r="D30" s="2" t="s">
        <v>429</v>
      </c>
      <c r="E30" s="6">
        <v>480</v>
      </c>
      <c r="F30" s="18">
        <v>44125450.280000001</v>
      </c>
      <c r="G30" s="18">
        <f>28963.08+17285.67+22790.78</f>
        <v>69039.53</v>
      </c>
      <c r="H30" s="18">
        <v>0</v>
      </c>
      <c r="I30" s="18">
        <v>0</v>
      </c>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58243524.030000001</v>
      </c>
      <c r="G32" s="38">
        <f>SUM(G22:G31)</f>
        <v>525176.94000000006</v>
      </c>
      <c r="H32" s="38">
        <f>SUM(H22:H31)</f>
        <v>9251291.8599999994</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v>0</v>
      </c>
      <c r="G35" s="18">
        <v>80624.58</v>
      </c>
      <c r="H35" s="18">
        <v>0</v>
      </c>
      <c r="I35" s="18">
        <v>0</v>
      </c>
      <c r="J35" s="23" t="s">
        <v>288</v>
      </c>
      <c r="K35" s="23" t="s">
        <v>288</v>
      </c>
      <c r="L35" s="23" t="s">
        <v>288</v>
      </c>
      <c r="M35" s="8"/>
      <c r="N35" s="165"/>
    </row>
    <row r="36" spans="1:14" s="3" customFormat="1" ht="12.2" customHeight="1" x14ac:dyDescent="0.15">
      <c r="A36" s="1" t="s">
        <v>578</v>
      </c>
      <c r="B36" s="6">
        <v>1</v>
      </c>
      <c r="C36" s="6">
        <v>24</v>
      </c>
      <c r="D36" s="2" t="s">
        <v>653</v>
      </c>
      <c r="E36" s="6">
        <v>752</v>
      </c>
      <c r="F36" s="18">
        <v>20642.18</v>
      </c>
      <c r="G36" s="18">
        <v>0</v>
      </c>
      <c r="H36" s="18">
        <v>0</v>
      </c>
      <c r="I36" s="18">
        <v>0</v>
      </c>
      <c r="J36" s="23" t="s">
        <v>288</v>
      </c>
      <c r="K36" s="23" t="s">
        <v>288</v>
      </c>
      <c r="L36" s="23" t="s">
        <v>288</v>
      </c>
      <c r="M36" s="8"/>
      <c r="N36" s="165"/>
    </row>
    <row r="37" spans="1:14" s="3" customFormat="1" ht="12.2" customHeight="1" x14ac:dyDescent="0.15">
      <c r="A37" s="1" t="s">
        <v>851</v>
      </c>
      <c r="B37" s="6">
        <v>1</v>
      </c>
      <c r="C37" s="6">
        <v>25</v>
      </c>
      <c r="D37" s="2" t="s">
        <v>653</v>
      </c>
      <c r="E37" s="6">
        <v>756</v>
      </c>
      <c r="F37" s="18">
        <v>0</v>
      </c>
      <c r="G37" s="18">
        <v>0</v>
      </c>
      <c r="H37" s="18">
        <v>0</v>
      </c>
      <c r="I37" s="18">
        <v>0</v>
      </c>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v>0</v>
      </c>
      <c r="G39" s="18">
        <v>0</v>
      </c>
      <c r="H39" s="18">
        <v>0</v>
      </c>
      <c r="I39" s="18">
        <v>0</v>
      </c>
      <c r="J39" s="13">
        <f>I459</f>
        <v>0</v>
      </c>
      <c r="K39" s="23" t="s">
        <v>288</v>
      </c>
      <c r="L39" s="23" t="s">
        <v>288</v>
      </c>
      <c r="M39" s="8"/>
      <c r="N39" s="165"/>
    </row>
    <row r="40" spans="1:14" s="3" customFormat="1" ht="12.2" customHeight="1" x14ac:dyDescent="0.15">
      <c r="A40" s="1" t="s">
        <v>859</v>
      </c>
      <c r="B40" s="6">
        <v>1</v>
      </c>
      <c r="C40" s="6">
        <v>27</v>
      </c>
      <c r="D40" s="2"/>
      <c r="E40" s="6"/>
      <c r="F40" s="23" t="s">
        <v>288</v>
      </c>
      <c r="G40" s="18">
        <v>942629.07</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v>0</v>
      </c>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v>0</v>
      </c>
      <c r="G43" s="18">
        <v>0</v>
      </c>
      <c r="H43" s="18">
        <v>0</v>
      </c>
      <c r="I43" s="18">
        <v>0</v>
      </c>
      <c r="J43" s="13">
        <f>SUM(I457)</f>
        <v>0</v>
      </c>
      <c r="K43" s="23" t="s">
        <v>288</v>
      </c>
      <c r="L43" s="23" t="s">
        <v>288</v>
      </c>
      <c r="M43" s="8"/>
      <c r="N43" s="165"/>
    </row>
    <row r="44" spans="1:14" s="3" customFormat="1" ht="12.2" customHeight="1" x14ac:dyDescent="0.15">
      <c r="A44" s="1" t="s">
        <v>836</v>
      </c>
      <c r="B44" s="6">
        <v>1</v>
      </c>
      <c r="C44" s="6">
        <v>30</v>
      </c>
      <c r="D44" s="2" t="s">
        <v>653</v>
      </c>
      <c r="E44" s="6">
        <v>755</v>
      </c>
      <c r="F44" s="18">
        <v>0</v>
      </c>
      <c r="G44" s="18">
        <v>0</v>
      </c>
      <c r="H44" s="18">
        <v>0</v>
      </c>
      <c r="I44" s="18">
        <v>0</v>
      </c>
      <c r="J44" s="23" t="s">
        <v>288</v>
      </c>
      <c r="K44" s="23" t="s">
        <v>288</v>
      </c>
      <c r="L44" s="23" t="s">
        <v>288</v>
      </c>
      <c r="M44" s="8"/>
      <c r="N44" s="165"/>
    </row>
    <row r="45" spans="1:14" s="3" customFormat="1" ht="12.2" customHeight="1" x14ac:dyDescent="0.15">
      <c r="A45" s="1" t="s">
        <v>837</v>
      </c>
      <c r="B45" s="6">
        <v>1</v>
      </c>
      <c r="C45" s="6">
        <v>31</v>
      </c>
      <c r="D45" s="2"/>
      <c r="E45" s="6">
        <v>753</v>
      </c>
      <c r="F45" s="18">
        <v>0</v>
      </c>
      <c r="G45" s="18">
        <v>0</v>
      </c>
      <c r="H45" s="18">
        <v>0</v>
      </c>
      <c r="I45" s="18">
        <v>0</v>
      </c>
      <c r="J45" s="13">
        <f>I456</f>
        <v>0</v>
      </c>
      <c r="K45" s="23" t="s">
        <v>288</v>
      </c>
      <c r="L45" s="23" t="s">
        <v>288</v>
      </c>
      <c r="M45" s="8"/>
      <c r="N45" s="165"/>
    </row>
    <row r="46" spans="1:14" s="3" customFormat="1" ht="12.2" customHeight="1" x14ac:dyDescent="0.15">
      <c r="A46" s="1" t="s">
        <v>873</v>
      </c>
      <c r="B46" s="6">
        <v>1</v>
      </c>
      <c r="C46" s="6">
        <v>32</v>
      </c>
      <c r="D46" s="2"/>
      <c r="E46" s="6"/>
      <c r="F46" s="18">
        <v>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v>668703</v>
      </c>
      <c r="G48" s="18">
        <v>0</v>
      </c>
      <c r="H48" s="18">
        <v>560686.06000000006</v>
      </c>
      <c r="I48" s="18">
        <v>0</v>
      </c>
      <c r="J48" s="13">
        <f>SUM(I460)</f>
        <v>31279900.739999998</v>
      </c>
      <c r="K48" s="23" t="s">
        <v>288</v>
      </c>
      <c r="L48" s="23" t="s">
        <v>288</v>
      </c>
      <c r="M48" s="8"/>
      <c r="N48" s="165"/>
    </row>
    <row r="49" spans="1:14" s="3" customFormat="1" ht="12.2" customHeight="1" x14ac:dyDescent="0.15">
      <c r="A49" s="1" t="s">
        <v>858</v>
      </c>
      <c r="B49" s="2" t="s">
        <v>289</v>
      </c>
      <c r="C49" s="6">
        <v>34</v>
      </c>
      <c r="D49" s="2"/>
      <c r="E49" s="6">
        <v>753</v>
      </c>
      <c r="F49" s="18">
        <f>1054566.49</f>
        <v>1054566.49</v>
      </c>
      <c r="G49" s="18">
        <v>74211.740000000005</v>
      </c>
      <c r="H49" s="18">
        <v>0</v>
      </c>
      <c r="I49" s="18">
        <v>0</v>
      </c>
      <c r="J49" s="13">
        <f>I455</f>
        <v>0</v>
      </c>
      <c r="K49" s="23"/>
      <c r="L49" s="23"/>
      <c r="M49" s="8"/>
      <c r="N49" s="165"/>
    </row>
    <row r="50" spans="1:14" s="3" customFormat="1" ht="12.2" customHeight="1" thickBot="1" x14ac:dyDescent="0.2">
      <c r="A50" s="28" t="s">
        <v>839</v>
      </c>
      <c r="B50" s="2" t="s">
        <v>289</v>
      </c>
      <c r="C50" s="56">
        <v>35</v>
      </c>
      <c r="D50" s="2" t="s">
        <v>653</v>
      </c>
      <c r="E50" s="6">
        <v>770</v>
      </c>
      <c r="F50" s="18">
        <v>0</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1743911.67</v>
      </c>
      <c r="G51" s="38">
        <f>SUM(G35:G50)</f>
        <v>1097465.3899999999</v>
      </c>
      <c r="H51" s="38">
        <f>SUM(H35:H50)</f>
        <v>560686.06000000006</v>
      </c>
      <c r="I51" s="38">
        <f>SUM(I35:I50)</f>
        <v>0</v>
      </c>
      <c r="J51" s="38">
        <f>SUM(J35:J50)</f>
        <v>31279900.739999998</v>
      </c>
      <c r="K51" s="42" t="s">
        <v>288</v>
      </c>
      <c r="L51" s="42" t="s">
        <v>288</v>
      </c>
      <c r="N51" s="131"/>
    </row>
    <row r="52" spans="1:14" s="3" customFormat="1" ht="12.2" customHeight="1" thickTop="1" x14ac:dyDescent="0.15">
      <c r="A52" s="35" t="s">
        <v>455</v>
      </c>
      <c r="B52" s="36" t="s">
        <v>289</v>
      </c>
      <c r="C52" s="6">
        <v>37</v>
      </c>
      <c r="D52" s="36" t="s">
        <v>653</v>
      </c>
      <c r="E52" s="36"/>
      <c r="F52" s="38">
        <f>F51+F32</f>
        <v>59987435.700000003</v>
      </c>
      <c r="G52" s="38">
        <f>G51+G32</f>
        <v>1622642.33</v>
      </c>
      <c r="H52" s="38">
        <f>H51+H32</f>
        <v>9811977.9199999999</v>
      </c>
      <c r="I52" s="38">
        <f>I51+I32</f>
        <v>0</v>
      </c>
      <c r="J52" s="38">
        <f>J51+J32</f>
        <v>31279900.739999998</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97001685</v>
      </c>
      <c r="G57" s="18">
        <v>0</v>
      </c>
      <c r="H57" s="18">
        <v>0</v>
      </c>
      <c r="I57" s="18">
        <v>0</v>
      </c>
      <c r="J57" s="18">
        <v>0</v>
      </c>
      <c r="K57" s="23" t="s">
        <v>288</v>
      </c>
      <c r="L57" s="23" t="s">
        <v>288</v>
      </c>
      <c r="M57" s="8"/>
      <c r="N57" s="165"/>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v>0</v>
      </c>
      <c r="G59" s="18">
        <v>0</v>
      </c>
      <c r="H59" s="18">
        <v>0</v>
      </c>
      <c r="I59" s="18">
        <v>0</v>
      </c>
      <c r="J59" s="18">
        <v>0</v>
      </c>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97001685</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13789.68</v>
      </c>
      <c r="G63" s="23" t="s">
        <v>288</v>
      </c>
      <c r="H63" s="18">
        <v>0</v>
      </c>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v>0</v>
      </c>
      <c r="G66" s="23" t="s">
        <v>288</v>
      </c>
      <c r="H66" s="18">
        <v>2629</v>
      </c>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464077.44</v>
      </c>
      <c r="G68" s="23" t="s">
        <v>288</v>
      </c>
      <c r="H68" s="18">
        <v>0</v>
      </c>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80982.36</v>
      </c>
      <c r="G69" s="23" t="s">
        <v>288</v>
      </c>
      <c r="H69" s="18">
        <v>454643.46</v>
      </c>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398646.65</v>
      </c>
      <c r="G70" s="23" t="s">
        <v>288</v>
      </c>
      <c r="H70" s="18">
        <f>39139+121800</f>
        <v>160939</v>
      </c>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957496.13</v>
      </c>
      <c r="G79" s="42" t="s">
        <v>288</v>
      </c>
      <c r="H79" s="38">
        <f>SUM(H63:H78)</f>
        <v>618211.46</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v>0</v>
      </c>
      <c r="G83" s="23" t="s">
        <v>288</v>
      </c>
      <c r="H83" s="18">
        <v>0</v>
      </c>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v>0</v>
      </c>
      <c r="G93" s="23" t="s">
        <v>288</v>
      </c>
      <c r="H93" s="18">
        <v>0</v>
      </c>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459796.11</v>
      </c>
      <c r="G96" s="18">
        <v>0</v>
      </c>
      <c r="H96" s="18">
        <v>0</v>
      </c>
      <c r="I96" s="18">
        <v>0</v>
      </c>
      <c r="J96" s="18">
        <v>662508.44999999995</v>
      </c>
      <c r="K96" s="23" t="s">
        <v>288</v>
      </c>
      <c r="L96" s="23" t="s">
        <v>288</v>
      </c>
      <c r="M96" s="8"/>
      <c r="N96" s="165"/>
    </row>
    <row r="97" spans="1:14" s="3" customFormat="1" ht="12.2" customHeight="1" x14ac:dyDescent="0.15">
      <c r="A97" s="1" t="s">
        <v>503</v>
      </c>
      <c r="B97" s="2" t="s">
        <v>315</v>
      </c>
      <c r="C97" s="6">
        <v>12</v>
      </c>
      <c r="D97" s="2" t="s">
        <v>430</v>
      </c>
      <c r="E97" s="6">
        <v>1600</v>
      </c>
      <c r="F97" s="23" t="s">
        <v>288</v>
      </c>
      <c r="G97" s="18">
        <f>699375.85+106824.75+263930.8+17.25+24361.21</f>
        <v>1094509.8599999999</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21196</v>
      </c>
      <c r="G98" s="23" t="s">
        <v>288</v>
      </c>
      <c r="H98" s="18">
        <f>36567.7+24507.68</f>
        <v>61075.38</v>
      </c>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5836.55</v>
      </c>
      <c r="G101" s="18">
        <v>0</v>
      </c>
      <c r="H101" s="18">
        <v>1474</v>
      </c>
      <c r="I101" s="18">
        <v>0</v>
      </c>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0</v>
      </c>
      <c r="G102" s="18">
        <v>0</v>
      </c>
      <c r="H102" s="18">
        <f>261227.53+323483.23</f>
        <v>584710.76</v>
      </c>
      <c r="I102" s="18">
        <v>0</v>
      </c>
      <c r="J102" s="18">
        <v>0</v>
      </c>
      <c r="K102" s="23" t="s">
        <v>288</v>
      </c>
      <c r="L102" s="23" t="s">
        <v>288</v>
      </c>
      <c r="M102" s="8"/>
      <c r="N102" s="165"/>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0</v>
      </c>
      <c r="G105" s="18">
        <v>0</v>
      </c>
      <c r="H105" s="18">
        <v>0</v>
      </c>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v>0</v>
      </c>
      <c r="G108" s="18">
        <v>0</v>
      </c>
      <c r="H108" s="18">
        <v>0</v>
      </c>
      <c r="I108" s="18">
        <v>0</v>
      </c>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808948.11</v>
      </c>
      <c r="G109" s="18">
        <v>0</v>
      </c>
      <c r="H109" s="18">
        <v>0</v>
      </c>
      <c r="I109" s="18">
        <v>0</v>
      </c>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28277.360000000001</v>
      </c>
      <c r="G110" s="18">
        <v>9268.1299999999992</v>
      </c>
      <c r="H110" s="18">
        <v>0</v>
      </c>
      <c r="I110" s="18">
        <v>0</v>
      </c>
      <c r="J110" s="18">
        <v>0</v>
      </c>
      <c r="K110" s="23" t="s">
        <v>288</v>
      </c>
      <c r="L110" s="23" t="s">
        <v>288</v>
      </c>
      <c r="M110" s="8"/>
      <c r="N110" s="165"/>
    </row>
    <row r="111" spans="1:14" ht="12.2" customHeight="1" thickTop="1" thickBot="1" x14ac:dyDescent="0.25">
      <c r="A111" s="35" t="s">
        <v>433</v>
      </c>
      <c r="B111" s="36" t="s">
        <v>315</v>
      </c>
      <c r="C111" s="37">
        <v>25</v>
      </c>
      <c r="D111" s="36" t="s">
        <v>430</v>
      </c>
      <c r="E111" s="37"/>
      <c r="F111" s="38">
        <f>SUM(F96:F110)</f>
        <v>1324054.1300000001</v>
      </c>
      <c r="G111" s="38">
        <f>SUM(G96:G110)</f>
        <v>1103777.9899999998</v>
      </c>
      <c r="H111" s="38">
        <f>SUM(H96:H110)</f>
        <v>647260.14</v>
      </c>
      <c r="I111" s="38">
        <f>SUM(I96:I110)</f>
        <v>0</v>
      </c>
      <c r="J111" s="38">
        <f>SUM(J96:J110)</f>
        <v>662508.44999999995</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99283235.25999999</v>
      </c>
      <c r="G112" s="38">
        <f>G60+G111</f>
        <v>1103777.9899999998</v>
      </c>
      <c r="H112" s="38">
        <f>H60+H79+H94+H111</f>
        <v>1265471.6000000001</v>
      </c>
      <c r="I112" s="38">
        <f>I60+I111</f>
        <v>0</v>
      </c>
      <c r="J112" s="38">
        <f>J60+J111</f>
        <v>662508.44999999995</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70500444.170000002</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15458857</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1598313.71</v>
      </c>
      <c r="G120" s="18">
        <v>0</v>
      </c>
      <c r="H120" s="18">
        <v>0</v>
      </c>
      <c r="I120" s="18">
        <v>0</v>
      </c>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87557614.879999995</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3023562.67</v>
      </c>
      <c r="G123" s="23" t="s">
        <v>288</v>
      </c>
      <c r="H123" s="23" t="s">
        <v>288</v>
      </c>
      <c r="I123" s="18">
        <v>0</v>
      </c>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5"/>
    </row>
    <row r="125" spans="1:14" s="3" customFormat="1" ht="12.2" customHeight="1" x14ac:dyDescent="0.15">
      <c r="A125" s="1" t="s">
        <v>895</v>
      </c>
      <c r="B125" s="2" t="s">
        <v>321</v>
      </c>
      <c r="C125" s="6">
        <v>8</v>
      </c>
      <c r="D125" s="2" t="s">
        <v>430</v>
      </c>
      <c r="E125" s="6">
        <v>3220</v>
      </c>
      <c r="F125" s="18">
        <v>0</v>
      </c>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2048190.66</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674057.8</v>
      </c>
      <c r="G127" s="23" t="s">
        <v>288</v>
      </c>
      <c r="H127" s="18">
        <v>0</v>
      </c>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0</v>
      </c>
      <c r="G128" s="23" t="s">
        <v>288</v>
      </c>
      <c r="H128" s="18">
        <v>0</v>
      </c>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v>0</v>
      </c>
      <c r="G129" s="23" t="s">
        <v>288</v>
      </c>
      <c r="H129" s="18">
        <v>0</v>
      </c>
      <c r="I129" s="18">
        <v>0</v>
      </c>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v>0</v>
      </c>
      <c r="G130" s="23" t="s">
        <v>288</v>
      </c>
      <c r="H130" s="18">
        <v>74789.789999999994</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72245.39</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v>92920.2</v>
      </c>
      <c r="I134" s="23"/>
      <c r="J134" s="23"/>
      <c r="K134" s="23"/>
      <c r="L134" s="23"/>
      <c r="M134" s="8"/>
      <c r="N134" s="165"/>
    </row>
    <row r="135" spans="1:14" s="3" customFormat="1" ht="12.2" customHeight="1" thickBot="1" x14ac:dyDescent="0.2">
      <c r="A135" s="1" t="s">
        <v>501</v>
      </c>
      <c r="B135" s="2" t="s">
        <v>321</v>
      </c>
      <c r="C135" s="6">
        <v>18</v>
      </c>
      <c r="D135" s="2" t="s">
        <v>430</v>
      </c>
      <c r="E135" s="6">
        <v>3290</v>
      </c>
      <c r="F135" s="18">
        <v>0</v>
      </c>
      <c r="G135" s="18">
        <v>0</v>
      </c>
      <c r="H135" s="18">
        <f>140662.83+6079.69</f>
        <v>146742.51999999999</v>
      </c>
      <c r="I135" s="18">
        <v>0</v>
      </c>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5745811.1299999999</v>
      </c>
      <c r="G136" s="38">
        <f>SUM(G123:G135)</f>
        <v>72245.39</v>
      </c>
      <c r="H136" s="38">
        <f>SUM(H123:H135)</f>
        <v>314452.51</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v>0</v>
      </c>
      <c r="G137" s="18">
        <v>0</v>
      </c>
      <c r="H137" s="18">
        <v>0</v>
      </c>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v>0</v>
      </c>
      <c r="G138" s="23" t="s">
        <v>288</v>
      </c>
      <c r="H138" s="18">
        <v>0</v>
      </c>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93303426.00999999</v>
      </c>
      <c r="G140" s="38">
        <f>G121+SUM(G136:G137)</f>
        <v>72245.39</v>
      </c>
      <c r="H140" s="38">
        <f>H121+SUM(H136:H139)</f>
        <v>314452.51</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v>0</v>
      </c>
      <c r="G145" s="18">
        <v>0</v>
      </c>
      <c r="H145" s="18">
        <v>0</v>
      </c>
      <c r="I145" s="18">
        <v>0</v>
      </c>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v>0</v>
      </c>
      <c r="G146" s="18">
        <v>497815.88</v>
      </c>
      <c r="H146" s="18">
        <v>0</v>
      </c>
      <c r="I146" s="18">
        <v>0</v>
      </c>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497815.88</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v>0</v>
      </c>
      <c r="G150" s="23" t="s">
        <v>288</v>
      </c>
      <c r="H150" s="18">
        <v>0</v>
      </c>
      <c r="I150" s="18">
        <v>0</v>
      </c>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9411307.1799999997</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4574247.68</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803029.67</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v>0</v>
      </c>
      <c r="G157" s="23" t="s">
        <v>288</v>
      </c>
      <c r="H157" s="18">
        <v>52167.99</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3429976.4</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4987203.48</f>
        <v>4987203.4800000004</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530329.35</v>
      </c>
      <c r="G160" s="23" t="s">
        <v>288</v>
      </c>
      <c r="H160" s="18">
        <v>0</v>
      </c>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v>103782.19</v>
      </c>
      <c r="G161" s="18">
        <v>63989.55</v>
      </c>
      <c r="H161" s="18">
        <v>206751.37</v>
      </c>
      <c r="I161" s="18">
        <v>0</v>
      </c>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v>0</v>
      </c>
      <c r="G162" s="18">
        <v>0</v>
      </c>
      <c r="H162" s="18">
        <v>30448852.73</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634111.54</v>
      </c>
      <c r="G163" s="38">
        <f>SUM(G150:G162)</f>
        <v>3493965.9499999997</v>
      </c>
      <c r="H163" s="38">
        <f>SUM(H150:H162)</f>
        <v>50483560.100000001</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v>0</v>
      </c>
      <c r="G164" s="18">
        <v>0</v>
      </c>
      <c r="H164" s="18">
        <v>0</v>
      </c>
      <c r="I164" s="18">
        <v>0</v>
      </c>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634111.54</v>
      </c>
      <c r="G170" s="38">
        <f>G147+G163+SUM(G164:G169)</f>
        <v>3991781.8299999996</v>
      </c>
      <c r="H170" s="38">
        <f>H147+H163+SUM(H164:H169)</f>
        <v>50483560.100000001</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350000</v>
      </c>
      <c r="H180" s="18">
        <v>0</v>
      </c>
      <c r="I180" s="18">
        <v>0</v>
      </c>
      <c r="J180" s="18">
        <f>4078020.6+1.11</f>
        <v>4078021.71</v>
      </c>
      <c r="K180" s="23" t="s">
        <v>288</v>
      </c>
      <c r="L180" s="23" t="s">
        <v>288</v>
      </c>
      <c r="M180" s="8"/>
      <c r="N180" s="165"/>
    </row>
    <row r="181" spans="1:14" s="3" customFormat="1" ht="12.2" customHeight="1" x14ac:dyDescent="0.15">
      <c r="A181" s="1" t="s">
        <v>525</v>
      </c>
      <c r="B181" s="2" t="s">
        <v>330</v>
      </c>
      <c r="C181" s="6">
        <v>7</v>
      </c>
      <c r="D181" s="2" t="s">
        <v>430</v>
      </c>
      <c r="E181" s="6">
        <v>5221</v>
      </c>
      <c r="F181" s="18">
        <v>0</v>
      </c>
      <c r="G181" s="23" t="s">
        <v>288</v>
      </c>
      <c r="H181" s="18">
        <v>0</v>
      </c>
      <c r="I181" s="18">
        <v>0</v>
      </c>
      <c r="J181" s="18">
        <v>0</v>
      </c>
      <c r="K181" s="23" t="s">
        <v>288</v>
      </c>
      <c r="L181" s="23" t="s">
        <v>288</v>
      </c>
      <c r="M181" s="8"/>
      <c r="N181" s="165"/>
    </row>
    <row r="182" spans="1:14" s="3" customFormat="1" ht="12.2" customHeight="1" x14ac:dyDescent="0.15">
      <c r="A182" s="3" t="s">
        <v>526</v>
      </c>
      <c r="B182" s="2" t="s">
        <v>330</v>
      </c>
      <c r="C182" s="6">
        <v>8</v>
      </c>
      <c r="D182" s="2" t="s">
        <v>430</v>
      </c>
      <c r="E182" s="6">
        <v>5222</v>
      </c>
      <c r="F182" s="18">
        <v>247481.1</v>
      </c>
      <c r="G182" s="18">
        <v>0</v>
      </c>
      <c r="H182" s="23" t="s">
        <v>288</v>
      </c>
      <c r="I182" s="18">
        <v>0</v>
      </c>
      <c r="J182" s="18">
        <v>0</v>
      </c>
      <c r="K182" s="23" t="s">
        <v>288</v>
      </c>
      <c r="L182" s="23" t="s">
        <v>288</v>
      </c>
      <c r="M182" s="8"/>
      <c r="N182" s="165"/>
    </row>
    <row r="183" spans="1:14" s="3" customFormat="1" ht="12.2" customHeight="1" thickBot="1" x14ac:dyDescent="0.2">
      <c r="A183" s="3" t="s">
        <v>527</v>
      </c>
      <c r="B183" s="2" t="s">
        <v>330</v>
      </c>
      <c r="C183" s="6">
        <v>9</v>
      </c>
      <c r="D183" s="2" t="s">
        <v>430</v>
      </c>
      <c r="E183" s="6">
        <v>5230</v>
      </c>
      <c r="F183" s="18">
        <v>0</v>
      </c>
      <c r="G183" s="18">
        <v>0</v>
      </c>
      <c r="H183" s="18">
        <v>0</v>
      </c>
      <c r="I183" s="23" t="s">
        <v>288</v>
      </c>
      <c r="J183" s="18">
        <v>0</v>
      </c>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247481.1</v>
      </c>
      <c r="G184" s="38">
        <f>SUM(G180:G183)</f>
        <v>350000</v>
      </c>
      <c r="H184" s="38">
        <f>SUM(H180:H183)</f>
        <v>0</v>
      </c>
      <c r="I184" s="38">
        <f>SUM(I180:I183)</f>
        <v>0</v>
      </c>
      <c r="J184" s="38">
        <f>SUM(J180:J183)</f>
        <v>4078021.71</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0</v>
      </c>
      <c r="G186" s="18">
        <v>0</v>
      </c>
      <c r="H186" s="18">
        <v>0</v>
      </c>
      <c r="I186" s="18">
        <v>0</v>
      </c>
      <c r="J186" s="23" t="s">
        <v>288</v>
      </c>
      <c r="K186" s="23" t="s">
        <v>288</v>
      </c>
      <c r="L186" s="23" t="s">
        <v>288</v>
      </c>
      <c r="M186" s="8"/>
      <c r="N186" s="165"/>
    </row>
    <row r="187" spans="1:14" ht="12.2" customHeight="1" x14ac:dyDescent="0.2">
      <c r="A187" s="1" t="s">
        <v>529</v>
      </c>
      <c r="B187" s="2" t="s">
        <v>330</v>
      </c>
      <c r="C187" s="6">
        <v>12</v>
      </c>
      <c r="D187" s="2" t="s">
        <v>430</v>
      </c>
      <c r="E187" s="6">
        <v>5252</v>
      </c>
      <c r="F187" s="18">
        <v>200000</v>
      </c>
      <c r="G187" s="18">
        <v>0</v>
      </c>
      <c r="H187" s="18">
        <v>0</v>
      </c>
      <c r="I187" s="18">
        <v>0</v>
      </c>
      <c r="J187" s="23" t="s">
        <v>288</v>
      </c>
      <c r="K187" s="23" t="s">
        <v>288</v>
      </c>
      <c r="L187" s="23" t="s">
        <v>288</v>
      </c>
      <c r="N187" s="131"/>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200000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v>0</v>
      </c>
      <c r="G192" s="18">
        <v>0</v>
      </c>
      <c r="H192" s="18">
        <v>0</v>
      </c>
      <c r="I192" s="18">
        <v>0</v>
      </c>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447481.1</v>
      </c>
      <c r="G193" s="38">
        <f>G184+SUM(G189:G192)</f>
        <v>350000</v>
      </c>
      <c r="H193" s="38">
        <f>+H184+SUM(H189:H192)</f>
        <v>0</v>
      </c>
      <c r="I193" s="38">
        <f>I178+I184+SUM(I189:I192)</f>
        <v>0</v>
      </c>
      <c r="J193" s="38">
        <f>J184</f>
        <v>4078021.71</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193668253.90999997</v>
      </c>
      <c r="G194" s="38">
        <f>G112+G140+G170+G193</f>
        <v>5517805.209999999</v>
      </c>
      <c r="H194" s="38">
        <f>H112+H140+H170+H193</f>
        <v>52063484.210000001</v>
      </c>
      <c r="I194" s="38">
        <f>I112+I140+I170+I193</f>
        <v>0</v>
      </c>
      <c r="J194" s="38">
        <f>J112+J140+J193</f>
        <v>4740530.16</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19089335.68-0.01</f>
        <v>19089335.669999998</v>
      </c>
      <c r="G198" s="18">
        <v>9299672.5199999996</v>
      </c>
      <c r="H198" s="18">
        <v>72342.3</v>
      </c>
      <c r="I198" s="18">
        <v>231275.06</v>
      </c>
      <c r="J198" s="18">
        <v>6864.94</v>
      </c>
      <c r="K198" s="18">
        <v>851.85</v>
      </c>
      <c r="L198" s="13">
        <f>SUM(F198:K198)</f>
        <v>28700342.34</v>
      </c>
      <c r="M198" s="8"/>
      <c r="N198" s="165"/>
    </row>
    <row r="199" spans="1:14" s="3" customFormat="1" ht="12.2" customHeight="1" x14ac:dyDescent="0.15">
      <c r="A199" s="1" t="s">
        <v>439</v>
      </c>
      <c r="B199" s="2" t="s">
        <v>341</v>
      </c>
      <c r="C199" s="2" t="s">
        <v>291</v>
      </c>
      <c r="D199" s="2" t="s">
        <v>431</v>
      </c>
      <c r="E199" s="6">
        <v>1200</v>
      </c>
      <c r="F199" s="18">
        <v>8633304.4499999993</v>
      </c>
      <c r="G199" s="18">
        <v>5580249.6100000003</v>
      </c>
      <c r="H199" s="18">
        <v>4525642.18</v>
      </c>
      <c r="I199" s="18">
        <v>31244.66</v>
      </c>
      <c r="J199" s="18">
        <v>7565.78</v>
      </c>
      <c r="K199" s="18">
        <v>1082.2</v>
      </c>
      <c r="L199" s="13">
        <f>SUM(F199:K199)</f>
        <v>18779088.879999999</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39738.050000000003</v>
      </c>
      <c r="G201" s="18">
        <v>10283.92</v>
      </c>
      <c r="H201" s="18">
        <v>52844.29</v>
      </c>
      <c r="I201" s="18">
        <v>1300.8800000000001</v>
      </c>
      <c r="J201" s="18">
        <v>555.5</v>
      </c>
      <c r="K201" s="18">
        <v>126.09</v>
      </c>
      <c r="L201" s="13">
        <f>SUM(F201:K201)</f>
        <v>104848.73000000001</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3617074.68</v>
      </c>
      <c r="G203" s="18">
        <v>1881576.29</v>
      </c>
      <c r="H203" s="18">
        <f>1749428.16+7930.69</f>
        <v>1757358.8499999999</v>
      </c>
      <c r="I203" s="18">
        <v>24476.7</v>
      </c>
      <c r="J203" s="18">
        <v>4487.01</v>
      </c>
      <c r="K203" s="18">
        <v>481</v>
      </c>
      <c r="L203" s="13">
        <f t="shared" ref="L203:L209" si="0">SUM(F203:K203)</f>
        <v>7285454.5300000003</v>
      </c>
      <c r="M203" s="8"/>
      <c r="N203" s="165"/>
    </row>
    <row r="204" spans="1:14" s="3" customFormat="1" ht="12.2" customHeight="1" x14ac:dyDescent="0.15">
      <c r="A204" s="1" t="s">
        <v>443</v>
      </c>
      <c r="B204" s="2" t="s">
        <v>341</v>
      </c>
      <c r="C204" s="2" t="s">
        <v>295</v>
      </c>
      <c r="D204" s="2" t="s">
        <v>431</v>
      </c>
      <c r="E204" s="6">
        <v>2200</v>
      </c>
      <c r="F204" s="18">
        <v>843503.91</v>
      </c>
      <c r="G204" s="18">
        <v>485781.07</v>
      </c>
      <c r="H204" s="18">
        <v>679.42</v>
      </c>
      <c r="I204" s="18">
        <v>11605.88</v>
      </c>
      <c r="J204" s="18">
        <v>0</v>
      </c>
      <c r="K204" s="18">
        <v>1387.5</v>
      </c>
      <c r="L204" s="13">
        <f t="shared" si="0"/>
        <v>1342957.7799999998</v>
      </c>
      <c r="M204" s="8"/>
      <c r="N204" s="165"/>
    </row>
    <row r="205" spans="1:14" s="3" customFormat="1" ht="12.2" customHeight="1" x14ac:dyDescent="0.15">
      <c r="A205" s="1" t="s">
        <v>444</v>
      </c>
      <c r="B205" s="2" t="s">
        <v>341</v>
      </c>
      <c r="C205" s="2" t="s">
        <v>296</v>
      </c>
      <c r="D205" s="2" t="s">
        <v>431</v>
      </c>
      <c r="E205" s="6">
        <v>2300</v>
      </c>
      <c r="F205" s="18">
        <v>692083.19999999995</v>
      </c>
      <c r="G205" s="18">
        <v>306324.88</v>
      </c>
      <c r="H205" s="18">
        <v>93393.82</v>
      </c>
      <c r="I205" s="18">
        <v>8884.7099999999991</v>
      </c>
      <c r="J205" s="18">
        <v>0</v>
      </c>
      <c r="K205" s="18">
        <v>3160.19</v>
      </c>
      <c r="L205" s="13">
        <f t="shared" si="0"/>
        <v>1103846.7999999998</v>
      </c>
      <c r="M205" s="8"/>
      <c r="N205" s="165"/>
    </row>
    <row r="206" spans="1:14" s="3" customFormat="1" ht="12.2" customHeight="1" x14ac:dyDescent="0.15">
      <c r="A206" s="1" t="s">
        <v>445</v>
      </c>
      <c r="B206" s="2" t="s">
        <v>341</v>
      </c>
      <c r="C206" s="2" t="s">
        <v>297</v>
      </c>
      <c r="D206" s="2" t="s">
        <v>431</v>
      </c>
      <c r="E206" s="6">
        <v>2400</v>
      </c>
      <c r="F206" s="18">
        <v>3236358.82</v>
      </c>
      <c r="G206" s="18">
        <v>1762883.64</v>
      </c>
      <c r="H206" s="18">
        <v>21666.42</v>
      </c>
      <c r="I206" s="18">
        <v>0</v>
      </c>
      <c r="J206" s="18">
        <v>0</v>
      </c>
      <c r="K206" s="18">
        <v>240</v>
      </c>
      <c r="L206" s="13">
        <f t="shared" si="0"/>
        <v>5021148.88</v>
      </c>
      <c r="M206" s="8"/>
      <c r="N206" s="165"/>
    </row>
    <row r="207" spans="1:14" s="3" customFormat="1" ht="12.2" customHeight="1" x14ac:dyDescent="0.15">
      <c r="A207" s="1" t="s">
        <v>446</v>
      </c>
      <c r="B207" s="2" t="s">
        <v>341</v>
      </c>
      <c r="C207" s="2" t="s">
        <v>298</v>
      </c>
      <c r="D207" s="2" t="s">
        <v>431</v>
      </c>
      <c r="E207" s="6">
        <v>2500</v>
      </c>
      <c r="F207" s="18">
        <v>292356.14</v>
      </c>
      <c r="G207" s="18">
        <v>205150.07999999999</v>
      </c>
      <c r="H207" s="18">
        <f>37704.15+49823.64</f>
        <v>87527.790000000008</v>
      </c>
      <c r="I207" s="18">
        <v>9193.4</v>
      </c>
      <c r="J207" s="18">
        <v>0</v>
      </c>
      <c r="K207" s="18">
        <v>74</v>
      </c>
      <c r="L207" s="13">
        <f t="shared" si="0"/>
        <v>594301.41</v>
      </c>
      <c r="M207" s="8"/>
      <c r="N207" s="165"/>
    </row>
    <row r="208" spans="1:14" s="3" customFormat="1" ht="12.2" customHeight="1" x14ac:dyDescent="0.15">
      <c r="A208" s="1" t="s">
        <v>447</v>
      </c>
      <c r="B208" s="2" t="s">
        <v>341</v>
      </c>
      <c r="C208" s="2" t="s">
        <v>299</v>
      </c>
      <c r="D208" s="2" t="s">
        <v>431</v>
      </c>
      <c r="E208" s="6">
        <v>2600</v>
      </c>
      <c r="F208" s="18">
        <v>115853.36</v>
      </c>
      <c r="G208" s="18">
        <v>8865.7999999999993</v>
      </c>
      <c r="H208" s="18">
        <f>267883.4+1503336.97</f>
        <v>1771220.37</v>
      </c>
      <c r="I208" s="18">
        <v>898935.59999999986</v>
      </c>
      <c r="J208" s="18">
        <v>0</v>
      </c>
      <c r="K208" s="18">
        <v>107.3</v>
      </c>
      <c r="L208" s="13">
        <f t="shared" si="0"/>
        <v>2794982.4299999997</v>
      </c>
      <c r="M208" s="8"/>
      <c r="N208" s="165"/>
    </row>
    <row r="209" spans="1:14" s="3" customFormat="1" ht="12.2" customHeight="1" x14ac:dyDescent="0.15">
      <c r="A209" s="1" t="s">
        <v>448</v>
      </c>
      <c r="B209" s="2" t="s">
        <v>341</v>
      </c>
      <c r="C209" s="2" t="s">
        <v>300</v>
      </c>
      <c r="D209" s="2" t="s">
        <v>431</v>
      </c>
      <c r="E209" s="6">
        <v>2700</v>
      </c>
      <c r="F209" s="18">
        <v>21733.57</v>
      </c>
      <c r="G209" s="18">
        <v>13438.64</v>
      </c>
      <c r="H209" s="18">
        <v>5642956.5700000003</v>
      </c>
      <c r="I209" s="18">
        <v>0</v>
      </c>
      <c r="J209" s="18">
        <v>0</v>
      </c>
      <c r="K209" s="18">
        <v>0</v>
      </c>
      <c r="L209" s="13">
        <f t="shared" si="0"/>
        <v>5678128.7800000003</v>
      </c>
      <c r="M209" s="8"/>
      <c r="N209" s="165"/>
    </row>
    <row r="210" spans="1:14" s="3" customFormat="1" ht="12.2" customHeight="1" x14ac:dyDescent="0.15">
      <c r="A210" s="1" t="s">
        <v>449</v>
      </c>
      <c r="B210" s="2" t="s">
        <v>341</v>
      </c>
      <c r="C210" s="2" t="s">
        <v>343</v>
      </c>
      <c r="D210" s="2" t="s">
        <v>431</v>
      </c>
      <c r="E210" s="6">
        <v>2800</v>
      </c>
      <c r="F210" s="18">
        <v>371577.14</v>
      </c>
      <c r="G210" s="18">
        <v>162268.49</v>
      </c>
      <c r="H210" s="18">
        <v>174853.38</v>
      </c>
      <c r="I210" s="18">
        <v>103816.4</v>
      </c>
      <c r="J210" s="18">
        <v>94743.71</v>
      </c>
      <c r="K210" s="18">
        <v>55.49</v>
      </c>
      <c r="L210" s="13">
        <f>SUM(F210:K210)</f>
        <v>907314.61</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36952918.989999995</v>
      </c>
      <c r="G212" s="38">
        <f t="shared" si="1"/>
        <v>19716494.939999998</v>
      </c>
      <c r="H212" s="38">
        <f t="shared" si="1"/>
        <v>14200485.390000001</v>
      </c>
      <c r="I212" s="38">
        <f t="shared" si="1"/>
        <v>1320733.2899999998</v>
      </c>
      <c r="J212" s="38">
        <f t="shared" si="1"/>
        <v>114216.94</v>
      </c>
      <c r="K212" s="38">
        <f t="shared" si="1"/>
        <v>7565.62</v>
      </c>
      <c r="L212" s="38">
        <f t="shared" si="1"/>
        <v>72312415.169999987</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f>14725121.86</f>
        <v>14725121.859999999</v>
      </c>
      <c r="G216" s="18">
        <v>7633889.8499999996</v>
      </c>
      <c r="H216" s="18">
        <v>47661.91</v>
      </c>
      <c r="I216" s="18">
        <v>133121.35</v>
      </c>
      <c r="J216" s="18">
        <v>13195.93</v>
      </c>
      <c r="K216" s="18">
        <v>827.55</v>
      </c>
      <c r="L216" s="13">
        <f>SUM(F216:K216)</f>
        <v>22553818.450000003</v>
      </c>
      <c r="M216" s="8"/>
      <c r="N216" s="165"/>
    </row>
    <row r="217" spans="1:14" s="3" customFormat="1" ht="12.2" customHeight="1" x14ac:dyDescent="0.15">
      <c r="A217" s="1" t="s">
        <v>439</v>
      </c>
      <c r="B217" s="2" t="s">
        <v>346</v>
      </c>
      <c r="C217" s="2" t="s">
        <v>291</v>
      </c>
      <c r="D217" s="2" t="s">
        <v>431</v>
      </c>
      <c r="E217" s="6">
        <v>1200</v>
      </c>
      <c r="F217" s="18">
        <v>4507675.08</v>
      </c>
      <c r="G217" s="18">
        <v>2332541.64</v>
      </c>
      <c r="H217" s="18">
        <v>3052753.72</v>
      </c>
      <c r="I217" s="18">
        <v>1889.65</v>
      </c>
      <c r="J217" s="18">
        <v>289.5</v>
      </c>
      <c r="K217" s="18">
        <v>326.39999999999998</v>
      </c>
      <c r="L217" s="13">
        <f>SUM(F217:K217)</f>
        <v>9895475.9900000021</v>
      </c>
      <c r="M217" s="8"/>
      <c r="N217" s="165"/>
    </row>
    <row r="218" spans="1:14" s="3" customFormat="1" ht="12.2" customHeight="1" x14ac:dyDescent="0.15">
      <c r="A218" s="1" t="s">
        <v>440</v>
      </c>
      <c r="B218" s="2" t="s">
        <v>346</v>
      </c>
      <c r="C218" s="2" t="s">
        <v>292</v>
      </c>
      <c r="D218" s="2" t="s">
        <v>431</v>
      </c>
      <c r="E218" s="6">
        <v>1300</v>
      </c>
      <c r="F218" s="18">
        <v>231608.38</v>
      </c>
      <c r="G218" s="18">
        <v>107366.18</v>
      </c>
      <c r="H218" s="18">
        <v>0</v>
      </c>
      <c r="I218" s="18">
        <v>4619.91</v>
      </c>
      <c r="J218" s="18">
        <v>0</v>
      </c>
      <c r="K218" s="18">
        <v>0</v>
      </c>
      <c r="L218" s="13">
        <f>SUM(F218:K218)</f>
        <v>343594.47</v>
      </c>
      <c r="M218" s="8"/>
      <c r="N218" s="165"/>
    </row>
    <row r="219" spans="1:14" s="3" customFormat="1" ht="12.2" customHeight="1" x14ac:dyDescent="0.15">
      <c r="A219" s="1" t="s">
        <v>441</v>
      </c>
      <c r="B219" s="2" t="s">
        <v>346</v>
      </c>
      <c r="C219" s="2" t="s">
        <v>293</v>
      </c>
      <c r="D219" s="2" t="s">
        <v>431</v>
      </c>
      <c r="E219" s="6">
        <v>1400</v>
      </c>
      <c r="F219" s="18">
        <v>244387.85</v>
      </c>
      <c r="G219" s="18">
        <v>63581.69</v>
      </c>
      <c r="H219" s="18">
        <f>62245.44+18101.27</f>
        <v>80346.710000000006</v>
      </c>
      <c r="I219" s="18">
        <v>20719.34</v>
      </c>
      <c r="J219" s="18">
        <v>2870.85</v>
      </c>
      <c r="K219" s="18">
        <v>3319.91</v>
      </c>
      <c r="L219" s="13">
        <f>SUM(F219:K219)</f>
        <v>415226.35000000003</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1785800.42</v>
      </c>
      <c r="G221" s="18">
        <v>949046.12</v>
      </c>
      <c r="H221" s="18">
        <f>858373.16+4846.53</f>
        <v>863219.69000000006</v>
      </c>
      <c r="I221" s="18">
        <v>15876.78</v>
      </c>
      <c r="J221" s="18">
        <v>2910.49</v>
      </c>
      <c r="K221" s="18">
        <v>312</v>
      </c>
      <c r="L221" s="13">
        <f t="shared" ref="L221:L227" si="2">SUM(F221:K221)</f>
        <v>3617165.5</v>
      </c>
      <c r="M221" s="8"/>
      <c r="N221" s="165"/>
    </row>
    <row r="222" spans="1:14" s="3" customFormat="1" ht="12.2" customHeight="1" x14ac:dyDescent="0.15">
      <c r="A222" s="1" t="s">
        <v>443</v>
      </c>
      <c r="B222" s="2" t="s">
        <v>346</v>
      </c>
      <c r="C222" s="2" t="s">
        <v>295</v>
      </c>
      <c r="D222" s="2" t="s">
        <v>431</v>
      </c>
      <c r="E222" s="6">
        <v>2200</v>
      </c>
      <c r="F222" s="18">
        <v>291898.82</v>
      </c>
      <c r="G222" s="18">
        <v>217700.51</v>
      </c>
      <c r="H222" s="18">
        <v>440.7</v>
      </c>
      <c r="I222" s="18">
        <v>4861.01</v>
      </c>
      <c r="J222" s="18">
        <v>0</v>
      </c>
      <c r="K222" s="18">
        <v>900</v>
      </c>
      <c r="L222" s="13">
        <f t="shared" si="2"/>
        <v>515801.04000000004</v>
      </c>
      <c r="M222" s="8"/>
      <c r="N222" s="165"/>
    </row>
    <row r="223" spans="1:14" s="3" customFormat="1" ht="12.2" customHeight="1" x14ac:dyDescent="0.15">
      <c r="A223" s="1" t="s">
        <v>444</v>
      </c>
      <c r="B223" s="2" t="s">
        <v>346</v>
      </c>
      <c r="C223" s="2" t="s">
        <v>296</v>
      </c>
      <c r="D223" s="2" t="s">
        <v>431</v>
      </c>
      <c r="E223" s="6">
        <v>2300</v>
      </c>
      <c r="F223" s="18">
        <v>448918.83</v>
      </c>
      <c r="G223" s="18">
        <v>198697.24</v>
      </c>
      <c r="H223" s="18">
        <v>60579.77</v>
      </c>
      <c r="I223" s="18">
        <v>5763.05</v>
      </c>
      <c r="J223" s="18">
        <v>0</v>
      </c>
      <c r="K223" s="18">
        <v>2049.85</v>
      </c>
      <c r="L223" s="13">
        <f t="shared" si="2"/>
        <v>716008.74000000011</v>
      </c>
      <c r="M223" s="8"/>
      <c r="N223" s="165"/>
    </row>
    <row r="224" spans="1:14" s="3" customFormat="1" ht="12.2" customHeight="1" x14ac:dyDescent="0.15">
      <c r="A224" s="1" t="s">
        <v>445</v>
      </c>
      <c r="B224" s="2" t="s">
        <v>346</v>
      </c>
      <c r="C224" s="2" t="s">
        <v>297</v>
      </c>
      <c r="D224" s="2" t="s">
        <v>431</v>
      </c>
      <c r="E224" s="6">
        <v>2400</v>
      </c>
      <c r="F224" s="18">
        <v>1621200.98</v>
      </c>
      <c r="G224" s="18">
        <v>903156.08</v>
      </c>
      <c r="H224" s="18">
        <v>16440.27</v>
      </c>
      <c r="I224" s="18">
        <v>0</v>
      </c>
      <c r="J224" s="18">
        <v>0</v>
      </c>
      <c r="K224" s="18">
        <v>675</v>
      </c>
      <c r="L224" s="13">
        <f t="shared" si="2"/>
        <v>2541472.33</v>
      </c>
      <c r="M224" s="8"/>
      <c r="N224" s="165"/>
    </row>
    <row r="225" spans="1:14" s="3" customFormat="1" ht="12.2" customHeight="1" x14ac:dyDescent="0.15">
      <c r="A225" s="1" t="s">
        <v>446</v>
      </c>
      <c r="B225" s="2" t="s">
        <v>346</v>
      </c>
      <c r="C225" s="2" t="s">
        <v>298</v>
      </c>
      <c r="D225" s="2" t="s">
        <v>431</v>
      </c>
      <c r="E225" s="6">
        <v>2500</v>
      </c>
      <c r="F225" s="18">
        <v>189636.41</v>
      </c>
      <c r="G225" s="18">
        <v>133070.32</v>
      </c>
      <c r="H225" s="18">
        <f>24456.75+30447.78</f>
        <v>54904.53</v>
      </c>
      <c r="I225" s="18">
        <v>5963.29</v>
      </c>
      <c r="J225" s="18">
        <v>0</v>
      </c>
      <c r="K225" s="18">
        <v>48</v>
      </c>
      <c r="L225" s="13">
        <f t="shared" si="2"/>
        <v>383622.55</v>
      </c>
      <c r="M225" s="8"/>
      <c r="N225" s="165"/>
    </row>
    <row r="226" spans="1:14" s="3" customFormat="1" ht="12.2" customHeight="1" x14ac:dyDescent="0.15">
      <c r="A226" s="1" t="s">
        <v>447</v>
      </c>
      <c r="B226" s="2" t="s">
        <v>346</v>
      </c>
      <c r="C226" s="2" t="s">
        <v>299</v>
      </c>
      <c r="D226" s="2" t="s">
        <v>431</v>
      </c>
      <c r="E226" s="6">
        <v>2600</v>
      </c>
      <c r="F226" s="18">
        <v>0</v>
      </c>
      <c r="G226" s="18">
        <v>0</v>
      </c>
      <c r="H226" s="18">
        <f>154238.11+1503336.97</f>
        <v>1657575.08</v>
      </c>
      <c r="I226" s="18">
        <v>599025.92999999993</v>
      </c>
      <c r="J226" s="18">
        <v>0</v>
      </c>
      <c r="K226" s="18">
        <v>69.599999999999994</v>
      </c>
      <c r="L226" s="13">
        <f t="shared" si="2"/>
        <v>2256670.61</v>
      </c>
      <c r="M226" s="8"/>
      <c r="N226" s="165"/>
    </row>
    <row r="227" spans="1:14" s="3" customFormat="1" ht="12.2" customHeight="1" x14ac:dyDescent="0.15">
      <c r="A227" s="1" t="s">
        <v>448</v>
      </c>
      <c r="B227" s="2" t="s">
        <v>346</v>
      </c>
      <c r="C227" s="2" t="s">
        <v>300</v>
      </c>
      <c r="D227" s="2" t="s">
        <v>431</v>
      </c>
      <c r="E227" s="6">
        <v>2700</v>
      </c>
      <c r="F227" s="18">
        <v>13174.97</v>
      </c>
      <c r="G227" s="18">
        <v>8146.55</v>
      </c>
      <c r="H227" s="18">
        <v>3670611.52</v>
      </c>
      <c r="I227" s="18">
        <v>0</v>
      </c>
      <c r="J227" s="18">
        <v>0</v>
      </c>
      <c r="K227" s="18">
        <v>0</v>
      </c>
      <c r="L227" s="13">
        <f t="shared" si="2"/>
        <v>3691933.04</v>
      </c>
      <c r="M227" s="8"/>
      <c r="N227" s="165"/>
    </row>
    <row r="228" spans="1:14" s="3" customFormat="1" ht="12.2" customHeight="1" x14ac:dyDescent="0.15">
      <c r="A228" s="1" t="s">
        <v>449</v>
      </c>
      <c r="B228" s="2" t="s">
        <v>346</v>
      </c>
      <c r="C228" s="2" t="s">
        <v>343</v>
      </c>
      <c r="D228" s="2" t="s">
        <v>431</v>
      </c>
      <c r="E228" s="6">
        <v>2800</v>
      </c>
      <c r="F228" s="18">
        <v>241023.01</v>
      </c>
      <c r="G228" s="18">
        <v>105255.23</v>
      </c>
      <c r="H228" s="18">
        <v>113426.38</v>
      </c>
      <c r="I228" s="18">
        <v>58045.27</v>
      </c>
      <c r="J228" s="18">
        <v>59139.65</v>
      </c>
      <c r="K228" s="18">
        <v>35.99</v>
      </c>
      <c r="L228" s="13">
        <f>SUM(F228:K228)</f>
        <v>576925.53</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24300446.609999996</v>
      </c>
      <c r="G230" s="38">
        <f>SUM(G216:G229)</f>
        <v>12652451.41</v>
      </c>
      <c r="H230" s="38">
        <f>SUM(H216:H229)</f>
        <v>9617960.2800000012</v>
      </c>
      <c r="I230" s="38">
        <f>SUM(I216:I229)</f>
        <v>849885.58</v>
      </c>
      <c r="J230" s="38">
        <f>SUM(J216:J229)</f>
        <v>78406.42</v>
      </c>
      <c r="K230" s="38">
        <f t="shared" si="3"/>
        <v>8564.2999999999993</v>
      </c>
      <c r="L230" s="38">
        <f t="shared" si="3"/>
        <v>47507714.600000001</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f>14115202.27+0.01</f>
        <v>14115202.279999999</v>
      </c>
      <c r="G234" s="18">
        <v>7143205.3099999996</v>
      </c>
      <c r="H234" s="18">
        <v>78408.259999999995</v>
      </c>
      <c r="I234" s="18">
        <v>191837.88</v>
      </c>
      <c r="J234" s="18">
        <v>2609.9899999999998</v>
      </c>
      <c r="K234" s="18">
        <v>13943.49</v>
      </c>
      <c r="L234" s="13">
        <f>SUM(F234:K234)</f>
        <v>21545207.209999997</v>
      </c>
      <c r="M234" s="8"/>
      <c r="N234" s="165"/>
    </row>
    <row r="235" spans="1:14" s="3" customFormat="1" ht="12.2" customHeight="1" x14ac:dyDescent="0.15">
      <c r="A235" s="1" t="s">
        <v>439</v>
      </c>
      <c r="B235" s="2" t="s">
        <v>350</v>
      </c>
      <c r="C235" s="2" t="s">
        <v>291</v>
      </c>
      <c r="D235" s="2" t="s">
        <v>431</v>
      </c>
      <c r="E235" s="6">
        <v>1200</v>
      </c>
      <c r="F235" s="18">
        <v>3563795.66</v>
      </c>
      <c r="G235" s="18">
        <v>1810729.46</v>
      </c>
      <c r="H235" s="18">
        <v>5151920.46</v>
      </c>
      <c r="I235" s="18">
        <v>5338.29</v>
      </c>
      <c r="J235" s="18">
        <v>515</v>
      </c>
      <c r="K235" s="18">
        <v>675.15</v>
      </c>
      <c r="L235" s="13">
        <f>SUM(F235:K235)</f>
        <v>10532974.02</v>
      </c>
      <c r="M235" s="8"/>
      <c r="N235" s="165"/>
    </row>
    <row r="236" spans="1:14" s="3" customFormat="1" ht="12.2" customHeight="1" x14ac:dyDescent="0.15">
      <c r="A236" s="1" t="s">
        <v>440</v>
      </c>
      <c r="B236" s="2" t="s">
        <v>350</v>
      </c>
      <c r="C236" s="2" t="s">
        <v>292</v>
      </c>
      <c r="D236" s="2" t="s">
        <v>431</v>
      </c>
      <c r="E236" s="6">
        <v>1300</v>
      </c>
      <c r="F236" s="18">
        <v>1645841.91</v>
      </c>
      <c r="G236" s="18">
        <v>862585.32</v>
      </c>
      <c r="H236" s="18">
        <v>0</v>
      </c>
      <c r="I236" s="18">
        <v>6267.05</v>
      </c>
      <c r="J236" s="18">
        <v>0</v>
      </c>
      <c r="K236" s="18">
        <v>0</v>
      </c>
      <c r="L236" s="13">
        <f>SUM(F236:K236)</f>
        <v>2514694.2799999998</v>
      </c>
      <c r="M236" s="8"/>
      <c r="N236" s="165"/>
    </row>
    <row r="237" spans="1:14" s="3" customFormat="1" ht="12.2" customHeight="1" x14ac:dyDescent="0.15">
      <c r="A237" s="1" t="s">
        <v>441</v>
      </c>
      <c r="B237" s="2" t="s">
        <v>350</v>
      </c>
      <c r="C237" s="2" t="s">
        <v>293</v>
      </c>
      <c r="D237" s="2" t="s">
        <v>431</v>
      </c>
      <c r="E237" s="6">
        <v>1400</v>
      </c>
      <c r="F237" s="18">
        <v>813966.9</v>
      </c>
      <c r="G237" s="18">
        <v>222554.7</v>
      </c>
      <c r="H237" s="18">
        <f>269617.24+146455.77</f>
        <v>416073.01</v>
      </c>
      <c r="I237" s="18">
        <v>128077.02</v>
      </c>
      <c r="J237" s="18">
        <v>48660.23</v>
      </c>
      <c r="K237" s="18">
        <v>37612.370000000003</v>
      </c>
      <c r="L237" s="13">
        <f>SUM(F237:K237)</f>
        <v>1666944.2300000002</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1964236.84</v>
      </c>
      <c r="G239" s="18">
        <v>1093566.3700000001</v>
      </c>
      <c r="H239" s="18">
        <f>1089281.03+9252.7</f>
        <v>1098533.73</v>
      </c>
      <c r="I239" s="18">
        <v>26749.759999999998</v>
      </c>
      <c r="J239" s="18">
        <v>4729.55</v>
      </c>
      <c r="K239" s="18">
        <v>507</v>
      </c>
      <c r="L239" s="13">
        <f t="shared" ref="L239:L245" si="4">SUM(F239:K239)</f>
        <v>4188323.2499999995</v>
      </c>
      <c r="M239" s="8"/>
      <c r="N239" s="165"/>
    </row>
    <row r="240" spans="1:14" s="3" customFormat="1" ht="12.2" customHeight="1" x14ac:dyDescent="0.15">
      <c r="A240" s="1" t="s">
        <v>443</v>
      </c>
      <c r="B240" s="2" t="s">
        <v>350</v>
      </c>
      <c r="C240" s="2" t="s">
        <v>295</v>
      </c>
      <c r="D240" s="2" t="s">
        <v>431</v>
      </c>
      <c r="E240" s="6">
        <v>2200</v>
      </c>
      <c r="F240" s="18">
        <v>352797.18</v>
      </c>
      <c r="G240" s="18">
        <v>250387.7</v>
      </c>
      <c r="H240" s="18">
        <v>716.15</v>
      </c>
      <c r="I240" s="18">
        <v>48724.52</v>
      </c>
      <c r="J240" s="18">
        <v>0</v>
      </c>
      <c r="K240" s="18">
        <v>1462.5</v>
      </c>
      <c r="L240" s="13">
        <f t="shared" si="4"/>
        <v>654088.05000000005</v>
      </c>
      <c r="M240" s="8"/>
      <c r="N240" s="165"/>
    </row>
    <row r="241" spans="1:14" s="3" customFormat="1" ht="12.2" customHeight="1" x14ac:dyDescent="0.15">
      <c r="A241" s="1" t="s">
        <v>444</v>
      </c>
      <c r="B241" s="2" t="s">
        <v>350</v>
      </c>
      <c r="C241" s="2" t="s">
        <v>296</v>
      </c>
      <c r="D241" s="2" t="s">
        <v>431</v>
      </c>
      <c r="E241" s="6">
        <v>2300</v>
      </c>
      <c r="F241" s="18">
        <v>729493.1</v>
      </c>
      <c r="G241" s="18">
        <v>322882.99</v>
      </c>
      <c r="H241" s="18">
        <v>98442.13</v>
      </c>
      <c r="I241" s="18">
        <v>9364.9599999999991</v>
      </c>
      <c r="J241" s="18">
        <v>0</v>
      </c>
      <c r="K241" s="18">
        <v>3331.01</v>
      </c>
      <c r="L241" s="13">
        <f t="shared" si="4"/>
        <v>1163514.1899999997</v>
      </c>
      <c r="M241" s="8"/>
      <c r="N241" s="165"/>
    </row>
    <row r="242" spans="1:14" s="3" customFormat="1" ht="12.2" customHeight="1" x14ac:dyDescent="0.15">
      <c r="A242" s="1" t="s">
        <v>445</v>
      </c>
      <c r="B242" s="2" t="s">
        <v>350</v>
      </c>
      <c r="C242" s="2" t="s">
        <v>297</v>
      </c>
      <c r="D242" s="2" t="s">
        <v>431</v>
      </c>
      <c r="E242" s="6">
        <v>2400</v>
      </c>
      <c r="F242" s="18">
        <v>2246248.94</v>
      </c>
      <c r="G242" s="18">
        <v>1277427.83</v>
      </c>
      <c r="H242" s="18">
        <v>18453.46</v>
      </c>
      <c r="I242" s="18">
        <v>0</v>
      </c>
      <c r="J242" s="18">
        <v>0</v>
      </c>
      <c r="K242" s="18">
        <v>20281.060000000001</v>
      </c>
      <c r="L242" s="13">
        <f t="shared" si="4"/>
        <v>3562411.29</v>
      </c>
      <c r="M242" s="8"/>
      <c r="N242" s="165"/>
    </row>
    <row r="243" spans="1:14" s="3" customFormat="1" ht="12.2" customHeight="1" x14ac:dyDescent="0.15">
      <c r="A243" s="1" t="s">
        <v>446</v>
      </c>
      <c r="B243" s="2" t="s">
        <v>350</v>
      </c>
      <c r="C243" s="2" t="s">
        <v>298</v>
      </c>
      <c r="D243" s="2" t="s">
        <v>431</v>
      </c>
      <c r="E243" s="6">
        <v>2500</v>
      </c>
      <c r="F243" s="18">
        <v>308159.17</v>
      </c>
      <c r="G243" s="18">
        <v>216239.27</v>
      </c>
      <c r="H243" s="18">
        <f>39742.21+58127.58</f>
        <v>97869.790000000008</v>
      </c>
      <c r="I243" s="18">
        <v>9690.35</v>
      </c>
      <c r="J243" s="18">
        <v>0</v>
      </c>
      <c r="K243" s="18">
        <v>78</v>
      </c>
      <c r="L243" s="13">
        <f t="shared" si="4"/>
        <v>632036.57999999996</v>
      </c>
      <c r="M243" s="8"/>
      <c r="N243" s="165"/>
    </row>
    <row r="244" spans="1:14" s="3" customFormat="1" ht="12.2" customHeight="1" x14ac:dyDescent="0.15">
      <c r="A244" s="1" t="s">
        <v>447</v>
      </c>
      <c r="B244" s="2" t="s">
        <v>350</v>
      </c>
      <c r="C244" s="2" t="s">
        <v>299</v>
      </c>
      <c r="D244" s="2" t="s">
        <v>431</v>
      </c>
      <c r="E244" s="6">
        <v>2600</v>
      </c>
      <c r="F244" s="18">
        <v>0</v>
      </c>
      <c r="G244" s="18">
        <v>0</v>
      </c>
      <c r="H244" s="18">
        <f>255117.29+4510010.92-3671.35</f>
        <v>4761456.8600000003</v>
      </c>
      <c r="I244" s="18">
        <v>1168668.04</v>
      </c>
      <c r="J244" s="18">
        <v>0</v>
      </c>
      <c r="K244" s="18">
        <v>113.1</v>
      </c>
      <c r="L244" s="13">
        <f t="shared" si="4"/>
        <v>5930238</v>
      </c>
      <c r="M244" s="8"/>
      <c r="N244" s="165"/>
    </row>
    <row r="245" spans="1:14" s="3" customFormat="1" ht="12.2" customHeight="1" x14ac:dyDescent="0.15">
      <c r="A245" s="1" t="s">
        <v>448</v>
      </c>
      <c r="B245" s="2" t="s">
        <v>350</v>
      </c>
      <c r="C245" s="2" t="s">
        <v>300</v>
      </c>
      <c r="D245" s="2" t="s">
        <v>431</v>
      </c>
      <c r="E245" s="6">
        <v>2700</v>
      </c>
      <c r="F245" s="18">
        <v>13000.36</v>
      </c>
      <c r="G245" s="18">
        <v>8038.59</v>
      </c>
      <c r="H245" s="18">
        <v>3621966.52</v>
      </c>
      <c r="I245" s="18">
        <v>0</v>
      </c>
      <c r="J245" s="18">
        <v>0</v>
      </c>
      <c r="K245" s="18">
        <v>0</v>
      </c>
      <c r="L245" s="13">
        <f t="shared" si="4"/>
        <v>3643005.47</v>
      </c>
      <c r="M245" s="8"/>
      <c r="N245" s="165"/>
    </row>
    <row r="246" spans="1:14" s="3" customFormat="1" ht="12.2" customHeight="1" x14ac:dyDescent="0.15">
      <c r="A246" s="1" t="s">
        <v>449</v>
      </c>
      <c r="B246" s="2" t="s">
        <v>350</v>
      </c>
      <c r="C246" s="2" t="s">
        <v>343</v>
      </c>
      <c r="D246" s="2" t="s">
        <v>431</v>
      </c>
      <c r="E246" s="6">
        <v>2800</v>
      </c>
      <c r="F246" s="18">
        <v>393301.39</v>
      </c>
      <c r="G246" s="18">
        <v>171039.77</v>
      </c>
      <c r="H246" s="18">
        <v>175801.2</v>
      </c>
      <c r="I246" s="18">
        <v>98124.75</v>
      </c>
      <c r="J246" s="18">
        <v>101820.18</v>
      </c>
      <c r="K246" s="18">
        <v>58.49</v>
      </c>
      <c r="L246" s="13">
        <f>SUM(F246:K246)</f>
        <v>940145.78</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26146043.73</v>
      </c>
      <c r="G248" s="38">
        <f t="shared" si="5"/>
        <v>13378657.309999999</v>
      </c>
      <c r="H248" s="38">
        <f t="shared" si="5"/>
        <v>15519641.569999998</v>
      </c>
      <c r="I248" s="38">
        <f t="shared" si="5"/>
        <v>1692842.62</v>
      </c>
      <c r="J248" s="38">
        <f t="shared" si="5"/>
        <v>158334.95000000001</v>
      </c>
      <c r="K248" s="38">
        <f t="shared" si="5"/>
        <v>78062.170000000013</v>
      </c>
      <c r="L248" s="38">
        <f t="shared" si="5"/>
        <v>56973582.349999987</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5"/>
    </row>
    <row r="252" spans="1:14" s="3" customFormat="1" ht="12.2" customHeight="1" x14ac:dyDescent="0.15">
      <c r="A252" s="1" t="s">
        <v>353</v>
      </c>
      <c r="B252" s="2" t="s">
        <v>352</v>
      </c>
      <c r="C252" s="2" t="s">
        <v>309</v>
      </c>
      <c r="D252" s="2" t="s">
        <v>431</v>
      </c>
      <c r="E252" s="6">
        <v>1600</v>
      </c>
      <c r="F252" s="18">
        <f>97659.44+6337.5</f>
        <v>103996.94</v>
      </c>
      <c r="G252" s="18">
        <v>31032.35</v>
      </c>
      <c r="H252" s="18">
        <f>2326.1+2577.22</f>
        <v>4903.32</v>
      </c>
      <c r="I252" s="18">
        <v>70.09</v>
      </c>
      <c r="J252" s="18">
        <v>0</v>
      </c>
      <c r="K252" s="18">
        <v>0</v>
      </c>
      <c r="L252" s="13">
        <f t="shared" si="6"/>
        <v>140002.70000000001</v>
      </c>
      <c r="M252" s="8"/>
      <c r="N252" s="1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3">
        <f t="shared" si="6"/>
        <v>0</v>
      </c>
      <c r="M254" s="8"/>
      <c r="N254" s="1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5"/>
    </row>
    <row r="256" spans="1:14" s="3" customFormat="1" ht="12.2" customHeight="1" thickBot="1" x14ac:dyDescent="0.2">
      <c r="A256" s="1" t="s">
        <v>584</v>
      </c>
      <c r="B256" s="2" t="s">
        <v>352</v>
      </c>
      <c r="C256" s="6">
        <v>6</v>
      </c>
      <c r="D256" s="2" t="s">
        <v>431</v>
      </c>
      <c r="E256" s="6">
        <v>4000</v>
      </c>
      <c r="F256" s="18">
        <v>0</v>
      </c>
      <c r="G256" s="18">
        <v>0</v>
      </c>
      <c r="H256" s="18">
        <v>118500</v>
      </c>
      <c r="I256" s="18">
        <v>0</v>
      </c>
      <c r="J256" s="18">
        <v>0</v>
      </c>
      <c r="K256" s="18">
        <v>0</v>
      </c>
      <c r="L256" s="13">
        <f t="shared" si="6"/>
        <v>118500</v>
      </c>
      <c r="M256" s="8"/>
      <c r="N256" s="165"/>
    </row>
    <row r="257" spans="1:14" s="3" customFormat="1" ht="12.2" customHeight="1" thickTop="1" thickBot="1" x14ac:dyDescent="0.2">
      <c r="A257" s="35" t="s">
        <v>461</v>
      </c>
      <c r="B257" s="37">
        <v>10</v>
      </c>
      <c r="C257" s="37">
        <v>7</v>
      </c>
      <c r="D257" s="36" t="s">
        <v>431</v>
      </c>
      <c r="E257" s="37"/>
      <c r="F257" s="38">
        <f t="shared" ref="F257:K257" si="7">SUM(F251:F256)</f>
        <v>103996.94</v>
      </c>
      <c r="G257" s="38">
        <f t="shared" si="7"/>
        <v>31032.35</v>
      </c>
      <c r="H257" s="38">
        <f t="shared" si="7"/>
        <v>123403.32</v>
      </c>
      <c r="I257" s="38">
        <f t="shared" si="7"/>
        <v>70.09</v>
      </c>
      <c r="J257" s="38">
        <f t="shared" si="7"/>
        <v>0</v>
      </c>
      <c r="K257" s="38">
        <f t="shared" si="7"/>
        <v>0</v>
      </c>
      <c r="L257" s="38">
        <f>SUM(F257:K257)</f>
        <v>258502.7</v>
      </c>
      <c r="M257" s="8"/>
      <c r="N257" s="165"/>
    </row>
    <row r="258" spans="1:14" s="3" customFormat="1" ht="12.2" customHeight="1" thickTop="1" x14ac:dyDescent="0.15">
      <c r="A258" s="35" t="s">
        <v>462</v>
      </c>
      <c r="B258" s="37">
        <v>10</v>
      </c>
      <c r="C258" s="37">
        <v>8</v>
      </c>
      <c r="D258" s="36" t="s">
        <v>431</v>
      </c>
      <c r="E258" s="37"/>
      <c r="F258" s="38">
        <f t="shared" ref="F258:L258" si="8">F212+F230+F248+F257</f>
        <v>87503406.269999996</v>
      </c>
      <c r="G258" s="38">
        <f t="shared" si="8"/>
        <v>45778636.009999998</v>
      </c>
      <c r="H258" s="38">
        <f t="shared" si="8"/>
        <v>39461490.560000002</v>
      </c>
      <c r="I258" s="38">
        <f t="shared" si="8"/>
        <v>3863531.5799999996</v>
      </c>
      <c r="J258" s="38">
        <f t="shared" si="8"/>
        <v>350958.31</v>
      </c>
      <c r="K258" s="38">
        <f t="shared" si="8"/>
        <v>94192.090000000011</v>
      </c>
      <c r="L258" s="38">
        <f t="shared" si="8"/>
        <v>177052214.81999996</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8029947.3200000003</v>
      </c>
      <c r="L261" s="13">
        <f>SUM(F261:K261)</f>
        <v>8029947.3200000003</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2691649.16</v>
      </c>
      <c r="L262" s="13">
        <f>SUM(F262:K262)</f>
        <v>2691649.16</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350000</v>
      </c>
      <c r="L264" s="13">
        <f>SUM(F264:K264)</f>
        <v>350000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f>4078020.6+1.11</f>
        <v>4078021.71</v>
      </c>
      <c r="L267" s="13">
        <f t="shared" si="9"/>
        <v>4078021.71</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1310371.98</v>
      </c>
      <c r="L269" s="13">
        <f t="shared" si="9"/>
        <v>1310371.98</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16459990.170000002</v>
      </c>
      <c r="L271" s="38">
        <f t="shared" si="9"/>
        <v>16459990.170000002</v>
      </c>
      <c r="M271" s="8"/>
      <c r="N271" s="165"/>
    </row>
    <row r="272" spans="1:14" s="33" customFormat="1" ht="12.2" customHeight="1" thickTop="1" x14ac:dyDescent="0.2">
      <c r="A272" s="40" t="s">
        <v>464</v>
      </c>
      <c r="B272" s="37">
        <v>10</v>
      </c>
      <c r="C272" s="37">
        <v>18</v>
      </c>
      <c r="D272" s="36" t="s">
        <v>431</v>
      </c>
      <c r="E272" s="37"/>
      <c r="F272" s="39">
        <f t="shared" ref="F272:L272" si="11">F258+F271</f>
        <v>87503406.269999996</v>
      </c>
      <c r="G272" s="39">
        <f t="shared" si="11"/>
        <v>45778636.009999998</v>
      </c>
      <c r="H272" s="39">
        <f t="shared" si="11"/>
        <v>39461490.560000002</v>
      </c>
      <c r="I272" s="39">
        <f t="shared" si="11"/>
        <v>3863531.5799999996</v>
      </c>
      <c r="J272" s="39">
        <f t="shared" si="11"/>
        <v>350958.31</v>
      </c>
      <c r="K272" s="39">
        <f t="shared" si="11"/>
        <v>16554182.260000002</v>
      </c>
      <c r="L272" s="39">
        <f t="shared" si="11"/>
        <v>193512204.98999995</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1826204.2</v>
      </c>
      <c r="G277" s="18">
        <v>862401.04</v>
      </c>
      <c r="H277" s="18">
        <v>39258.839999999997</v>
      </c>
      <c r="I277" s="18">
        <v>1445189.5200000003</v>
      </c>
      <c r="J277" s="18">
        <v>337774.57</v>
      </c>
      <c r="K277" s="18">
        <v>0</v>
      </c>
      <c r="L277" s="13">
        <f>SUM(F277:K277)</f>
        <v>4510828.1700000009</v>
      </c>
      <c r="M277" s="8"/>
      <c r="N277" s="165"/>
    </row>
    <row r="278" spans="1:14" s="3" customFormat="1" ht="12.2" customHeight="1" x14ac:dyDescent="0.15">
      <c r="A278" s="1" t="s">
        <v>439</v>
      </c>
      <c r="B278" s="2" t="s">
        <v>357</v>
      </c>
      <c r="C278" s="2" t="s">
        <v>291</v>
      </c>
      <c r="D278" s="2" t="s">
        <v>431</v>
      </c>
      <c r="E278" s="6">
        <v>1200</v>
      </c>
      <c r="F278" s="18">
        <v>6218312.5899999999</v>
      </c>
      <c r="G278" s="18">
        <v>3333406.75</v>
      </c>
      <c r="H278" s="18">
        <v>449427.16000000003</v>
      </c>
      <c r="I278" s="18">
        <v>1033426.2299999999</v>
      </c>
      <c r="J278" s="18">
        <v>331109.55</v>
      </c>
      <c r="K278" s="18">
        <v>0</v>
      </c>
      <c r="L278" s="13">
        <f>SUM(F278:K278)</f>
        <v>11365682.280000001</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1053907.53</v>
      </c>
      <c r="G280" s="18">
        <v>303108.38</v>
      </c>
      <c r="H280" s="18">
        <v>259170.91999999998</v>
      </c>
      <c r="I280" s="18">
        <v>91491.36</v>
      </c>
      <c r="J280" s="18">
        <v>0</v>
      </c>
      <c r="K280" s="18">
        <v>6200</v>
      </c>
      <c r="L280" s="13">
        <f>SUM(F280:K280)</f>
        <v>1713878.1900000002</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354986.41000000003</v>
      </c>
      <c r="G282" s="18">
        <v>137409.23000000001</v>
      </c>
      <c r="H282" s="18">
        <v>18749.39</v>
      </c>
      <c r="I282" s="18">
        <v>4439.04</v>
      </c>
      <c r="J282" s="18">
        <v>0</v>
      </c>
      <c r="K282" s="18">
        <v>0</v>
      </c>
      <c r="L282" s="13">
        <f t="shared" ref="L282:L288" si="12">SUM(F282:K282)</f>
        <v>515584.07</v>
      </c>
      <c r="M282" s="8"/>
      <c r="N282" s="165"/>
    </row>
    <row r="283" spans="1:14" s="3" customFormat="1" ht="12.2" customHeight="1" x14ac:dyDescent="0.15">
      <c r="A283" s="1" t="s">
        <v>443</v>
      </c>
      <c r="B283" s="2" t="s">
        <v>357</v>
      </c>
      <c r="C283" s="2" t="s">
        <v>295</v>
      </c>
      <c r="D283" s="2" t="s">
        <v>431</v>
      </c>
      <c r="E283" s="6">
        <v>2200</v>
      </c>
      <c r="F283" s="18">
        <v>785269.63</v>
      </c>
      <c r="G283" s="18">
        <v>333087.69</v>
      </c>
      <c r="H283" s="18">
        <v>634216.01</v>
      </c>
      <c r="I283" s="18">
        <v>41682.81</v>
      </c>
      <c r="J283" s="18">
        <v>33205.300000000003</v>
      </c>
      <c r="K283" s="18">
        <v>3174.9</v>
      </c>
      <c r="L283" s="13">
        <f t="shared" si="12"/>
        <v>1830636.34</v>
      </c>
      <c r="M283" s="8"/>
      <c r="N283" s="165"/>
    </row>
    <row r="284" spans="1:14" s="3" customFormat="1" ht="12.2" customHeight="1" x14ac:dyDescent="0.15">
      <c r="A284" s="1" t="s">
        <v>444</v>
      </c>
      <c r="B284" s="2" t="s">
        <v>357</v>
      </c>
      <c r="C284" s="2" t="s">
        <v>296</v>
      </c>
      <c r="D284" s="2" t="s">
        <v>431</v>
      </c>
      <c r="E284" s="6">
        <v>2300</v>
      </c>
      <c r="F284" s="18">
        <v>386950.89</v>
      </c>
      <c r="G284" s="18">
        <v>182604.4</v>
      </c>
      <c r="H284" s="18">
        <v>33.299999999999997</v>
      </c>
      <c r="I284" s="18">
        <v>7744.15</v>
      </c>
      <c r="J284" s="18">
        <v>0</v>
      </c>
      <c r="K284" s="18">
        <v>981.58</v>
      </c>
      <c r="L284" s="13">
        <f t="shared" si="12"/>
        <v>578314.32000000007</v>
      </c>
      <c r="M284" s="8"/>
      <c r="N284" s="165"/>
    </row>
    <row r="285" spans="1:14" s="3" customFormat="1" ht="12.2" customHeight="1" x14ac:dyDescent="0.15">
      <c r="A285" s="1" t="s">
        <v>445</v>
      </c>
      <c r="B285" s="2" t="s">
        <v>357</v>
      </c>
      <c r="C285" s="2" t="s">
        <v>297</v>
      </c>
      <c r="D285" s="2" t="s">
        <v>431</v>
      </c>
      <c r="E285" s="6">
        <v>2400</v>
      </c>
      <c r="F285" s="18">
        <v>13493.87</v>
      </c>
      <c r="G285" s="18">
        <v>6385.62</v>
      </c>
      <c r="H285" s="18">
        <v>366</v>
      </c>
      <c r="I285" s="18">
        <v>0</v>
      </c>
      <c r="J285" s="18">
        <v>0</v>
      </c>
      <c r="K285" s="18">
        <v>2387.02</v>
      </c>
      <c r="L285" s="13">
        <f t="shared" si="12"/>
        <v>22632.510000000002</v>
      </c>
      <c r="M285" s="8"/>
      <c r="N285" s="165"/>
    </row>
    <row r="286" spans="1:14" s="3" customFormat="1" ht="12.2" customHeight="1" x14ac:dyDescent="0.15">
      <c r="A286" s="1" t="s">
        <v>446</v>
      </c>
      <c r="B286" s="2" t="s">
        <v>357</v>
      </c>
      <c r="C286" s="2" t="s">
        <v>298</v>
      </c>
      <c r="D286" s="2" t="s">
        <v>431</v>
      </c>
      <c r="E286" s="6">
        <v>2500</v>
      </c>
      <c r="F286" s="18">
        <v>0</v>
      </c>
      <c r="G286" s="18">
        <v>0</v>
      </c>
      <c r="H286" s="18">
        <v>9634.7999999999993</v>
      </c>
      <c r="I286" s="18">
        <v>0</v>
      </c>
      <c r="J286" s="18">
        <v>0</v>
      </c>
      <c r="K286" s="18">
        <v>0</v>
      </c>
      <c r="L286" s="13">
        <f t="shared" si="12"/>
        <v>9634.7999999999993</v>
      </c>
      <c r="M286" s="8"/>
      <c r="N286" s="165"/>
    </row>
    <row r="287" spans="1:14" s="3" customFormat="1" ht="12.2" customHeight="1" x14ac:dyDescent="0.15">
      <c r="A287" s="1" t="s">
        <v>447</v>
      </c>
      <c r="B287" s="2" t="s">
        <v>357</v>
      </c>
      <c r="C287" s="2" t="s">
        <v>299</v>
      </c>
      <c r="D287" s="2" t="s">
        <v>431</v>
      </c>
      <c r="E287" s="6">
        <v>2600</v>
      </c>
      <c r="F287" s="18">
        <v>0</v>
      </c>
      <c r="G287" s="18">
        <v>0</v>
      </c>
      <c r="H287" s="18">
        <f>9693481.92-9678291.13</f>
        <v>15190.789999999106</v>
      </c>
      <c r="I287" s="18">
        <v>18648.21</v>
      </c>
      <c r="J287" s="18">
        <v>9678291.1300000008</v>
      </c>
      <c r="K287" s="18">
        <v>0</v>
      </c>
      <c r="L287" s="13">
        <f t="shared" si="12"/>
        <v>9712130.1300000008</v>
      </c>
      <c r="M287" s="8"/>
      <c r="N287" s="165"/>
    </row>
    <row r="288" spans="1:14" s="3" customFormat="1" ht="12.2" customHeight="1" x14ac:dyDescent="0.15">
      <c r="A288" s="1" t="s">
        <v>448</v>
      </c>
      <c r="B288" s="2" t="s">
        <v>357</v>
      </c>
      <c r="C288" s="2" t="s">
        <v>300</v>
      </c>
      <c r="D288" s="2" t="s">
        <v>431</v>
      </c>
      <c r="E288" s="6">
        <v>2700</v>
      </c>
      <c r="F288" s="18">
        <v>0</v>
      </c>
      <c r="G288" s="18">
        <v>0</v>
      </c>
      <c r="H288" s="18">
        <v>385572.52</v>
      </c>
      <c r="I288" s="18">
        <v>0</v>
      </c>
      <c r="J288" s="18">
        <v>0</v>
      </c>
      <c r="K288" s="18">
        <v>0</v>
      </c>
      <c r="L288" s="13">
        <f t="shared" si="12"/>
        <v>385572.52</v>
      </c>
      <c r="M288" s="8"/>
      <c r="N288" s="165"/>
    </row>
    <row r="289" spans="1:14" s="3" customFormat="1" ht="12.2" customHeight="1" x14ac:dyDescent="0.15">
      <c r="A289" s="1" t="s">
        <v>449</v>
      </c>
      <c r="B289" s="2" t="s">
        <v>357</v>
      </c>
      <c r="C289" s="2" t="s">
        <v>343</v>
      </c>
      <c r="D289" s="2" t="s">
        <v>431</v>
      </c>
      <c r="E289" s="6">
        <v>2800</v>
      </c>
      <c r="F289" s="18">
        <v>79840.920000000013</v>
      </c>
      <c r="G289" s="18">
        <v>39502.01</v>
      </c>
      <c r="H289" s="18">
        <v>0</v>
      </c>
      <c r="I289" s="18">
        <v>57951.62</v>
      </c>
      <c r="J289" s="18">
        <v>0</v>
      </c>
      <c r="K289" s="18">
        <v>0</v>
      </c>
      <c r="L289" s="13">
        <f>SUM(F289:K289)</f>
        <v>177294.55000000002</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10718966.040000001</v>
      </c>
      <c r="G291" s="39">
        <f t="shared" si="13"/>
        <v>5197905.120000001</v>
      </c>
      <c r="H291" s="39">
        <f t="shared" si="13"/>
        <v>1811619.7299999991</v>
      </c>
      <c r="I291" s="39">
        <f t="shared" si="13"/>
        <v>2700572.94</v>
      </c>
      <c r="J291" s="39">
        <f t="shared" si="13"/>
        <v>10380380.550000001</v>
      </c>
      <c r="K291" s="39">
        <f t="shared" si="13"/>
        <v>12743.5</v>
      </c>
      <c r="L291" s="38">
        <f t="shared" si="13"/>
        <v>30822187.88000001</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1406740.8399999999</v>
      </c>
      <c r="G296" s="18">
        <v>654520.36</v>
      </c>
      <c r="H296" s="18">
        <v>44031.08</v>
      </c>
      <c r="I296" s="18">
        <v>798371.19</v>
      </c>
      <c r="J296" s="18">
        <v>218613.08000000002</v>
      </c>
      <c r="K296" s="18">
        <v>1000</v>
      </c>
      <c r="L296" s="13">
        <f>SUM(F296:K296)</f>
        <v>3123276.55</v>
      </c>
      <c r="M296" s="8"/>
      <c r="N296" s="165"/>
    </row>
    <row r="297" spans="1:14" s="3" customFormat="1" ht="12.2" customHeight="1" x14ac:dyDescent="0.15">
      <c r="A297" s="1" t="s">
        <v>439</v>
      </c>
      <c r="B297" s="2" t="s">
        <v>358</v>
      </c>
      <c r="C297" s="2" t="s">
        <v>291</v>
      </c>
      <c r="D297" s="2" t="s">
        <v>431</v>
      </c>
      <c r="E297" s="6">
        <v>1200</v>
      </c>
      <c r="F297" s="18">
        <v>1338216.6800000002</v>
      </c>
      <c r="G297" s="18">
        <v>697570.20000000007</v>
      </c>
      <c r="H297" s="18">
        <v>2567.1999999999998</v>
      </c>
      <c r="I297" s="18">
        <v>17953.66</v>
      </c>
      <c r="J297" s="18">
        <v>718.96</v>
      </c>
      <c r="K297" s="18">
        <v>0</v>
      </c>
      <c r="L297" s="13">
        <f>SUM(F297:K297)</f>
        <v>2057026.7000000002</v>
      </c>
      <c r="M297" s="8"/>
      <c r="N297" s="1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5"/>
    </row>
    <row r="299" spans="1:14" s="3" customFormat="1" ht="12.2" customHeight="1" x14ac:dyDescent="0.15">
      <c r="A299" s="1" t="s">
        <v>441</v>
      </c>
      <c r="B299" s="2" t="s">
        <v>358</v>
      </c>
      <c r="C299" s="2" t="s">
        <v>293</v>
      </c>
      <c r="D299" s="2" t="s">
        <v>431</v>
      </c>
      <c r="E299" s="6">
        <v>1400</v>
      </c>
      <c r="F299" s="18">
        <v>307135.06</v>
      </c>
      <c r="G299" s="18">
        <v>103210.5</v>
      </c>
      <c r="H299" s="18">
        <v>156680.63999999998</v>
      </c>
      <c r="I299" s="18">
        <v>53400.84</v>
      </c>
      <c r="J299" s="18">
        <v>0</v>
      </c>
      <c r="K299" s="18">
        <v>8835</v>
      </c>
      <c r="L299" s="13">
        <f>SUM(F299:K299)</f>
        <v>629262.03999999992</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77950.28</v>
      </c>
      <c r="G301" s="18">
        <v>36917.39</v>
      </c>
      <c r="H301" s="18">
        <v>11700.51</v>
      </c>
      <c r="I301" s="18">
        <v>2648.1899999999996</v>
      </c>
      <c r="J301" s="18">
        <v>0</v>
      </c>
      <c r="K301" s="18">
        <v>0</v>
      </c>
      <c r="L301" s="13">
        <f t="shared" ref="L301:L307" si="14">SUM(F301:K301)</f>
        <v>129216.37</v>
      </c>
      <c r="M301" s="8"/>
      <c r="N301" s="165"/>
    </row>
    <row r="302" spans="1:14" s="3" customFormat="1" ht="12.2" customHeight="1" x14ac:dyDescent="0.15">
      <c r="A302" s="1" t="s">
        <v>443</v>
      </c>
      <c r="B302" s="2" t="s">
        <v>358</v>
      </c>
      <c r="C302" s="2" t="s">
        <v>295</v>
      </c>
      <c r="D302" s="2" t="s">
        <v>431</v>
      </c>
      <c r="E302" s="6">
        <v>2200</v>
      </c>
      <c r="F302" s="18">
        <v>522817.80999999994</v>
      </c>
      <c r="G302" s="18">
        <v>227727.43</v>
      </c>
      <c r="H302" s="18">
        <v>248832.78</v>
      </c>
      <c r="I302" s="18">
        <v>19396.63</v>
      </c>
      <c r="J302" s="18">
        <v>20251.02</v>
      </c>
      <c r="K302" s="18">
        <v>3622.43</v>
      </c>
      <c r="L302" s="13">
        <f t="shared" si="14"/>
        <v>1042648.1000000001</v>
      </c>
      <c r="M302" s="8"/>
      <c r="N302" s="165"/>
    </row>
    <row r="303" spans="1:14" s="3" customFormat="1" ht="12.2" customHeight="1" x14ac:dyDescent="0.15">
      <c r="A303" s="1" t="s">
        <v>444</v>
      </c>
      <c r="B303" s="2" t="s">
        <v>358</v>
      </c>
      <c r="C303" s="2" t="s">
        <v>296</v>
      </c>
      <c r="D303" s="2" t="s">
        <v>431</v>
      </c>
      <c r="E303" s="6">
        <v>2300</v>
      </c>
      <c r="F303" s="18">
        <v>58785.25</v>
      </c>
      <c r="G303" s="18">
        <v>27067.16</v>
      </c>
      <c r="H303" s="18">
        <v>21.6</v>
      </c>
      <c r="I303" s="18">
        <v>2660.2799999999997</v>
      </c>
      <c r="J303" s="18">
        <v>0</v>
      </c>
      <c r="K303" s="18">
        <v>12.48</v>
      </c>
      <c r="L303" s="13">
        <f t="shared" si="14"/>
        <v>88546.77</v>
      </c>
      <c r="M303" s="8"/>
      <c r="N303" s="165"/>
    </row>
    <row r="304" spans="1:14" s="3" customFormat="1" ht="12.2" customHeight="1" x14ac:dyDescent="0.15">
      <c r="A304" s="1" t="s">
        <v>445</v>
      </c>
      <c r="B304" s="2" t="s">
        <v>358</v>
      </c>
      <c r="C304" s="2" t="s">
        <v>297</v>
      </c>
      <c r="D304" s="2" t="s">
        <v>431</v>
      </c>
      <c r="E304" s="6">
        <v>2400</v>
      </c>
      <c r="F304" s="18">
        <v>8752.7800000000007</v>
      </c>
      <c r="G304" s="18">
        <v>4142.03</v>
      </c>
      <c r="H304" s="18">
        <v>4.6500000000000004</v>
      </c>
      <c r="I304" s="18">
        <v>0</v>
      </c>
      <c r="J304" s="18">
        <v>0</v>
      </c>
      <c r="K304" s="18">
        <v>30.35</v>
      </c>
      <c r="L304" s="13">
        <f t="shared" si="14"/>
        <v>12929.810000000001</v>
      </c>
      <c r="M304" s="8"/>
      <c r="N304" s="165"/>
    </row>
    <row r="305" spans="1:14" s="3" customFormat="1" ht="12.2" customHeight="1" x14ac:dyDescent="0.15">
      <c r="A305" s="1" t="s">
        <v>446</v>
      </c>
      <c r="B305" s="2" t="s">
        <v>358</v>
      </c>
      <c r="C305" s="2" t="s">
        <v>298</v>
      </c>
      <c r="D305" s="2" t="s">
        <v>431</v>
      </c>
      <c r="E305" s="6">
        <v>2500</v>
      </c>
      <c r="F305" s="18">
        <v>0</v>
      </c>
      <c r="G305" s="18">
        <v>0</v>
      </c>
      <c r="H305" s="18">
        <v>6249.6</v>
      </c>
      <c r="I305" s="18">
        <v>0</v>
      </c>
      <c r="J305" s="18">
        <v>0</v>
      </c>
      <c r="K305" s="18">
        <v>0</v>
      </c>
      <c r="L305" s="13">
        <f t="shared" si="14"/>
        <v>6249.6</v>
      </c>
      <c r="M305" s="8"/>
      <c r="N305" s="165"/>
    </row>
    <row r="306" spans="1:14" s="3" customFormat="1" ht="12.2" customHeight="1" x14ac:dyDescent="0.15">
      <c r="A306" s="1" t="s">
        <v>447</v>
      </c>
      <c r="B306" s="2" t="s">
        <v>358</v>
      </c>
      <c r="C306" s="2" t="s">
        <v>299</v>
      </c>
      <c r="D306" s="2" t="s">
        <v>431</v>
      </c>
      <c r="E306" s="6">
        <v>2600</v>
      </c>
      <c r="F306" s="18">
        <v>0</v>
      </c>
      <c r="G306" s="18">
        <v>0</v>
      </c>
      <c r="H306" s="18">
        <f>772540.49-762687</f>
        <v>9853.4899999999907</v>
      </c>
      <c r="I306" s="18">
        <v>12096.14</v>
      </c>
      <c r="J306" s="18">
        <f>20528+762687</f>
        <v>783215</v>
      </c>
      <c r="K306" s="18">
        <v>0</v>
      </c>
      <c r="L306" s="13">
        <f t="shared" si="14"/>
        <v>805164.63</v>
      </c>
      <c r="M306" s="8"/>
      <c r="N306" s="165"/>
    </row>
    <row r="307" spans="1:14" s="3" customFormat="1" ht="12.2" customHeight="1" x14ac:dyDescent="0.15">
      <c r="A307" s="1" t="s">
        <v>448</v>
      </c>
      <c r="B307" s="2" t="s">
        <v>358</v>
      </c>
      <c r="C307" s="2" t="s">
        <v>300</v>
      </c>
      <c r="D307" s="2" t="s">
        <v>431</v>
      </c>
      <c r="E307" s="6">
        <v>2700</v>
      </c>
      <c r="F307" s="18">
        <v>0</v>
      </c>
      <c r="G307" s="18">
        <v>0</v>
      </c>
      <c r="H307" s="18">
        <v>250101.09999999998</v>
      </c>
      <c r="I307" s="18">
        <v>0</v>
      </c>
      <c r="J307" s="18">
        <v>0</v>
      </c>
      <c r="K307" s="18">
        <v>0</v>
      </c>
      <c r="L307" s="13">
        <f t="shared" si="14"/>
        <v>250101.09999999998</v>
      </c>
      <c r="M307" s="8"/>
      <c r="N307" s="165"/>
    </row>
    <row r="308" spans="1:14" s="3" customFormat="1" ht="12.2" customHeight="1" x14ac:dyDescent="0.15">
      <c r="A308" s="1" t="s">
        <v>449</v>
      </c>
      <c r="B308" s="2" t="s">
        <v>358</v>
      </c>
      <c r="C308" s="2" t="s">
        <v>343</v>
      </c>
      <c r="D308" s="2" t="s">
        <v>431</v>
      </c>
      <c r="E308" s="6">
        <v>2800</v>
      </c>
      <c r="F308" s="18">
        <v>47140.05</v>
      </c>
      <c r="G308" s="18">
        <v>24432.300000000003</v>
      </c>
      <c r="H308" s="18">
        <v>0</v>
      </c>
      <c r="I308" s="18">
        <v>37590.230000000003</v>
      </c>
      <c r="J308" s="18">
        <v>0</v>
      </c>
      <c r="K308" s="18">
        <v>0</v>
      </c>
      <c r="L308" s="13">
        <f>SUM(F308:K308)</f>
        <v>109162.58000000002</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3767538.7499999995</v>
      </c>
      <c r="G310" s="39">
        <f t="shared" si="15"/>
        <v>1775587.3699999999</v>
      </c>
      <c r="H310" s="39">
        <f t="shared" si="15"/>
        <v>730042.64999999991</v>
      </c>
      <c r="I310" s="39">
        <f t="shared" si="15"/>
        <v>944117.15999999992</v>
      </c>
      <c r="J310" s="39">
        <f t="shared" si="15"/>
        <v>1022798.06</v>
      </c>
      <c r="K310" s="39">
        <f t="shared" si="15"/>
        <v>13500.26</v>
      </c>
      <c r="L310" s="38">
        <f t="shared" si="15"/>
        <v>8253584.2499999981</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976808.16999999993</v>
      </c>
      <c r="G315" s="18">
        <v>461073.52</v>
      </c>
      <c r="H315" s="18">
        <v>43302.81</v>
      </c>
      <c r="I315" s="18">
        <v>1776674.55</v>
      </c>
      <c r="J315" s="18">
        <v>369840.65</v>
      </c>
      <c r="K315" s="18">
        <v>199700</v>
      </c>
      <c r="L315" s="13">
        <f>SUM(F315:K315)</f>
        <v>3827399.6999999997</v>
      </c>
      <c r="M315" s="8"/>
      <c r="N315" s="165"/>
    </row>
    <row r="316" spans="1:14" s="3" customFormat="1" ht="12.2" customHeight="1" x14ac:dyDescent="0.15">
      <c r="A316" s="1" t="s">
        <v>439</v>
      </c>
      <c r="B316" s="2" t="s">
        <v>359</v>
      </c>
      <c r="C316" s="2" t="s">
        <v>291</v>
      </c>
      <c r="D316" s="2" t="s">
        <v>431</v>
      </c>
      <c r="E316" s="6">
        <v>1200</v>
      </c>
      <c r="F316" s="18">
        <f>943643.79-3465.84</f>
        <v>940177.95000000007</v>
      </c>
      <c r="G316" s="18">
        <v>513669.62</v>
      </c>
      <c r="H316" s="18">
        <v>50106.12</v>
      </c>
      <c r="I316" s="18">
        <v>164659.19999999998</v>
      </c>
      <c r="J316" s="18">
        <v>130166.22</v>
      </c>
      <c r="K316" s="18">
        <v>0</v>
      </c>
      <c r="L316" s="13">
        <f>SUM(F316:K316)</f>
        <v>1798779.11</v>
      </c>
      <c r="M316" s="8"/>
      <c r="N316" s="165"/>
    </row>
    <row r="317" spans="1:14" s="3" customFormat="1" ht="12.2" customHeight="1" x14ac:dyDescent="0.15">
      <c r="A317" s="1" t="s">
        <v>440</v>
      </c>
      <c r="B317" s="2" t="s">
        <v>359</v>
      </c>
      <c r="C317" s="2" t="s">
        <v>292</v>
      </c>
      <c r="D317" s="2" t="s">
        <v>431</v>
      </c>
      <c r="E317" s="6">
        <v>1300</v>
      </c>
      <c r="F317" s="18">
        <v>42284</v>
      </c>
      <c r="G317" s="18">
        <v>3785.11</v>
      </c>
      <c r="H317" s="18">
        <f>28313.31</f>
        <v>28313.31</v>
      </c>
      <c r="I317" s="18">
        <v>151526.66</v>
      </c>
      <c r="J317" s="18">
        <v>357917.88999999996</v>
      </c>
      <c r="K317" s="18">
        <v>8150</v>
      </c>
      <c r="L317" s="13">
        <f>SUM(F317:K317)</f>
        <v>591976.97</v>
      </c>
      <c r="M317" s="8"/>
      <c r="N317" s="165"/>
    </row>
    <row r="318" spans="1:14" s="3" customFormat="1" ht="12.2" customHeight="1" x14ac:dyDescent="0.15">
      <c r="A318" s="1" t="s">
        <v>441</v>
      </c>
      <c r="B318" s="2" t="s">
        <v>359</v>
      </c>
      <c r="C318" s="2" t="s">
        <v>293</v>
      </c>
      <c r="D318" s="2" t="s">
        <v>431</v>
      </c>
      <c r="E318" s="6">
        <v>1400</v>
      </c>
      <c r="F318" s="18">
        <v>174811.74000000002</v>
      </c>
      <c r="G318" s="18">
        <v>48539.149999999994</v>
      </c>
      <c r="H318" s="18">
        <v>241496.07</v>
      </c>
      <c r="I318" s="18">
        <v>53908.32</v>
      </c>
      <c r="J318" s="18">
        <v>15691.99</v>
      </c>
      <c r="K318" s="18">
        <v>8300</v>
      </c>
      <c r="L318" s="13">
        <f>SUM(F318:K318)</f>
        <v>542747.27</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146276.01</v>
      </c>
      <c r="G320" s="18">
        <v>54287.94</v>
      </c>
      <c r="H320" s="18">
        <v>24250.799999999999</v>
      </c>
      <c r="I320" s="18">
        <v>7837.09</v>
      </c>
      <c r="J320" s="18">
        <v>0</v>
      </c>
      <c r="K320" s="18">
        <v>0</v>
      </c>
      <c r="L320" s="13">
        <f t="shared" ref="L320:L326" si="16">SUM(F320:K320)</f>
        <v>232651.84</v>
      </c>
      <c r="M320" s="8"/>
      <c r="N320" s="165"/>
    </row>
    <row r="321" spans="1:14" s="3" customFormat="1" ht="12.2" customHeight="1" x14ac:dyDescent="0.15">
      <c r="A321" s="1" t="s">
        <v>443</v>
      </c>
      <c r="B321" s="2" t="s">
        <v>359</v>
      </c>
      <c r="C321" s="2" t="s">
        <v>295</v>
      </c>
      <c r="D321" s="2" t="s">
        <v>431</v>
      </c>
      <c r="E321" s="6">
        <v>2200</v>
      </c>
      <c r="F321" s="18">
        <v>435937.66000000003</v>
      </c>
      <c r="G321" s="18">
        <v>165825.50999999998</v>
      </c>
      <c r="H321" s="18">
        <v>496203.32000000007</v>
      </c>
      <c r="I321" s="18">
        <v>41462.5</v>
      </c>
      <c r="J321" s="18">
        <v>63536.17</v>
      </c>
      <c r="K321" s="18">
        <v>36452.659999999996</v>
      </c>
      <c r="L321" s="13">
        <f t="shared" si="16"/>
        <v>1239417.82</v>
      </c>
      <c r="M321" s="8"/>
      <c r="N321" s="165"/>
    </row>
    <row r="322" spans="1:14" s="3" customFormat="1" ht="12.2" customHeight="1" x14ac:dyDescent="0.15">
      <c r="A322" s="1" t="s">
        <v>444</v>
      </c>
      <c r="B322" s="2" t="s">
        <v>359</v>
      </c>
      <c r="C322" s="2" t="s">
        <v>296</v>
      </c>
      <c r="D322" s="2" t="s">
        <v>431</v>
      </c>
      <c r="E322" s="6">
        <v>2300</v>
      </c>
      <c r="F322" s="18">
        <v>113524.5</v>
      </c>
      <c r="G322" s="18">
        <v>70860.899999999994</v>
      </c>
      <c r="H322" s="18">
        <v>35.1</v>
      </c>
      <c r="I322" s="18">
        <v>4493.17</v>
      </c>
      <c r="J322" s="18">
        <v>0</v>
      </c>
      <c r="K322" s="18">
        <v>105.94</v>
      </c>
      <c r="L322" s="13">
        <f t="shared" si="16"/>
        <v>189019.61000000002</v>
      </c>
      <c r="M322" s="8"/>
      <c r="N322" s="165"/>
    </row>
    <row r="323" spans="1:14" s="3" customFormat="1" ht="12.2" customHeight="1" x14ac:dyDescent="0.15">
      <c r="A323" s="1" t="s">
        <v>445</v>
      </c>
      <c r="B323" s="2" t="s">
        <v>359</v>
      </c>
      <c r="C323" s="2" t="s">
        <v>297</v>
      </c>
      <c r="D323" s="2" t="s">
        <v>431</v>
      </c>
      <c r="E323" s="6">
        <v>2400</v>
      </c>
      <c r="F323" s="18">
        <v>215120.32</v>
      </c>
      <c r="G323" s="18">
        <v>117144.17</v>
      </c>
      <c r="H323" s="18">
        <v>39.5</v>
      </c>
      <c r="I323" s="18">
        <v>0</v>
      </c>
      <c r="J323" s="18">
        <v>0</v>
      </c>
      <c r="K323" s="18">
        <v>257.62</v>
      </c>
      <c r="L323" s="13">
        <f t="shared" si="16"/>
        <v>332561.61</v>
      </c>
      <c r="M323" s="8"/>
      <c r="N323" s="165"/>
    </row>
    <row r="324" spans="1:14" s="3" customFormat="1" ht="12.2" customHeight="1" x14ac:dyDescent="0.15">
      <c r="A324" s="1" t="s">
        <v>446</v>
      </c>
      <c r="B324" s="2" t="s">
        <v>359</v>
      </c>
      <c r="C324" s="2" t="s">
        <v>298</v>
      </c>
      <c r="D324" s="2" t="s">
        <v>431</v>
      </c>
      <c r="E324" s="6">
        <v>2500</v>
      </c>
      <c r="F324" s="18">
        <v>0</v>
      </c>
      <c r="G324" s="18">
        <v>0</v>
      </c>
      <c r="H324" s="18">
        <v>10155.6</v>
      </c>
      <c r="I324" s="18">
        <v>0</v>
      </c>
      <c r="J324" s="18">
        <v>0</v>
      </c>
      <c r="K324" s="18">
        <v>0</v>
      </c>
      <c r="L324" s="13">
        <f t="shared" si="16"/>
        <v>10155.6</v>
      </c>
      <c r="M324" s="8"/>
      <c r="N324" s="165"/>
    </row>
    <row r="325" spans="1:14" s="3" customFormat="1" ht="12.2" customHeight="1" x14ac:dyDescent="0.15">
      <c r="A325" s="1" t="s">
        <v>447</v>
      </c>
      <c r="B325" s="2" t="s">
        <v>359</v>
      </c>
      <c r="C325" s="2" t="s">
        <v>299</v>
      </c>
      <c r="D325" s="2" t="s">
        <v>431</v>
      </c>
      <c r="E325" s="6">
        <v>2600</v>
      </c>
      <c r="F325" s="18">
        <v>0</v>
      </c>
      <c r="G325" s="18">
        <v>0</v>
      </c>
      <c r="H325" s="18">
        <f>2685897.43-2669885.51</f>
        <v>16011.920000000391</v>
      </c>
      <c r="I325" s="18">
        <v>19656.23</v>
      </c>
      <c r="J325" s="18">
        <f>31336+2669885.51</f>
        <v>2701221.51</v>
      </c>
      <c r="K325" s="18">
        <v>0</v>
      </c>
      <c r="L325" s="13">
        <f t="shared" si="16"/>
        <v>2736889.66</v>
      </c>
      <c r="M325" s="8"/>
      <c r="N325" s="165"/>
    </row>
    <row r="326" spans="1:14" s="3" customFormat="1" ht="12.2" customHeight="1" x14ac:dyDescent="0.15">
      <c r="A326" s="1" t="s">
        <v>448</v>
      </c>
      <c r="B326" s="2" t="s">
        <v>359</v>
      </c>
      <c r="C326" s="2" t="s">
        <v>300</v>
      </c>
      <c r="D326" s="2" t="s">
        <v>431</v>
      </c>
      <c r="E326" s="6">
        <v>2700</v>
      </c>
      <c r="F326" s="18">
        <v>0</v>
      </c>
      <c r="G326" s="18">
        <v>0</v>
      </c>
      <c r="H326" s="18">
        <v>406414.27999999997</v>
      </c>
      <c r="I326" s="18">
        <v>0</v>
      </c>
      <c r="J326" s="18">
        <v>0</v>
      </c>
      <c r="K326" s="18">
        <v>0</v>
      </c>
      <c r="L326" s="13">
        <f t="shared" si="16"/>
        <v>406414.27999999997</v>
      </c>
      <c r="M326" s="8"/>
      <c r="N326" s="165"/>
    </row>
    <row r="327" spans="1:14" s="3" customFormat="1" ht="12.2" customHeight="1" x14ac:dyDescent="0.15">
      <c r="A327" s="1" t="s">
        <v>449</v>
      </c>
      <c r="B327" s="2" t="s">
        <v>359</v>
      </c>
      <c r="C327" s="2" t="s">
        <v>343</v>
      </c>
      <c r="D327" s="2" t="s">
        <v>431</v>
      </c>
      <c r="E327" s="6">
        <v>2800</v>
      </c>
      <c r="F327" s="18">
        <v>75102.58</v>
      </c>
      <c r="G327" s="18">
        <v>38822.630000000005</v>
      </c>
      <c r="H327" s="18">
        <v>0</v>
      </c>
      <c r="I327" s="18">
        <v>61084.13</v>
      </c>
      <c r="J327" s="18">
        <v>0</v>
      </c>
      <c r="K327" s="18">
        <v>0</v>
      </c>
      <c r="L327" s="13">
        <f>SUM(F327:K327)</f>
        <v>175009.34</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3120042.93</v>
      </c>
      <c r="G329" s="39">
        <f t="shared" si="17"/>
        <v>1474008.5499999998</v>
      </c>
      <c r="H329" s="39">
        <f t="shared" si="17"/>
        <v>1316328.8300000003</v>
      </c>
      <c r="I329" s="39">
        <f t="shared" si="17"/>
        <v>2281301.8499999996</v>
      </c>
      <c r="J329" s="39">
        <f t="shared" si="17"/>
        <v>3638374.4299999997</v>
      </c>
      <c r="K329" s="39">
        <f t="shared" si="17"/>
        <v>252966.22</v>
      </c>
      <c r="L329" s="38">
        <f t="shared" si="17"/>
        <v>12083022.809999997</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v>131304.35999999999</v>
      </c>
      <c r="G333" s="18">
        <v>67681.09</v>
      </c>
      <c r="H333" s="18">
        <f>141251.09+4500</f>
        <v>145751.09</v>
      </c>
      <c r="I333" s="18">
        <v>37104.300000000003</v>
      </c>
      <c r="J333" s="18">
        <v>13615.25</v>
      </c>
      <c r="K333" s="18">
        <v>909</v>
      </c>
      <c r="L333" s="13">
        <f t="shared" ref="L333:L338" si="18">SUM(F333:K333)</f>
        <v>396365.08999999997</v>
      </c>
      <c r="M333" s="8"/>
      <c r="N333" s="165"/>
    </row>
    <row r="334" spans="1:14" s="3" customFormat="1" ht="12.2" customHeight="1" x14ac:dyDescent="0.15">
      <c r="A334" s="1" t="s">
        <v>353</v>
      </c>
      <c r="B334" s="6">
        <v>14</v>
      </c>
      <c r="C334" s="2" t="s">
        <v>309</v>
      </c>
      <c r="D334" s="2" t="s">
        <v>431</v>
      </c>
      <c r="E334" s="6">
        <v>1600</v>
      </c>
      <c r="F334" s="18">
        <v>146538.01999999999</v>
      </c>
      <c r="G334" s="18">
        <v>15394.29</v>
      </c>
      <c r="H334" s="18">
        <f>11530.93+3660.92</f>
        <v>15191.85</v>
      </c>
      <c r="I334" s="18">
        <f>17612.65+3396.58</f>
        <v>21009.230000000003</v>
      </c>
      <c r="J334" s="18">
        <f>9883.9+4400</f>
        <v>14283.9</v>
      </c>
      <c r="K334" s="18">
        <v>0</v>
      </c>
      <c r="L334" s="13">
        <f t="shared" si="18"/>
        <v>212417.29</v>
      </c>
      <c r="M334" s="8"/>
      <c r="N334" s="1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5"/>
    </row>
    <row r="337" spans="1:43" s="3" customFormat="1" ht="12.2" customHeight="1" thickBot="1" x14ac:dyDescent="0.2">
      <c r="A337" s="1" t="s">
        <v>584</v>
      </c>
      <c r="B337" s="6">
        <v>14</v>
      </c>
      <c r="C337" s="6">
        <v>5</v>
      </c>
      <c r="D337" s="2" t="s">
        <v>431</v>
      </c>
      <c r="E337" s="6">
        <v>4000</v>
      </c>
      <c r="F337" s="18">
        <v>0</v>
      </c>
      <c r="G337" s="18">
        <v>0</v>
      </c>
      <c r="H337" s="18">
        <v>0</v>
      </c>
      <c r="I337" s="18">
        <v>0</v>
      </c>
      <c r="J337" s="18">
        <v>0</v>
      </c>
      <c r="K337" s="18">
        <v>0</v>
      </c>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277842.38</v>
      </c>
      <c r="G338" s="38">
        <f t="shared" si="19"/>
        <v>83075.38</v>
      </c>
      <c r="H338" s="38">
        <f t="shared" si="19"/>
        <v>160942.94</v>
      </c>
      <c r="I338" s="38">
        <f t="shared" si="19"/>
        <v>58113.530000000006</v>
      </c>
      <c r="J338" s="38">
        <f t="shared" si="19"/>
        <v>27899.15</v>
      </c>
      <c r="K338" s="38">
        <f t="shared" si="19"/>
        <v>909</v>
      </c>
      <c r="L338" s="38">
        <f t="shared" si="18"/>
        <v>608782.38</v>
      </c>
      <c r="M338" s="8"/>
      <c r="N338" s="165"/>
    </row>
    <row r="339" spans="1:43" s="3" customFormat="1" ht="12.2" customHeight="1" thickTop="1" x14ac:dyDescent="0.15">
      <c r="A339" s="35" t="s">
        <v>468</v>
      </c>
      <c r="B339" s="37">
        <v>14</v>
      </c>
      <c r="C339" s="37">
        <v>7</v>
      </c>
      <c r="D339" s="36" t="s">
        <v>431</v>
      </c>
      <c r="E339" s="37"/>
      <c r="F339" s="38">
        <f t="shared" ref="F339:L339" si="20">F291+F310+F329+F338</f>
        <v>17884390.100000001</v>
      </c>
      <c r="G339" s="38">
        <f t="shared" si="20"/>
        <v>8530576.4200000018</v>
      </c>
      <c r="H339" s="38">
        <f t="shared" si="20"/>
        <v>4018934.149999999</v>
      </c>
      <c r="I339" s="38">
        <f t="shared" si="20"/>
        <v>5984105.4799999995</v>
      </c>
      <c r="J339" s="38">
        <f t="shared" si="20"/>
        <v>15069452.190000001</v>
      </c>
      <c r="K339" s="38">
        <f t="shared" si="20"/>
        <v>280118.98</v>
      </c>
      <c r="L339" s="38">
        <f t="shared" si="20"/>
        <v>51767577.320000008</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247481.1</v>
      </c>
      <c r="L345" s="13">
        <f t="shared" ref="L345:L351" si="21">SUM(F345:K345)</f>
        <v>247481.1</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v>0</v>
      </c>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0</v>
      </c>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247481.1</v>
      </c>
      <c r="L352" s="38">
        <f>SUM(L342:L351)</f>
        <v>247481.1</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17884390.100000001</v>
      </c>
      <c r="G353" s="38">
        <f>G339</f>
        <v>8530576.4200000018</v>
      </c>
      <c r="H353" s="38">
        <f>H339</f>
        <v>4018934.149999999</v>
      </c>
      <c r="I353" s="38">
        <f>I339</f>
        <v>5984105.4799999995</v>
      </c>
      <c r="J353" s="38">
        <f>J339</f>
        <v>15069452.190000001</v>
      </c>
      <c r="K353" s="38">
        <f>K339+K352</f>
        <v>527600.07999999996</v>
      </c>
      <c r="L353" s="38">
        <f>L339+L352</f>
        <v>52015058.420000009</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850823.92</v>
      </c>
      <c r="G359" s="18">
        <v>605558.23</v>
      </c>
      <c r="H359" s="18">
        <v>51137.909999999996</v>
      </c>
      <c r="I359" s="18">
        <v>1102278</v>
      </c>
      <c r="J359" s="18">
        <v>29928.579999999998</v>
      </c>
      <c r="K359" s="18">
        <v>0</v>
      </c>
      <c r="L359" s="13">
        <f>SUM(F359:K359)</f>
        <v>2639726.6399999997</v>
      </c>
      <c r="M359" s="8"/>
      <c r="N359" s="165"/>
    </row>
    <row r="360" spans="1:22" s="3" customFormat="1" ht="12.2" customHeight="1" x14ac:dyDescent="0.15">
      <c r="A360" s="1" t="s">
        <v>542</v>
      </c>
      <c r="B360" s="2" t="s">
        <v>366</v>
      </c>
      <c r="C360" s="6">
        <v>2</v>
      </c>
      <c r="D360" s="2" t="s">
        <v>431</v>
      </c>
      <c r="E360" s="6"/>
      <c r="F360" s="18">
        <v>613956.44999999995</v>
      </c>
      <c r="G360" s="18">
        <v>428390.83999999997</v>
      </c>
      <c r="H360" s="18">
        <v>35056.870000000003</v>
      </c>
      <c r="I360" s="18">
        <v>905163.82000000007</v>
      </c>
      <c r="J360" s="18">
        <v>20517.100000000002</v>
      </c>
      <c r="K360" s="18">
        <v>0</v>
      </c>
      <c r="L360" s="13">
        <f>SUM(F360:K360)</f>
        <v>2003085.08</v>
      </c>
      <c r="M360" s="8"/>
      <c r="N360" s="165"/>
    </row>
    <row r="361" spans="1:22" s="3" customFormat="1" ht="12.2" customHeight="1" x14ac:dyDescent="0.15">
      <c r="A361" s="3" t="s">
        <v>543</v>
      </c>
      <c r="B361" s="2" t="s">
        <v>366</v>
      </c>
      <c r="C361" s="6">
        <v>3</v>
      </c>
      <c r="D361" s="2" t="s">
        <v>431</v>
      </c>
      <c r="E361" s="6"/>
      <c r="F361" s="18">
        <v>514261.73000000004</v>
      </c>
      <c r="G361" s="18">
        <v>389188.5</v>
      </c>
      <c r="H361" s="18">
        <v>19334.89</v>
      </c>
      <c r="I361" s="18">
        <v>492086.18</v>
      </c>
      <c r="J361" s="18">
        <v>11315.78</v>
      </c>
      <c r="K361" s="18">
        <v>0</v>
      </c>
      <c r="L361" s="13">
        <f>SUM(F361:K361)</f>
        <v>1426187.08</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1979042.1</v>
      </c>
      <c r="G363" s="38">
        <f t="shared" si="22"/>
        <v>1423137.5699999998</v>
      </c>
      <c r="H363" s="38">
        <f t="shared" si="22"/>
        <v>105529.67</v>
      </c>
      <c r="I363" s="38">
        <f t="shared" si="22"/>
        <v>2499528</v>
      </c>
      <c r="J363" s="38">
        <f t="shared" si="22"/>
        <v>61761.46</v>
      </c>
      <c r="K363" s="38">
        <f t="shared" si="22"/>
        <v>0</v>
      </c>
      <c r="L363" s="38">
        <f t="shared" si="22"/>
        <v>6068998.7999999998</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1040867.3874746815</v>
      </c>
      <c r="G368" s="18">
        <v>854533.29422823817</v>
      </c>
      <c r="H368" s="18">
        <v>468081.48829708027</v>
      </c>
      <c r="I368" s="13">
        <f>SUM(F368:H368)</f>
        <v>2363482.17</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61410.598439714631</v>
      </c>
      <c r="G369" s="53">
        <v>50630.538061878709</v>
      </c>
      <c r="H369" s="53">
        <v>24004.69349840665</v>
      </c>
      <c r="I369" s="13">
        <f>SUM(F369:H369)</f>
        <v>136045.82999999999</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1102277.9859143961</v>
      </c>
      <c r="G370" s="38">
        <f>SUM(G368:G369)</f>
        <v>905163.83229011693</v>
      </c>
      <c r="H370" s="38">
        <f>SUM(H368:H369)</f>
        <v>492086.18179548695</v>
      </c>
      <c r="I370" s="38">
        <f>SUM(I368:I369)</f>
        <v>2499528</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1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1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1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0</v>
      </c>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v>0</v>
      </c>
      <c r="G388" s="18">
        <v>0</v>
      </c>
      <c r="H388" s="18">
        <v>0</v>
      </c>
      <c r="I388" s="18">
        <v>0</v>
      </c>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v>0</v>
      </c>
      <c r="G389" s="18">
        <v>0</v>
      </c>
      <c r="H389" s="18">
        <v>0</v>
      </c>
      <c r="I389" s="18">
        <v>0</v>
      </c>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v>0</v>
      </c>
      <c r="G390" s="18">
        <v>0</v>
      </c>
      <c r="H390" s="18">
        <v>0</v>
      </c>
      <c r="I390" s="18">
        <v>0</v>
      </c>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v>0</v>
      </c>
      <c r="G391" s="18">
        <v>0</v>
      </c>
      <c r="H391" s="18">
        <v>0</v>
      </c>
      <c r="I391" s="18">
        <v>0</v>
      </c>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v>0</v>
      </c>
      <c r="G392" s="18">
        <v>0</v>
      </c>
      <c r="H392" s="18">
        <v>0</v>
      </c>
      <c r="I392" s="18">
        <v>0</v>
      </c>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v>0</v>
      </c>
      <c r="G393" s="18">
        <v>0</v>
      </c>
      <c r="H393" s="18">
        <v>0</v>
      </c>
      <c r="I393" s="18">
        <v>0</v>
      </c>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v>0</v>
      </c>
      <c r="G396" s="18">
        <v>1731489.32</v>
      </c>
      <c r="H396" s="18">
        <v>212235.13</v>
      </c>
      <c r="I396" s="18">
        <v>0</v>
      </c>
      <c r="J396" s="23" t="s">
        <v>288</v>
      </c>
      <c r="K396" s="23" t="s">
        <v>288</v>
      </c>
      <c r="L396" s="13">
        <f t="shared" ref="L396:L401" si="26">SUM(F396:K396)</f>
        <v>1943724.4500000002</v>
      </c>
      <c r="M396" s="8"/>
      <c r="N396" s="165"/>
    </row>
    <row r="397" spans="1:14" s="3" customFormat="1" ht="12.2" customHeight="1" x14ac:dyDescent="0.15">
      <c r="A397" s="62" t="s">
        <v>557</v>
      </c>
      <c r="B397" s="2" t="s">
        <v>381</v>
      </c>
      <c r="C397" s="6">
        <v>9</v>
      </c>
      <c r="D397" s="2" t="s">
        <v>432</v>
      </c>
      <c r="E397" s="6"/>
      <c r="F397" s="18">
        <v>0</v>
      </c>
      <c r="G397" s="18">
        <v>43903.75</v>
      </c>
      <c r="H397" s="18">
        <v>9047.7800000000007</v>
      </c>
      <c r="I397" s="18">
        <v>0</v>
      </c>
      <c r="J397" s="23" t="s">
        <v>288</v>
      </c>
      <c r="K397" s="23" t="s">
        <v>288</v>
      </c>
      <c r="L397" s="13">
        <f t="shared" si="26"/>
        <v>52951.53</v>
      </c>
      <c r="M397" s="8"/>
      <c r="N397" s="165"/>
    </row>
    <row r="398" spans="1:14" s="3" customFormat="1" ht="12.2" customHeight="1" x14ac:dyDescent="0.15">
      <c r="A398" s="62" t="s">
        <v>515</v>
      </c>
      <c r="B398" s="2" t="s">
        <v>381</v>
      </c>
      <c r="C398" s="6">
        <v>10</v>
      </c>
      <c r="D398" s="2" t="s">
        <v>432</v>
      </c>
      <c r="E398" s="6"/>
      <c r="F398" s="18">
        <v>0</v>
      </c>
      <c r="G398" s="18">
        <v>0</v>
      </c>
      <c r="H398" s="18">
        <v>123399.4</v>
      </c>
      <c r="I398" s="18">
        <v>0</v>
      </c>
      <c r="J398" s="23" t="s">
        <v>288</v>
      </c>
      <c r="K398" s="23" t="s">
        <v>288</v>
      </c>
      <c r="L398" s="13">
        <f t="shared" si="26"/>
        <v>123399.4</v>
      </c>
      <c r="M398" s="8"/>
      <c r="N398" s="165"/>
    </row>
    <row r="399" spans="1:14" s="3" customFormat="1" ht="12.2" customHeight="1" x14ac:dyDescent="0.15">
      <c r="A399" s="62" t="s">
        <v>558</v>
      </c>
      <c r="B399" s="2" t="s">
        <v>381</v>
      </c>
      <c r="C399" s="6">
        <v>11</v>
      </c>
      <c r="D399" s="2" t="s">
        <v>432</v>
      </c>
      <c r="E399" s="6"/>
      <c r="F399" s="18">
        <v>0</v>
      </c>
      <c r="G399" s="18">
        <v>0</v>
      </c>
      <c r="H399" s="18">
        <v>0</v>
      </c>
      <c r="I399" s="18">
        <v>0</v>
      </c>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v>0</v>
      </c>
      <c r="G400" s="18">
        <v>0</v>
      </c>
      <c r="H400" s="18">
        <v>0</v>
      </c>
      <c r="I400" s="18">
        <v>0</v>
      </c>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v>0</v>
      </c>
      <c r="G401" s="18">
        <f>2150945.37+151682.16+1.11</f>
        <v>2302628.64</v>
      </c>
      <c r="H401" s="18">
        <f>25.21+3976.68+313824.25</f>
        <v>317826.14</v>
      </c>
      <c r="I401" s="18">
        <v>0</v>
      </c>
      <c r="J401" s="23" t="s">
        <v>288</v>
      </c>
      <c r="K401" s="23" t="s">
        <v>288</v>
      </c>
      <c r="L401" s="13">
        <f t="shared" si="26"/>
        <v>2620454.7800000003</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4078021.71</v>
      </c>
      <c r="H402" s="38">
        <f>SUM(H396:H401)</f>
        <v>662508.44999999995</v>
      </c>
      <c r="I402" s="38">
        <f>SUM(I396:I401)</f>
        <v>0</v>
      </c>
      <c r="J402" s="42" t="s">
        <v>288</v>
      </c>
      <c r="K402" s="42" t="s">
        <v>288</v>
      </c>
      <c r="L402" s="38">
        <f>SUM(L396:L401)</f>
        <v>4740530.16</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v>0</v>
      </c>
      <c r="G404" s="18">
        <v>0</v>
      </c>
      <c r="H404" s="18">
        <v>0</v>
      </c>
      <c r="I404" s="18">
        <v>0</v>
      </c>
      <c r="J404" s="23" t="s">
        <v>288</v>
      </c>
      <c r="K404" s="23" t="s">
        <v>288</v>
      </c>
      <c r="L404" s="13">
        <f>SUM(F404:K404)</f>
        <v>0</v>
      </c>
      <c r="M404" s="8"/>
      <c r="N404" s="165"/>
    </row>
    <row r="405" spans="1:21" s="3" customFormat="1" ht="12.2" customHeight="1" x14ac:dyDescent="0.15">
      <c r="A405" s="82"/>
      <c r="B405" s="2" t="s">
        <v>381</v>
      </c>
      <c r="C405" s="6">
        <v>16</v>
      </c>
      <c r="D405" s="2" t="s">
        <v>432</v>
      </c>
      <c r="E405" s="6"/>
      <c r="F405" s="18">
        <v>0</v>
      </c>
      <c r="G405" s="18">
        <v>0</v>
      </c>
      <c r="H405" s="18">
        <v>0</v>
      </c>
      <c r="I405" s="18">
        <v>0</v>
      </c>
      <c r="J405" s="23" t="s">
        <v>288</v>
      </c>
      <c r="K405" s="23" t="s">
        <v>288</v>
      </c>
      <c r="L405" s="13">
        <f>SUM(F405:K405)</f>
        <v>0</v>
      </c>
      <c r="M405" s="8"/>
      <c r="N405" s="165"/>
    </row>
    <row r="406" spans="1:21" s="3" customFormat="1" ht="12.2" customHeight="1" x14ac:dyDescent="0.15">
      <c r="A406" s="82"/>
      <c r="B406" s="2" t="s">
        <v>381</v>
      </c>
      <c r="C406" s="6">
        <v>17</v>
      </c>
      <c r="D406" s="2" t="s">
        <v>432</v>
      </c>
      <c r="E406" s="6"/>
      <c r="F406" s="18">
        <v>0</v>
      </c>
      <c r="G406" s="18">
        <v>0</v>
      </c>
      <c r="H406" s="18">
        <v>0</v>
      </c>
      <c r="I406" s="18">
        <v>0</v>
      </c>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v>0</v>
      </c>
      <c r="G407" s="18">
        <v>0</v>
      </c>
      <c r="H407" s="18">
        <v>0</v>
      </c>
      <c r="I407" s="18">
        <v>0</v>
      </c>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4078021.71</v>
      </c>
      <c r="H409" s="38">
        <f>H394+H402+H408</f>
        <v>662508.44999999995</v>
      </c>
      <c r="I409" s="38">
        <f>I394+I402+I408</f>
        <v>0</v>
      </c>
      <c r="J409" s="23" t="s">
        <v>288</v>
      </c>
      <c r="K409" s="23" t="s">
        <v>288</v>
      </c>
      <c r="L409" s="38">
        <f>L394+L402+L408</f>
        <v>4740530.16</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v>0</v>
      </c>
      <c r="G414" s="18">
        <v>0</v>
      </c>
      <c r="H414" s="18">
        <v>0</v>
      </c>
      <c r="I414" s="18">
        <v>0</v>
      </c>
      <c r="J414" s="18">
        <v>0</v>
      </c>
      <c r="K414" s="18">
        <v>0</v>
      </c>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v>0</v>
      </c>
      <c r="G415" s="18">
        <v>0</v>
      </c>
      <c r="H415" s="18">
        <v>0</v>
      </c>
      <c r="I415" s="18">
        <v>0</v>
      </c>
      <c r="J415" s="18">
        <v>0</v>
      </c>
      <c r="K415" s="18">
        <v>0</v>
      </c>
      <c r="L415" s="13">
        <f t="shared" si="27"/>
        <v>0</v>
      </c>
      <c r="N415" s="165"/>
    </row>
    <row r="416" spans="1:21" s="3" customFormat="1" ht="12.2" customHeight="1" x14ac:dyDescent="0.15">
      <c r="A416" s="62" t="s">
        <v>552</v>
      </c>
      <c r="B416" s="6">
        <v>17</v>
      </c>
      <c r="C416" s="6">
        <v>3</v>
      </c>
      <c r="D416" s="2" t="s">
        <v>432</v>
      </c>
      <c r="E416" s="6"/>
      <c r="F416" s="18">
        <v>0</v>
      </c>
      <c r="G416" s="18">
        <v>0</v>
      </c>
      <c r="H416" s="18">
        <v>0</v>
      </c>
      <c r="I416" s="18">
        <v>0</v>
      </c>
      <c r="J416" s="18">
        <v>0</v>
      </c>
      <c r="K416" s="18">
        <v>0</v>
      </c>
      <c r="L416" s="13">
        <f t="shared" si="27"/>
        <v>0</v>
      </c>
      <c r="M416" s="8"/>
      <c r="N416" s="165"/>
    </row>
    <row r="417" spans="1:21" s="3" customFormat="1" ht="12.2" customHeight="1" x14ac:dyDescent="0.15">
      <c r="A417" s="62" t="s">
        <v>553</v>
      </c>
      <c r="B417" s="6">
        <v>17</v>
      </c>
      <c r="C417" s="6">
        <v>4</v>
      </c>
      <c r="D417" s="2" t="s">
        <v>432</v>
      </c>
      <c r="E417" s="6"/>
      <c r="F417" s="18">
        <v>0</v>
      </c>
      <c r="G417" s="18">
        <v>0</v>
      </c>
      <c r="H417" s="18">
        <v>0</v>
      </c>
      <c r="I417" s="18">
        <v>0</v>
      </c>
      <c r="J417" s="18">
        <v>0</v>
      </c>
      <c r="K417" s="18">
        <v>0</v>
      </c>
      <c r="L417" s="13">
        <f t="shared" si="27"/>
        <v>0</v>
      </c>
      <c r="M417" s="8"/>
      <c r="N417" s="165"/>
    </row>
    <row r="418" spans="1:21" s="3" customFormat="1" ht="12.2" customHeight="1" x14ac:dyDescent="0.15">
      <c r="A418" s="62" t="s">
        <v>554</v>
      </c>
      <c r="B418" s="6">
        <v>17</v>
      </c>
      <c r="C418" s="6">
        <v>5</v>
      </c>
      <c r="D418" s="2" t="s">
        <v>432</v>
      </c>
      <c r="E418" s="6"/>
      <c r="F418" s="18">
        <v>0</v>
      </c>
      <c r="G418" s="18">
        <v>0</v>
      </c>
      <c r="H418" s="18">
        <v>0</v>
      </c>
      <c r="I418" s="18">
        <v>0</v>
      </c>
      <c r="J418" s="18">
        <v>0</v>
      </c>
      <c r="K418" s="18">
        <v>0</v>
      </c>
      <c r="L418" s="13">
        <f t="shared" si="27"/>
        <v>0</v>
      </c>
      <c r="M418" s="8"/>
      <c r="N418" s="165"/>
    </row>
    <row r="419" spans="1:21" s="3" customFormat="1" ht="12.2" customHeight="1" thickBot="1" x14ac:dyDescent="0.2">
      <c r="A419" s="62" t="s">
        <v>555</v>
      </c>
      <c r="B419" s="6">
        <v>17</v>
      </c>
      <c r="C419" s="6">
        <v>6</v>
      </c>
      <c r="D419" s="2" t="s">
        <v>432</v>
      </c>
      <c r="E419" s="6"/>
      <c r="F419" s="18">
        <v>0</v>
      </c>
      <c r="G419" s="18">
        <v>0</v>
      </c>
      <c r="H419" s="18">
        <v>0</v>
      </c>
      <c r="I419" s="18">
        <v>0</v>
      </c>
      <c r="J419" s="18">
        <v>0</v>
      </c>
      <c r="K419" s="18">
        <v>0</v>
      </c>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v>0</v>
      </c>
      <c r="G422" s="18">
        <v>0</v>
      </c>
      <c r="H422" s="18">
        <v>0</v>
      </c>
      <c r="I422" s="18">
        <v>0</v>
      </c>
      <c r="J422" s="18">
        <v>0</v>
      </c>
      <c r="K422" s="18">
        <v>0</v>
      </c>
      <c r="L422" s="13">
        <f t="shared" ref="L422:L427" si="29">SUM(F422:K422)</f>
        <v>0</v>
      </c>
      <c r="M422" s="8"/>
      <c r="N422" s="165"/>
    </row>
    <row r="423" spans="1:21" s="3" customFormat="1" ht="12.2" customHeight="1" x14ac:dyDescent="0.15">
      <c r="A423" s="62" t="s">
        <v>557</v>
      </c>
      <c r="B423" s="6">
        <v>17</v>
      </c>
      <c r="C423" s="6">
        <v>9</v>
      </c>
      <c r="D423" s="2" t="s">
        <v>432</v>
      </c>
      <c r="E423" s="6"/>
      <c r="F423" s="18">
        <v>0</v>
      </c>
      <c r="G423" s="18">
        <v>0</v>
      </c>
      <c r="H423" s="18">
        <v>0</v>
      </c>
      <c r="I423" s="18">
        <v>0</v>
      </c>
      <c r="J423" s="18">
        <v>0</v>
      </c>
      <c r="K423" s="18">
        <v>0</v>
      </c>
      <c r="L423" s="13">
        <f t="shared" si="29"/>
        <v>0</v>
      </c>
      <c r="M423" s="8"/>
      <c r="N423" s="165"/>
    </row>
    <row r="424" spans="1:21" s="3" customFormat="1" ht="12.2" customHeight="1" x14ac:dyDescent="0.15">
      <c r="A424" s="62" t="s">
        <v>515</v>
      </c>
      <c r="B424" s="6">
        <v>17</v>
      </c>
      <c r="C424" s="6">
        <v>10</v>
      </c>
      <c r="D424" s="2" t="s">
        <v>432</v>
      </c>
      <c r="E424" s="6"/>
      <c r="F424" s="18">
        <v>0</v>
      </c>
      <c r="G424" s="18">
        <v>0</v>
      </c>
      <c r="H424" s="18">
        <v>0</v>
      </c>
      <c r="I424" s="18">
        <v>0</v>
      </c>
      <c r="J424" s="18">
        <v>0</v>
      </c>
      <c r="K424" s="18">
        <v>0</v>
      </c>
      <c r="L424" s="13">
        <f t="shared" si="29"/>
        <v>0</v>
      </c>
      <c r="M424" s="8"/>
      <c r="N424" s="165"/>
    </row>
    <row r="425" spans="1:21" s="3" customFormat="1" ht="12.2" customHeight="1" x14ac:dyDescent="0.15">
      <c r="A425" s="62" t="s">
        <v>558</v>
      </c>
      <c r="B425" s="6">
        <v>17</v>
      </c>
      <c r="C425" s="6">
        <v>11</v>
      </c>
      <c r="D425" s="2" t="s">
        <v>432</v>
      </c>
      <c r="E425" s="6"/>
      <c r="F425" s="18">
        <v>0</v>
      </c>
      <c r="G425" s="18">
        <v>0</v>
      </c>
      <c r="H425" s="18">
        <v>0</v>
      </c>
      <c r="I425" s="18">
        <v>0</v>
      </c>
      <c r="J425" s="18">
        <v>0</v>
      </c>
      <c r="K425" s="18">
        <v>0</v>
      </c>
      <c r="L425" s="13">
        <f t="shared" si="29"/>
        <v>0</v>
      </c>
      <c r="M425" s="8"/>
      <c r="N425" s="165"/>
    </row>
    <row r="426" spans="1:21" s="3" customFormat="1" ht="12.2" customHeight="1" x14ac:dyDescent="0.15">
      <c r="A426" s="62" t="s">
        <v>559</v>
      </c>
      <c r="B426" s="6">
        <v>17</v>
      </c>
      <c r="C426" s="6">
        <v>12</v>
      </c>
      <c r="D426" s="2" t="s">
        <v>432</v>
      </c>
      <c r="E426" s="6"/>
      <c r="F426" s="18">
        <v>0</v>
      </c>
      <c r="G426" s="18">
        <v>0</v>
      </c>
      <c r="H426" s="18">
        <v>0</v>
      </c>
      <c r="I426" s="18">
        <v>0</v>
      </c>
      <c r="J426" s="18">
        <v>0</v>
      </c>
      <c r="K426" s="18">
        <v>0</v>
      </c>
      <c r="L426" s="13">
        <f t="shared" si="29"/>
        <v>0</v>
      </c>
      <c r="M426" s="8"/>
      <c r="N426" s="165"/>
    </row>
    <row r="427" spans="1:21" s="3" customFormat="1" ht="12.2" customHeight="1" thickBot="1" x14ac:dyDescent="0.2">
      <c r="A427" s="62" t="s">
        <v>510</v>
      </c>
      <c r="B427" s="6">
        <v>17</v>
      </c>
      <c r="C427" s="6">
        <v>13</v>
      </c>
      <c r="D427" s="2" t="s">
        <v>432</v>
      </c>
      <c r="E427" s="6"/>
      <c r="F427" s="18">
        <v>0</v>
      </c>
      <c r="G427" s="18">
        <v>0</v>
      </c>
      <c r="H427" s="18">
        <v>0</v>
      </c>
      <c r="I427" s="18">
        <v>0</v>
      </c>
      <c r="J427" s="18">
        <v>0</v>
      </c>
      <c r="K427" s="18">
        <v>0</v>
      </c>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v>0</v>
      </c>
      <c r="G430" s="18">
        <v>0</v>
      </c>
      <c r="H430" s="18">
        <v>0</v>
      </c>
      <c r="I430" s="18">
        <v>0</v>
      </c>
      <c r="J430" s="18">
        <v>0</v>
      </c>
      <c r="K430" s="18">
        <v>0</v>
      </c>
      <c r="L430" s="13">
        <f>SUM(F430:K430)</f>
        <v>0</v>
      </c>
      <c r="M430" s="8"/>
      <c r="N430" s="165"/>
    </row>
    <row r="431" spans="1:21" ht="12.2" customHeight="1" x14ac:dyDescent="0.2">
      <c r="A431" s="82"/>
      <c r="B431" s="6">
        <v>17</v>
      </c>
      <c r="C431" s="6">
        <v>16</v>
      </c>
      <c r="D431" s="2" t="s">
        <v>432</v>
      </c>
      <c r="E431" s="6"/>
      <c r="F431" s="18">
        <v>0</v>
      </c>
      <c r="G431" s="18">
        <v>0</v>
      </c>
      <c r="H431" s="18">
        <v>0</v>
      </c>
      <c r="I431" s="18">
        <v>0</v>
      </c>
      <c r="J431" s="18">
        <v>0</v>
      </c>
      <c r="K431" s="18">
        <v>0</v>
      </c>
      <c r="L431" s="13">
        <f>SUM(F431:K431)</f>
        <v>0</v>
      </c>
      <c r="N431" s="131"/>
    </row>
    <row r="432" spans="1:21" s="3" customFormat="1" ht="12.2" customHeight="1" x14ac:dyDescent="0.15">
      <c r="A432" s="82"/>
      <c r="B432" s="6">
        <v>17</v>
      </c>
      <c r="C432" s="6">
        <v>17</v>
      </c>
      <c r="D432" s="2" t="s">
        <v>432</v>
      </c>
      <c r="E432" s="6"/>
      <c r="F432" s="18">
        <v>0</v>
      </c>
      <c r="G432" s="18">
        <v>0</v>
      </c>
      <c r="H432" s="18">
        <v>0</v>
      </c>
      <c r="I432" s="18">
        <v>0</v>
      </c>
      <c r="J432" s="18">
        <v>0</v>
      </c>
      <c r="K432" s="18">
        <v>0</v>
      </c>
      <c r="L432" s="13">
        <f>SUM(F432:K432)</f>
        <v>0</v>
      </c>
      <c r="M432" s="8"/>
      <c r="N432" s="165"/>
    </row>
    <row r="433" spans="1:14" s="3" customFormat="1" ht="12.2" customHeight="1" thickBot="1" x14ac:dyDescent="0.2">
      <c r="A433" s="82"/>
      <c r="B433" s="6">
        <v>17</v>
      </c>
      <c r="C433" s="6">
        <v>18</v>
      </c>
      <c r="D433" s="2" t="s">
        <v>432</v>
      </c>
      <c r="E433" s="6"/>
      <c r="F433" s="18">
        <v>0</v>
      </c>
      <c r="G433" s="18">
        <v>0</v>
      </c>
      <c r="H433" s="18">
        <v>0</v>
      </c>
      <c r="I433" s="18">
        <v>0</v>
      </c>
      <c r="J433" s="18">
        <v>0</v>
      </c>
      <c r="K433" s="18">
        <v>0</v>
      </c>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0</v>
      </c>
      <c r="G440" s="18">
        <v>0</v>
      </c>
      <c r="H440" s="18">
        <v>0</v>
      </c>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v>0</v>
      </c>
      <c r="G441" s="18">
        <v>0</v>
      </c>
      <c r="H441" s="18">
        <v>0</v>
      </c>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v>0</v>
      </c>
      <c r="G442" s="18">
        <v>4078010.15</v>
      </c>
      <c r="H442" s="18">
        <v>0</v>
      </c>
      <c r="I442" s="13">
        <f t="shared" si="33"/>
        <v>4078010.15</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v>0</v>
      </c>
      <c r="G443" s="18">
        <v>27201890.59</v>
      </c>
      <c r="H443" s="18">
        <v>0</v>
      </c>
      <c r="I443" s="13">
        <f t="shared" si="33"/>
        <v>27201890.59</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v>0</v>
      </c>
      <c r="G444" s="18">
        <v>0</v>
      </c>
      <c r="H444" s="18">
        <v>0</v>
      </c>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v>0</v>
      </c>
      <c r="G445" s="18">
        <v>0</v>
      </c>
      <c r="H445" s="18">
        <v>0</v>
      </c>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v>0</v>
      </c>
      <c r="G446" s="18">
        <v>0</v>
      </c>
      <c r="H446" s="18">
        <v>0</v>
      </c>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31279900.739999998</v>
      </c>
      <c r="H447" s="13">
        <f>SUM(H440:H446)</f>
        <v>0</v>
      </c>
      <c r="I447" s="13">
        <f>SUM(I440:I446)</f>
        <v>31279900.739999998</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v>0</v>
      </c>
      <c r="G449" s="18">
        <v>0</v>
      </c>
      <c r="H449" s="18">
        <v>0</v>
      </c>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v>0</v>
      </c>
      <c r="G450" s="18">
        <v>0</v>
      </c>
      <c r="H450" s="18">
        <v>0</v>
      </c>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v>0</v>
      </c>
      <c r="G451" s="18">
        <v>0</v>
      </c>
      <c r="H451" s="18">
        <v>0</v>
      </c>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v>0</v>
      </c>
      <c r="G452" s="18">
        <v>0</v>
      </c>
      <c r="H452" s="18">
        <v>0</v>
      </c>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v>0</v>
      </c>
      <c r="G455" s="18">
        <v>0</v>
      </c>
      <c r="H455" s="18">
        <v>0</v>
      </c>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v>0</v>
      </c>
      <c r="G456" s="18">
        <v>0</v>
      </c>
      <c r="H456" s="18">
        <v>0</v>
      </c>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v>0</v>
      </c>
      <c r="G457" s="18">
        <v>0</v>
      </c>
      <c r="H457" s="18">
        <v>0</v>
      </c>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v>0</v>
      </c>
      <c r="G458" s="18">
        <v>0</v>
      </c>
      <c r="H458" s="18">
        <v>0</v>
      </c>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v>0</v>
      </c>
      <c r="G459" s="18">
        <v>0</v>
      </c>
      <c r="H459" s="18">
        <v>0</v>
      </c>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0</v>
      </c>
      <c r="G460" s="18">
        <v>31279900.739999998</v>
      </c>
      <c r="H460" s="18">
        <v>0</v>
      </c>
      <c r="I460" s="13">
        <f t="shared" si="34"/>
        <v>31279900.739999998</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31279900.739999998</v>
      </c>
      <c r="H461" s="65">
        <f>SUM(H455:H460)</f>
        <v>0</v>
      </c>
      <c r="I461" s="65">
        <f>SUM(I455:I460)</f>
        <v>31279900.739999998</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31279900.739999998</v>
      </c>
      <c r="H462" s="39">
        <f>H453+H461</f>
        <v>0</v>
      </c>
      <c r="I462" s="39">
        <f>I453+I461</f>
        <v>31279900.739999998</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1587862.7500000298</v>
      </c>
      <c r="G466" s="18">
        <v>1648658.9799999995</v>
      </c>
      <c r="H466" s="18">
        <v>512260.27</v>
      </c>
      <c r="I466" s="18">
        <v>0</v>
      </c>
      <c r="J466" s="18">
        <v>26539370.579999998</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193668253.91</v>
      </c>
      <c r="G469" s="18">
        <v>5517805.21</v>
      </c>
      <c r="H469" s="18">
        <v>52063484.210000001</v>
      </c>
      <c r="I469" s="18">
        <v>0</v>
      </c>
      <c r="J469" s="18">
        <f>4078020.6+662508.45+1.11</f>
        <v>4740530.16</v>
      </c>
      <c r="K469" s="23" t="s">
        <v>288</v>
      </c>
      <c r="L469" s="23" t="s">
        <v>288</v>
      </c>
      <c r="N469" s="131"/>
    </row>
    <row r="470" spans="1:14" ht="12.2" customHeight="1" x14ac:dyDescent="0.2">
      <c r="A470" s="71" t="s">
        <v>611</v>
      </c>
      <c r="B470" s="22">
        <v>19</v>
      </c>
      <c r="C470" s="31">
        <v>3</v>
      </c>
      <c r="D470" s="2" t="s">
        <v>432</v>
      </c>
      <c r="E470" s="31"/>
      <c r="F470" s="18">
        <v>0</v>
      </c>
      <c r="G470" s="18">
        <v>0</v>
      </c>
      <c r="H470" s="18">
        <v>0</v>
      </c>
      <c r="I470" s="18">
        <v>0</v>
      </c>
      <c r="J470" s="18">
        <v>0</v>
      </c>
      <c r="K470" s="23" t="s">
        <v>288</v>
      </c>
      <c r="L470" s="23" t="s">
        <v>288</v>
      </c>
      <c r="N470" s="131"/>
    </row>
    <row r="471" spans="1:14" ht="12.2" customHeight="1" x14ac:dyDescent="0.2">
      <c r="A471" s="32" t="s">
        <v>425</v>
      </c>
      <c r="B471" s="22">
        <v>19</v>
      </c>
      <c r="C471" s="31">
        <v>4</v>
      </c>
      <c r="D471" s="2" t="s">
        <v>432</v>
      </c>
      <c r="E471" s="31"/>
      <c r="F471" s="19">
        <f>SUM(F469:F470)</f>
        <v>193668253.91</v>
      </c>
      <c r="G471" s="19">
        <f>SUM(G469:G470)</f>
        <v>5517805.21</v>
      </c>
      <c r="H471" s="19">
        <f>SUM(H469:H470)</f>
        <v>52063484.210000001</v>
      </c>
      <c r="I471" s="19">
        <f>SUM(I469:I470)</f>
        <v>0</v>
      </c>
      <c r="J471" s="19">
        <f>SUM(J469:J470)</f>
        <v>4740530.16</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193515876.34-3671.15-0.2</f>
        <v>193512204.99000001</v>
      </c>
      <c r="G473" s="18">
        <v>6068998.7999999998</v>
      </c>
      <c r="H473" s="18">
        <f>52018524.26-3465.84</f>
        <v>52015058.419999994</v>
      </c>
      <c r="I473" s="18">
        <v>0</v>
      </c>
      <c r="J473" s="18">
        <v>0</v>
      </c>
      <c r="K473" s="23" t="s">
        <v>288</v>
      </c>
      <c r="L473" s="23" t="s">
        <v>288</v>
      </c>
      <c r="N473" s="131"/>
    </row>
    <row r="474" spans="1:14" ht="12.2" customHeight="1" x14ac:dyDescent="0.2">
      <c r="A474" s="71" t="s">
        <v>613</v>
      </c>
      <c r="B474" s="22">
        <v>19</v>
      </c>
      <c r="C474" s="31">
        <v>6</v>
      </c>
      <c r="D474" s="2" t="s">
        <v>432</v>
      </c>
      <c r="E474" s="31"/>
      <c r="F474" s="18">
        <v>0</v>
      </c>
      <c r="G474" s="18">
        <v>0</v>
      </c>
      <c r="H474" s="18">
        <v>0</v>
      </c>
      <c r="I474" s="18">
        <v>0</v>
      </c>
      <c r="J474" s="18">
        <v>0</v>
      </c>
      <c r="K474" s="23" t="s">
        <v>288</v>
      </c>
      <c r="L474" s="23" t="s">
        <v>288</v>
      </c>
      <c r="N474" s="131"/>
    </row>
    <row r="475" spans="1:14" ht="12.2" customHeight="1" x14ac:dyDescent="0.2">
      <c r="A475" s="32" t="s">
        <v>426</v>
      </c>
      <c r="B475" s="22">
        <v>19</v>
      </c>
      <c r="C475" s="31">
        <v>7</v>
      </c>
      <c r="D475" s="2" t="s">
        <v>432</v>
      </c>
      <c r="E475" s="31"/>
      <c r="F475" s="19">
        <f>SUM(F473:F474)</f>
        <v>193512204.99000001</v>
      </c>
      <c r="G475" s="19">
        <f>SUM(G473:G474)</f>
        <v>6068998.7999999998</v>
      </c>
      <c r="H475" s="19">
        <f>SUM(H473:H474)</f>
        <v>52015058.419999994</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1743911.6700000167</v>
      </c>
      <c r="G477" s="19">
        <f>(G466+G471)- G475</f>
        <v>1097465.3899999997</v>
      </c>
      <c r="H477" s="19">
        <f>(H466+H471)- H475</f>
        <v>560686.06000000983</v>
      </c>
      <c r="I477" s="19">
        <f>(I466+I471)- I475</f>
        <v>0</v>
      </c>
      <c r="J477" s="19">
        <f>(J466+J471)- J475</f>
        <v>31279900.739999998</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0</v>
      </c>
      <c r="G491" s="111">
        <v>0</v>
      </c>
      <c r="H491" s="111">
        <v>0</v>
      </c>
      <c r="I491" s="111">
        <v>0</v>
      </c>
      <c r="J491" s="111">
        <v>0</v>
      </c>
      <c r="K491" s="23" t="s">
        <v>288</v>
      </c>
      <c r="L491" s="23" t="s">
        <v>288</v>
      </c>
      <c r="N491" s="131"/>
    </row>
    <row r="492" spans="1:14" ht="12.2" customHeight="1" x14ac:dyDescent="0.2">
      <c r="A492" s="21" t="s">
        <v>615</v>
      </c>
      <c r="B492" s="22">
        <v>20</v>
      </c>
      <c r="C492" s="22">
        <v>2</v>
      </c>
      <c r="D492" s="2" t="s">
        <v>432</v>
      </c>
      <c r="E492" s="22"/>
      <c r="F492" s="112">
        <v>0</v>
      </c>
      <c r="G492" s="112">
        <v>0</v>
      </c>
      <c r="H492" s="111">
        <v>0</v>
      </c>
      <c r="I492" s="111">
        <v>0</v>
      </c>
      <c r="J492" s="111">
        <v>0</v>
      </c>
      <c r="K492" s="23" t="s">
        <v>288</v>
      </c>
      <c r="L492" s="23" t="s">
        <v>288</v>
      </c>
      <c r="N492" s="131"/>
    </row>
    <row r="493" spans="1:14" ht="12.2" customHeight="1" x14ac:dyDescent="0.2">
      <c r="A493" s="21" t="s">
        <v>616</v>
      </c>
      <c r="B493" s="22">
        <v>20</v>
      </c>
      <c r="C493" s="22">
        <v>3</v>
      </c>
      <c r="D493" s="2" t="s">
        <v>432</v>
      </c>
      <c r="E493" s="22"/>
      <c r="F493" s="112">
        <v>0</v>
      </c>
      <c r="G493" s="112">
        <v>0</v>
      </c>
      <c r="H493" s="111">
        <v>0</v>
      </c>
      <c r="I493" s="111">
        <v>0</v>
      </c>
      <c r="J493" s="111">
        <v>0</v>
      </c>
      <c r="K493" s="23" t="s">
        <v>288</v>
      </c>
      <c r="L493" s="23" t="s">
        <v>288</v>
      </c>
      <c r="N493" s="131"/>
    </row>
    <row r="494" spans="1:14" ht="12.2" customHeight="1" x14ac:dyDescent="0.2">
      <c r="A494" s="21" t="s">
        <v>617</v>
      </c>
      <c r="B494" s="22">
        <v>20</v>
      </c>
      <c r="C494" s="22">
        <v>4</v>
      </c>
      <c r="D494" s="2" t="s">
        <v>432</v>
      </c>
      <c r="E494" s="22"/>
      <c r="F494" s="18">
        <v>0</v>
      </c>
      <c r="G494" s="18">
        <v>0</v>
      </c>
      <c r="H494" s="18">
        <v>0</v>
      </c>
      <c r="I494" s="18">
        <v>0</v>
      </c>
      <c r="J494" s="18">
        <v>0</v>
      </c>
      <c r="K494" s="23" t="s">
        <v>288</v>
      </c>
      <c r="L494" s="23" t="s">
        <v>288</v>
      </c>
      <c r="N494" s="131"/>
    </row>
    <row r="495" spans="1:14" ht="12.2" customHeight="1" x14ac:dyDescent="0.2">
      <c r="A495" s="21" t="s">
        <v>618</v>
      </c>
      <c r="B495" s="22">
        <v>20</v>
      </c>
      <c r="C495" s="22">
        <v>5</v>
      </c>
      <c r="D495" s="2" t="s">
        <v>432</v>
      </c>
      <c r="E495" s="22"/>
      <c r="F495" s="18">
        <v>0</v>
      </c>
      <c r="G495" s="18">
        <v>0</v>
      </c>
      <c r="H495" s="18">
        <v>0</v>
      </c>
      <c r="I495" s="18">
        <v>0</v>
      </c>
      <c r="J495" s="18">
        <v>0</v>
      </c>
      <c r="K495" s="23" t="s">
        <v>288</v>
      </c>
      <c r="L495" s="23" t="s">
        <v>288</v>
      </c>
      <c r="N495" s="131"/>
    </row>
    <row r="496" spans="1:14" ht="12.2" customHeight="1" x14ac:dyDescent="0.2">
      <c r="A496" s="21" t="s">
        <v>619</v>
      </c>
      <c r="B496" s="22">
        <v>20</v>
      </c>
      <c r="C496" s="22">
        <v>6</v>
      </c>
      <c r="D496" s="2" t="s">
        <v>432</v>
      </c>
      <c r="E496" s="22"/>
      <c r="F496" s="18">
        <v>0</v>
      </c>
      <c r="G496" s="18">
        <v>0</v>
      </c>
      <c r="H496" s="18">
        <v>0</v>
      </c>
      <c r="I496" s="18">
        <v>0</v>
      </c>
      <c r="J496" s="18">
        <v>0</v>
      </c>
      <c r="K496" s="19">
        <f>SUM(F496:J496)</f>
        <v>0</v>
      </c>
      <c r="L496" s="23" t="s">
        <v>288</v>
      </c>
      <c r="N496" s="131"/>
    </row>
    <row r="497" spans="1:14" ht="12.2" customHeight="1" x14ac:dyDescent="0.2">
      <c r="A497" s="21" t="s">
        <v>620</v>
      </c>
      <c r="B497" s="22">
        <v>20</v>
      </c>
      <c r="C497" s="22">
        <v>7</v>
      </c>
      <c r="D497" s="2" t="s">
        <v>432</v>
      </c>
      <c r="E497" s="22"/>
      <c r="F497" s="18">
        <v>0</v>
      </c>
      <c r="G497" s="18">
        <v>0</v>
      </c>
      <c r="H497" s="18">
        <v>0</v>
      </c>
      <c r="I497" s="18">
        <v>0</v>
      </c>
      <c r="J497" s="18">
        <v>0</v>
      </c>
      <c r="K497" s="19">
        <f t="shared" ref="K497:K504" si="35">SUM(F497:J497)</f>
        <v>0</v>
      </c>
      <c r="L497" s="23" t="s">
        <v>288</v>
      </c>
      <c r="N497" s="131"/>
    </row>
    <row r="498" spans="1:14" ht="12.2" customHeight="1" x14ac:dyDescent="0.2">
      <c r="A498" s="21" t="s">
        <v>621</v>
      </c>
      <c r="B498" s="22">
        <v>20</v>
      </c>
      <c r="C498" s="22">
        <v>8</v>
      </c>
      <c r="D498" s="2" t="s">
        <v>432</v>
      </c>
      <c r="E498" s="22"/>
      <c r="F498" s="18">
        <v>0</v>
      </c>
      <c r="G498" s="18">
        <v>0</v>
      </c>
      <c r="H498" s="18">
        <v>0</v>
      </c>
      <c r="I498" s="18">
        <v>0</v>
      </c>
      <c r="J498" s="18">
        <v>0</v>
      </c>
      <c r="K498" s="19">
        <f t="shared" si="35"/>
        <v>0</v>
      </c>
      <c r="L498" s="23" t="s">
        <v>288</v>
      </c>
      <c r="N498" s="131"/>
    </row>
    <row r="499" spans="1:14" ht="12.2" customHeight="1" x14ac:dyDescent="0.2">
      <c r="A499" s="144" t="s">
        <v>622</v>
      </c>
      <c r="B499" s="145">
        <v>20</v>
      </c>
      <c r="C499" s="145">
        <v>9</v>
      </c>
      <c r="D499" s="146" t="s">
        <v>432</v>
      </c>
      <c r="E499" s="145"/>
      <c r="F499" s="147">
        <v>0</v>
      </c>
      <c r="G499" s="147">
        <v>0</v>
      </c>
      <c r="H499" s="147">
        <v>0</v>
      </c>
      <c r="I499" s="147">
        <v>0</v>
      </c>
      <c r="J499" s="147">
        <v>0</v>
      </c>
      <c r="K499" s="148">
        <f t="shared" si="35"/>
        <v>0</v>
      </c>
      <c r="L499" s="149" t="s">
        <v>288</v>
      </c>
      <c r="N499" s="131"/>
    </row>
    <row r="500" spans="1:14" ht="12.2" customHeight="1" thickBot="1" x14ac:dyDescent="0.25">
      <c r="A500" s="21" t="s">
        <v>623</v>
      </c>
      <c r="B500" s="22">
        <v>20</v>
      </c>
      <c r="C500" s="22">
        <v>10</v>
      </c>
      <c r="D500" s="2" t="s">
        <v>432</v>
      </c>
      <c r="E500" s="22"/>
      <c r="F500" s="18">
        <v>0</v>
      </c>
      <c r="G500" s="18">
        <v>0</v>
      </c>
      <c r="H500" s="18">
        <v>0</v>
      </c>
      <c r="I500" s="18">
        <v>0</v>
      </c>
      <c r="J500" s="18">
        <v>0</v>
      </c>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v>0</v>
      </c>
      <c r="G502" s="147">
        <v>0</v>
      </c>
      <c r="H502" s="147">
        <v>0</v>
      </c>
      <c r="I502" s="147">
        <v>0</v>
      </c>
      <c r="J502" s="147">
        <v>0</v>
      </c>
      <c r="K502" s="148">
        <f t="shared" si="35"/>
        <v>0</v>
      </c>
      <c r="L502" s="149" t="s">
        <v>288</v>
      </c>
      <c r="N502" s="131"/>
    </row>
    <row r="503" spans="1:14" ht="12.2" customHeight="1" thickBot="1" x14ac:dyDescent="0.25">
      <c r="A503" s="21" t="s">
        <v>625</v>
      </c>
      <c r="B503" s="22">
        <v>20</v>
      </c>
      <c r="C503" s="22">
        <v>13</v>
      </c>
      <c r="D503" s="2" t="s">
        <v>432</v>
      </c>
      <c r="E503" s="22"/>
      <c r="F503" s="18">
        <v>0</v>
      </c>
      <c r="G503" s="18">
        <v>0</v>
      </c>
      <c r="H503" s="18">
        <v>0</v>
      </c>
      <c r="I503" s="18">
        <v>0</v>
      </c>
      <c r="J503" s="18">
        <v>0</v>
      </c>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v>9511597.0199999996</v>
      </c>
      <c r="G508" s="101">
        <f>789857.95+211668.75</f>
        <v>1001526.7</v>
      </c>
      <c r="H508" s="101">
        <v>125757.63</v>
      </c>
      <c r="I508" s="101">
        <f>F508+G508-H508</f>
        <v>10387366.089999998</v>
      </c>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v>0</v>
      </c>
      <c r="G512" s="23" t="s">
        <v>288</v>
      </c>
      <c r="H512" s="18">
        <v>0</v>
      </c>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v>0</v>
      </c>
      <c r="G513" s="23" t="s">
        <v>288</v>
      </c>
      <c r="H513" s="18">
        <v>0</v>
      </c>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v>0</v>
      </c>
      <c r="G514" s="23" t="s">
        <v>288</v>
      </c>
      <c r="H514" s="18">
        <v>0</v>
      </c>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v>0</v>
      </c>
      <c r="G515" s="23" t="s">
        <v>288</v>
      </c>
      <c r="H515" s="18">
        <v>0</v>
      </c>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v>0</v>
      </c>
      <c r="G516" s="23" t="s">
        <v>288</v>
      </c>
      <c r="H516" s="18">
        <v>0</v>
      </c>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v>0</v>
      </c>
      <c r="H517" s="23" t="s">
        <v>288</v>
      </c>
      <c r="I517" s="18">
        <v>0</v>
      </c>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8631089.25</v>
      </c>
      <c r="G522" s="18">
        <v>5577838.8799999999</v>
      </c>
      <c r="H522" s="18">
        <v>4657123.25</v>
      </c>
      <c r="I522" s="18">
        <v>37454.03</v>
      </c>
      <c r="J522" s="18">
        <v>8354.92</v>
      </c>
      <c r="K522" s="18">
        <v>993.15</v>
      </c>
      <c r="L522" s="69">
        <f>SUM(F522:K522)</f>
        <v>18912853.48</v>
      </c>
      <c r="N522" s="131"/>
    </row>
    <row r="523" spans="1:14" ht="12.2" customHeight="1" x14ac:dyDescent="0.2">
      <c r="A523" s="21" t="s">
        <v>634</v>
      </c>
      <c r="B523" s="22">
        <v>21</v>
      </c>
      <c r="C523" s="22">
        <v>2</v>
      </c>
      <c r="D523" s="2" t="s">
        <v>432</v>
      </c>
      <c r="E523" s="22"/>
      <c r="F523" s="18">
        <v>4665734.01</v>
      </c>
      <c r="G523" s="18">
        <v>2480433.9500000002</v>
      </c>
      <c r="H523" s="18">
        <v>3118715.74</v>
      </c>
      <c r="I523" s="18">
        <v>16531.39</v>
      </c>
      <c r="J523" s="18">
        <v>1085.5899999999999</v>
      </c>
      <c r="K523" s="18">
        <v>588.70000000000005</v>
      </c>
      <c r="L523" s="69">
        <f>SUM(F523:K523)</f>
        <v>10283089.379999999</v>
      </c>
      <c r="N523" s="131"/>
    </row>
    <row r="524" spans="1:14" ht="12.2" customHeight="1" thickBot="1" x14ac:dyDescent="0.25">
      <c r="A524" s="21" t="s">
        <v>635</v>
      </c>
      <c r="B524" s="22">
        <v>21</v>
      </c>
      <c r="C524" s="22">
        <v>3</v>
      </c>
      <c r="D524" s="2" t="s">
        <v>432</v>
      </c>
      <c r="E524" s="22"/>
      <c r="F524" s="18">
        <v>3346885.76</v>
      </c>
      <c r="G524" s="18">
        <v>1756532.12</v>
      </c>
      <c r="H524" s="18">
        <v>5675022.5800000001</v>
      </c>
      <c r="I524" s="18">
        <v>5657.35</v>
      </c>
      <c r="J524" s="18">
        <v>1536.24</v>
      </c>
      <c r="K524" s="18">
        <v>743.15</v>
      </c>
      <c r="L524" s="69">
        <f>SUM(F524:K524)</f>
        <v>10786377.200000001</v>
      </c>
      <c r="N524" s="131"/>
    </row>
    <row r="525" spans="1:14" ht="12.2" customHeight="1" thickTop="1" x14ac:dyDescent="0.2">
      <c r="A525" s="97" t="s">
        <v>63</v>
      </c>
      <c r="B525" s="41">
        <v>21</v>
      </c>
      <c r="C525" s="41">
        <v>4</v>
      </c>
      <c r="D525" s="115" t="s">
        <v>432</v>
      </c>
      <c r="E525" s="41"/>
      <c r="F525" s="81">
        <f>SUM(F522:F524)</f>
        <v>16643709.02</v>
      </c>
      <c r="G525" s="81">
        <f t="shared" ref="G525:L525" si="36">SUM(G522:G524)</f>
        <v>9814804.9499999993</v>
      </c>
      <c r="H525" s="81">
        <f t="shared" si="36"/>
        <v>13450861.57</v>
      </c>
      <c r="I525" s="81">
        <f t="shared" si="36"/>
        <v>59642.77</v>
      </c>
      <c r="J525" s="81">
        <f t="shared" si="36"/>
        <v>10976.75</v>
      </c>
      <c r="K525" s="81">
        <f t="shared" si="36"/>
        <v>2325</v>
      </c>
      <c r="L525" s="70">
        <f t="shared" si="36"/>
        <v>39982320.060000002</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2161492</v>
      </c>
      <c r="G527" s="18">
        <v>1060661.8500000001</v>
      </c>
      <c r="H527" s="18">
        <v>1541105.11</v>
      </c>
      <c r="I527" s="18">
        <v>25634.77</v>
      </c>
      <c r="J527" s="18">
        <v>0</v>
      </c>
      <c r="K527" s="18">
        <v>0</v>
      </c>
      <c r="L527" s="69">
        <f>SUM(F527:K527)</f>
        <v>4788893.7299999995</v>
      </c>
      <c r="M527" s="8"/>
      <c r="N527" s="165"/>
    </row>
    <row r="528" spans="1:14" s="3" customFormat="1" ht="12.2" customHeight="1" x14ac:dyDescent="0.15">
      <c r="A528" s="21" t="s">
        <v>634</v>
      </c>
      <c r="B528" s="22">
        <v>21</v>
      </c>
      <c r="C528" s="22">
        <v>6</v>
      </c>
      <c r="D528" s="2" t="s">
        <v>432</v>
      </c>
      <c r="E528" s="22"/>
      <c r="F528" s="18">
        <v>344432.8</v>
      </c>
      <c r="G528" s="18">
        <v>171211.92</v>
      </c>
      <c r="H528" s="18">
        <v>708815.08</v>
      </c>
      <c r="I528" s="18">
        <v>13623.87</v>
      </c>
      <c r="J528" s="18">
        <v>0</v>
      </c>
      <c r="K528" s="18">
        <v>0</v>
      </c>
      <c r="L528" s="69">
        <f>SUM(F528:K528)</f>
        <v>1238083.67</v>
      </c>
      <c r="M528" s="8"/>
      <c r="N528" s="165"/>
    </row>
    <row r="529" spans="1:14" s="3" customFormat="1" ht="12.2" customHeight="1" thickBot="1" x14ac:dyDescent="0.2">
      <c r="A529" s="21" t="s">
        <v>635</v>
      </c>
      <c r="B529" s="22">
        <v>21</v>
      </c>
      <c r="C529" s="22">
        <v>7</v>
      </c>
      <c r="D529" s="2" t="s">
        <v>432</v>
      </c>
      <c r="E529" s="22"/>
      <c r="F529" s="18">
        <v>312324.21999999997</v>
      </c>
      <c r="G529" s="18">
        <v>163616.89000000001</v>
      </c>
      <c r="H529" s="18">
        <v>1202079.2</v>
      </c>
      <c r="I529" s="18">
        <v>28197.75</v>
      </c>
      <c r="J529" s="18">
        <v>0</v>
      </c>
      <c r="K529" s="18">
        <v>0</v>
      </c>
      <c r="L529" s="69">
        <f>SUM(F529:K529)</f>
        <v>1706218.06</v>
      </c>
      <c r="M529" s="8"/>
      <c r="N529" s="165"/>
    </row>
    <row r="530" spans="1:14" s="3" customFormat="1" ht="12.2" customHeight="1" thickTop="1" x14ac:dyDescent="0.15">
      <c r="A530" s="97" t="s">
        <v>65</v>
      </c>
      <c r="B530" s="41">
        <v>21</v>
      </c>
      <c r="C530" s="41">
        <v>8</v>
      </c>
      <c r="D530" s="115" t="s">
        <v>432</v>
      </c>
      <c r="E530" s="41"/>
      <c r="F530" s="70">
        <f>SUM(F527:F529)</f>
        <v>2818249.0199999996</v>
      </c>
      <c r="G530" s="70">
        <f t="shared" ref="G530:L530" si="37">SUM(G527:G529)</f>
        <v>1395490.6600000001</v>
      </c>
      <c r="H530" s="70">
        <f t="shared" si="37"/>
        <v>3451999.3899999997</v>
      </c>
      <c r="I530" s="70">
        <f t="shared" si="37"/>
        <v>67456.39</v>
      </c>
      <c r="J530" s="70">
        <f t="shared" si="37"/>
        <v>0</v>
      </c>
      <c r="K530" s="70">
        <f t="shared" si="37"/>
        <v>0</v>
      </c>
      <c r="L530" s="70">
        <f t="shared" si="37"/>
        <v>7733195.459999999</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172101.31</v>
      </c>
      <c r="G532" s="18">
        <v>80913.48</v>
      </c>
      <c r="H532" s="18">
        <v>45.56</v>
      </c>
      <c r="I532" s="18">
        <v>0</v>
      </c>
      <c r="J532" s="18">
        <v>0</v>
      </c>
      <c r="K532" s="18">
        <v>0</v>
      </c>
      <c r="L532" s="69">
        <f>SUM(F532:K532)</f>
        <v>253060.34999999998</v>
      </c>
      <c r="M532" s="8"/>
      <c r="N532" s="165"/>
    </row>
    <row r="533" spans="1:14" s="3" customFormat="1" ht="12.2" customHeight="1" x14ac:dyDescent="0.15">
      <c r="A533" s="21" t="s">
        <v>634</v>
      </c>
      <c r="B533" s="22">
        <v>21</v>
      </c>
      <c r="C533" s="22">
        <v>10</v>
      </c>
      <c r="D533" s="2" t="s">
        <v>432</v>
      </c>
      <c r="E533" s="22"/>
      <c r="F533" s="18">
        <v>111359.67</v>
      </c>
      <c r="G533" s="18">
        <v>52355.78</v>
      </c>
      <c r="H533" s="18">
        <v>29.48</v>
      </c>
      <c r="I533" s="18">
        <v>0</v>
      </c>
      <c r="J533" s="18">
        <v>0</v>
      </c>
      <c r="K533" s="18">
        <v>0</v>
      </c>
      <c r="L533" s="69">
        <f>SUM(F533:K533)</f>
        <v>163744.93000000002</v>
      </c>
      <c r="M533" s="8"/>
      <c r="N533" s="165"/>
    </row>
    <row r="534" spans="1:14" s="3" customFormat="1" ht="12.2" customHeight="1" thickBot="1" x14ac:dyDescent="0.2">
      <c r="A534" s="21" t="s">
        <v>635</v>
      </c>
      <c r="B534" s="22">
        <v>21</v>
      </c>
      <c r="C534" s="22">
        <v>11</v>
      </c>
      <c r="D534" s="2" t="s">
        <v>432</v>
      </c>
      <c r="E534" s="22"/>
      <c r="F534" s="18">
        <v>222719.34</v>
      </c>
      <c r="G534" s="18">
        <v>104711.56</v>
      </c>
      <c r="H534" s="18">
        <v>58.96</v>
      </c>
      <c r="I534" s="18">
        <v>0</v>
      </c>
      <c r="J534" s="18">
        <v>0</v>
      </c>
      <c r="K534" s="18">
        <v>0</v>
      </c>
      <c r="L534" s="69">
        <f>SUM(F534:K534)</f>
        <v>327489.86000000004</v>
      </c>
      <c r="M534" s="8"/>
      <c r="N534" s="165"/>
    </row>
    <row r="535" spans="1:14" s="3" customFormat="1" ht="12.2" customHeight="1" thickTop="1" x14ac:dyDescent="0.15">
      <c r="A535" s="97" t="s">
        <v>67</v>
      </c>
      <c r="B535" s="41">
        <v>21</v>
      </c>
      <c r="C535" s="41">
        <v>12</v>
      </c>
      <c r="D535" s="115" t="s">
        <v>432</v>
      </c>
      <c r="E535" s="41"/>
      <c r="F535" s="70">
        <f>SUM(F532:F534)</f>
        <v>506180.31999999995</v>
      </c>
      <c r="G535" s="70">
        <f t="shared" ref="G535:L535" si="38">SUM(G532:G534)</f>
        <v>237980.82</v>
      </c>
      <c r="H535" s="70">
        <f t="shared" si="38"/>
        <v>134</v>
      </c>
      <c r="I535" s="70">
        <f t="shared" si="38"/>
        <v>0</v>
      </c>
      <c r="J535" s="70">
        <f t="shared" si="38"/>
        <v>0</v>
      </c>
      <c r="K535" s="70">
        <f t="shared" si="38"/>
        <v>0</v>
      </c>
      <c r="L535" s="70">
        <f t="shared" si="38"/>
        <v>744295.14000000013</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v>0</v>
      </c>
      <c r="G537" s="18">
        <v>0</v>
      </c>
      <c r="H537" s="18">
        <v>21058.71</v>
      </c>
      <c r="I537" s="18">
        <v>0</v>
      </c>
      <c r="J537" s="18">
        <v>0</v>
      </c>
      <c r="K537" s="18">
        <v>0</v>
      </c>
      <c r="L537" s="69">
        <f>SUM(F537:K537)</f>
        <v>21058.71</v>
      </c>
      <c r="M537" s="8"/>
      <c r="N537" s="165"/>
    </row>
    <row r="538" spans="1:14" s="3" customFormat="1" ht="12.2" customHeight="1" x14ac:dyDescent="0.15">
      <c r="A538" s="21" t="s">
        <v>634</v>
      </c>
      <c r="B538" s="22">
        <v>21</v>
      </c>
      <c r="C538" s="22">
        <v>14</v>
      </c>
      <c r="D538" s="2" t="s">
        <v>432</v>
      </c>
      <c r="E538" s="22"/>
      <c r="F538" s="18">
        <v>0</v>
      </c>
      <c r="G538" s="18">
        <v>0</v>
      </c>
      <c r="H538" s="18">
        <v>13626.22</v>
      </c>
      <c r="I538" s="18">
        <v>0</v>
      </c>
      <c r="J538" s="18">
        <v>0</v>
      </c>
      <c r="K538" s="18">
        <v>0</v>
      </c>
      <c r="L538" s="69">
        <f>SUM(F538:K538)</f>
        <v>13626.22</v>
      </c>
      <c r="M538" s="8"/>
      <c r="N538" s="165"/>
    </row>
    <row r="539" spans="1:14" s="3" customFormat="1" ht="12.2" customHeight="1" thickBot="1" x14ac:dyDescent="0.2">
      <c r="A539" s="21" t="s">
        <v>635</v>
      </c>
      <c r="B539" s="22">
        <v>21</v>
      </c>
      <c r="C539" s="22">
        <v>15</v>
      </c>
      <c r="D539" s="2" t="s">
        <v>432</v>
      </c>
      <c r="E539" s="22"/>
      <c r="F539" s="18">
        <v>0</v>
      </c>
      <c r="G539" s="18">
        <v>0</v>
      </c>
      <c r="H539" s="18">
        <v>27252.45</v>
      </c>
      <c r="I539" s="18">
        <v>0</v>
      </c>
      <c r="J539" s="18">
        <v>0</v>
      </c>
      <c r="K539" s="18">
        <v>0</v>
      </c>
      <c r="L539" s="69">
        <f>SUM(F539:K539)</f>
        <v>27252.45</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61937.380000000005</v>
      </c>
      <c r="I540" s="70">
        <f t="shared" si="39"/>
        <v>0</v>
      </c>
      <c r="J540" s="70">
        <f t="shared" si="39"/>
        <v>0</v>
      </c>
      <c r="K540" s="70">
        <f t="shared" si="39"/>
        <v>0</v>
      </c>
      <c r="L540" s="70">
        <f t="shared" si="39"/>
        <v>61937.380000000005</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0</v>
      </c>
      <c r="G542" s="18">
        <v>0</v>
      </c>
      <c r="H542" s="18">
        <v>5041415.4000000004</v>
      </c>
      <c r="I542" s="18">
        <v>0</v>
      </c>
      <c r="J542" s="18">
        <v>0</v>
      </c>
      <c r="K542" s="18">
        <v>0</v>
      </c>
      <c r="L542" s="69">
        <f>SUM(F542:K542)</f>
        <v>5041415.4000000004</v>
      </c>
      <c r="M542" s="8"/>
      <c r="N542" s="165"/>
    </row>
    <row r="543" spans="1:14" s="3" customFormat="1" ht="12.2" customHeight="1" x14ac:dyDescent="0.15">
      <c r="A543" s="21" t="s">
        <v>634</v>
      </c>
      <c r="B543" s="22">
        <v>21</v>
      </c>
      <c r="C543" s="22">
        <v>18</v>
      </c>
      <c r="D543" s="2" t="s">
        <v>432</v>
      </c>
      <c r="E543" s="22"/>
      <c r="F543" s="18">
        <v>0</v>
      </c>
      <c r="G543" s="18">
        <v>0</v>
      </c>
      <c r="H543" s="18">
        <v>2391442.04</v>
      </c>
      <c r="I543" s="18">
        <v>0</v>
      </c>
      <c r="J543" s="18">
        <v>0</v>
      </c>
      <c r="K543" s="18">
        <v>0</v>
      </c>
      <c r="L543" s="69">
        <f>SUM(F543:K543)</f>
        <v>2391442.04</v>
      </c>
      <c r="M543" s="8"/>
      <c r="N543" s="165"/>
    </row>
    <row r="544" spans="1:14" s="3" customFormat="1" ht="12.2" customHeight="1" thickBot="1" x14ac:dyDescent="0.2">
      <c r="A544" s="21" t="s">
        <v>635</v>
      </c>
      <c r="B544" s="22">
        <v>21</v>
      </c>
      <c r="C544" s="22">
        <v>19</v>
      </c>
      <c r="D544" s="2" t="s">
        <v>432</v>
      </c>
      <c r="E544" s="22"/>
      <c r="F544" s="18">
        <v>0</v>
      </c>
      <c r="G544" s="18">
        <v>0</v>
      </c>
      <c r="H544" s="18">
        <v>2692269.34</v>
      </c>
      <c r="I544" s="18">
        <v>0</v>
      </c>
      <c r="J544" s="18">
        <v>0</v>
      </c>
      <c r="K544" s="18">
        <v>0</v>
      </c>
      <c r="L544" s="69">
        <f>SUM(F544:K544)</f>
        <v>2692269.34</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10125126.780000001</v>
      </c>
      <c r="I545" s="141">
        <f t="shared" si="40"/>
        <v>0</v>
      </c>
      <c r="J545" s="141">
        <f t="shared" si="40"/>
        <v>0</v>
      </c>
      <c r="K545" s="141">
        <f t="shared" si="40"/>
        <v>0</v>
      </c>
      <c r="L545" s="141">
        <f t="shared" si="40"/>
        <v>10125126.780000001</v>
      </c>
      <c r="M545" s="8"/>
      <c r="N545" s="165"/>
    </row>
    <row r="546" spans="1:14" s="3" customFormat="1" ht="12.2" customHeight="1" thickTop="1" x14ac:dyDescent="0.15">
      <c r="A546" s="75" t="s">
        <v>72</v>
      </c>
      <c r="B546" s="41">
        <v>21</v>
      </c>
      <c r="C546" s="41">
        <v>21</v>
      </c>
      <c r="D546" s="115" t="s">
        <v>432</v>
      </c>
      <c r="E546" s="41"/>
      <c r="F546" s="70">
        <f>F525+F530+F535+F540+F545</f>
        <v>19968138.359999999</v>
      </c>
      <c r="G546" s="70">
        <f t="shared" ref="G546:L546" si="41">G525+G530+G535+G540+G545</f>
        <v>11448276.43</v>
      </c>
      <c r="H546" s="70">
        <f t="shared" si="41"/>
        <v>27090059.120000001</v>
      </c>
      <c r="I546" s="70">
        <f t="shared" si="41"/>
        <v>127099.16</v>
      </c>
      <c r="J546" s="70">
        <f t="shared" si="41"/>
        <v>10976.75</v>
      </c>
      <c r="K546" s="70">
        <f t="shared" si="41"/>
        <v>2325</v>
      </c>
      <c r="L546" s="70">
        <f t="shared" si="41"/>
        <v>58646874.820000008</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18912853.48</v>
      </c>
      <c r="G550" s="69">
        <f>L527</f>
        <v>4788893.7299999995</v>
      </c>
      <c r="H550" s="69">
        <f>L532</f>
        <v>253060.34999999998</v>
      </c>
      <c r="I550" s="69">
        <f>L537</f>
        <v>21058.71</v>
      </c>
      <c r="J550" s="69">
        <f>L542</f>
        <v>5041415.4000000004</v>
      </c>
      <c r="K550" s="69">
        <f>SUM(F550:J550)</f>
        <v>29017281.670000002</v>
      </c>
      <c r="L550" s="23" t="s">
        <v>288</v>
      </c>
      <c r="M550" s="8"/>
      <c r="N550" s="165"/>
    </row>
    <row r="551" spans="1:14" s="3" customFormat="1" ht="12.2" customHeight="1" x14ac:dyDescent="0.15">
      <c r="A551" s="21" t="s">
        <v>634</v>
      </c>
      <c r="B551" s="22">
        <v>21</v>
      </c>
      <c r="C551" s="22">
        <v>23</v>
      </c>
      <c r="D551" s="2" t="s">
        <v>432</v>
      </c>
      <c r="E551" s="22"/>
      <c r="F551" s="69">
        <f>L523</f>
        <v>10283089.379999999</v>
      </c>
      <c r="G551" s="69">
        <f>L528</f>
        <v>1238083.67</v>
      </c>
      <c r="H551" s="69">
        <f>L533</f>
        <v>163744.93000000002</v>
      </c>
      <c r="I551" s="69">
        <f>L538</f>
        <v>13626.22</v>
      </c>
      <c r="J551" s="69">
        <f>L543</f>
        <v>2391442.04</v>
      </c>
      <c r="K551" s="69">
        <f>SUM(F551:J551)</f>
        <v>14089986.239999998</v>
      </c>
      <c r="L551" s="23" t="s">
        <v>288</v>
      </c>
      <c r="M551" s="8"/>
      <c r="N551" s="165"/>
    </row>
    <row r="552" spans="1:14" s="3" customFormat="1" ht="12.2" customHeight="1" thickBot="1" x14ac:dyDescent="0.2">
      <c r="A552" s="21" t="s">
        <v>635</v>
      </c>
      <c r="B552" s="22">
        <v>21</v>
      </c>
      <c r="C552" s="22">
        <v>24</v>
      </c>
      <c r="D552" s="2" t="s">
        <v>432</v>
      </c>
      <c r="E552" s="22"/>
      <c r="F552" s="69">
        <f>L524</f>
        <v>10786377.200000001</v>
      </c>
      <c r="G552" s="69">
        <f>L529</f>
        <v>1706218.06</v>
      </c>
      <c r="H552" s="69">
        <f>L534</f>
        <v>327489.86000000004</v>
      </c>
      <c r="I552" s="69">
        <f>L539</f>
        <v>27252.45</v>
      </c>
      <c r="J552" s="69">
        <f>L544</f>
        <v>2692269.34</v>
      </c>
      <c r="K552" s="69">
        <f>SUM(F552:J552)</f>
        <v>15539606.91</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39982320.060000002</v>
      </c>
      <c r="G553" s="70">
        <f t="shared" si="42"/>
        <v>7733195.459999999</v>
      </c>
      <c r="H553" s="70">
        <f t="shared" si="42"/>
        <v>744295.14000000013</v>
      </c>
      <c r="I553" s="70">
        <f t="shared" si="42"/>
        <v>61937.380000000005</v>
      </c>
      <c r="J553" s="70">
        <f t="shared" si="42"/>
        <v>10125126.780000001</v>
      </c>
      <c r="K553" s="70">
        <f t="shared" si="42"/>
        <v>58646874.819999993</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v>4209505.5999999996</v>
      </c>
      <c r="G558" s="18">
        <v>2210294.56</v>
      </c>
      <c r="H558" s="18">
        <v>452316.03</v>
      </c>
      <c r="I558" s="18">
        <v>976823.04</v>
      </c>
      <c r="J558" s="18">
        <v>328930.55</v>
      </c>
      <c r="K558" s="18">
        <v>0</v>
      </c>
      <c r="L558" s="69">
        <f>SUM(F558:K558)</f>
        <v>8177869.7800000003</v>
      </c>
      <c r="M558" s="8"/>
      <c r="N558" s="165"/>
    </row>
    <row r="559" spans="1:14" s="3" customFormat="1" ht="12.2" customHeight="1" x14ac:dyDescent="0.15">
      <c r="A559" s="21" t="s">
        <v>634</v>
      </c>
      <c r="B559" s="22">
        <v>22</v>
      </c>
      <c r="C559" s="22">
        <v>2</v>
      </c>
      <c r="D559" s="2" t="s">
        <v>432</v>
      </c>
      <c r="E559" s="22"/>
      <c r="F559" s="18">
        <v>0</v>
      </c>
      <c r="G559" s="18">
        <v>0</v>
      </c>
      <c r="H559" s="18">
        <v>0</v>
      </c>
      <c r="I559" s="18">
        <v>0</v>
      </c>
      <c r="J559" s="18">
        <v>0</v>
      </c>
      <c r="K559" s="18">
        <v>0</v>
      </c>
      <c r="L559" s="69">
        <f>SUM(F559:K559)</f>
        <v>0</v>
      </c>
      <c r="M559" s="8"/>
      <c r="N559" s="165"/>
    </row>
    <row r="560" spans="1:14" s="3" customFormat="1" ht="12.2" customHeight="1" thickBot="1" x14ac:dyDescent="0.2">
      <c r="A560" s="21" t="s">
        <v>635</v>
      </c>
      <c r="B560" s="22">
        <v>22</v>
      </c>
      <c r="C560" s="22">
        <v>3</v>
      </c>
      <c r="D560" s="2" t="s">
        <v>432</v>
      </c>
      <c r="E560" s="22"/>
      <c r="F560" s="18">
        <v>108999.08</v>
      </c>
      <c r="G560" s="18">
        <v>45979.61</v>
      </c>
      <c r="H560" s="18">
        <v>6772.13</v>
      </c>
      <c r="I560" s="18">
        <v>601.20000000000005</v>
      </c>
      <c r="J560" s="18">
        <v>128799.27</v>
      </c>
      <c r="K560" s="18">
        <v>0</v>
      </c>
      <c r="L560" s="69">
        <f>SUM(F560:K560)</f>
        <v>291151.29000000004</v>
      </c>
      <c r="M560" s="8"/>
      <c r="N560" s="165"/>
    </row>
    <row r="561" spans="1:14" s="3" customFormat="1" ht="12.2" customHeight="1" thickTop="1" x14ac:dyDescent="0.15">
      <c r="A561" s="97" t="s">
        <v>63</v>
      </c>
      <c r="B561" s="41">
        <v>22</v>
      </c>
      <c r="C561" s="41">
        <v>4</v>
      </c>
      <c r="D561" s="115" t="s">
        <v>432</v>
      </c>
      <c r="E561" s="41"/>
      <c r="F561" s="81">
        <f t="shared" ref="F561:L561" si="43">SUM(F558:F560)</f>
        <v>4318504.68</v>
      </c>
      <c r="G561" s="81">
        <f t="shared" si="43"/>
        <v>2256274.17</v>
      </c>
      <c r="H561" s="81">
        <f t="shared" si="43"/>
        <v>459088.16000000003</v>
      </c>
      <c r="I561" s="81">
        <f t="shared" si="43"/>
        <v>977424.24</v>
      </c>
      <c r="J561" s="81">
        <f t="shared" si="43"/>
        <v>457729.82</v>
      </c>
      <c r="K561" s="81">
        <f t="shared" si="43"/>
        <v>0</v>
      </c>
      <c r="L561" s="70">
        <f t="shared" si="43"/>
        <v>8469021.0700000003</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2006025.79</v>
      </c>
      <c r="G563" s="18">
        <v>1108945.1100000001</v>
      </c>
      <c r="H563" s="18">
        <v>67059.039999999994</v>
      </c>
      <c r="I563" s="18">
        <v>110499.09</v>
      </c>
      <c r="J563" s="18">
        <v>939.83</v>
      </c>
      <c r="K563" s="18">
        <v>48.25</v>
      </c>
      <c r="L563" s="69">
        <f>SUM(F563:K563)</f>
        <v>3293517.1100000003</v>
      </c>
      <c r="M563" s="8"/>
      <c r="N563" s="165"/>
    </row>
    <row r="564" spans="1:14" s="3" customFormat="1" ht="12.2" customHeight="1" x14ac:dyDescent="0.15">
      <c r="A564" s="21" t="s">
        <v>634</v>
      </c>
      <c r="B564" s="22">
        <v>22</v>
      </c>
      <c r="C564" s="22">
        <v>6</v>
      </c>
      <c r="D564" s="2" t="s">
        <v>432</v>
      </c>
      <c r="E564" s="22"/>
      <c r="F564" s="18">
        <v>1203297.94</v>
      </c>
      <c r="G564" s="18">
        <v>575075.83999999997</v>
      </c>
      <c r="H564" s="18">
        <v>35171.1</v>
      </c>
      <c r="I564" s="18">
        <v>62776.52</v>
      </c>
      <c r="J564" s="18">
        <v>535.58000000000004</v>
      </c>
      <c r="K564" s="18">
        <v>0</v>
      </c>
      <c r="L564" s="69">
        <f>SUM(F564:K564)</f>
        <v>1876856.98</v>
      </c>
      <c r="M564" s="8"/>
      <c r="N564" s="165"/>
    </row>
    <row r="565" spans="1:14" s="3" customFormat="1" ht="12.2" customHeight="1" thickBot="1" x14ac:dyDescent="0.2">
      <c r="A565" s="21" t="s">
        <v>635</v>
      </c>
      <c r="B565" s="22">
        <v>22</v>
      </c>
      <c r="C565" s="22">
        <v>7</v>
      </c>
      <c r="D565" s="2" t="s">
        <v>432</v>
      </c>
      <c r="E565" s="22"/>
      <c r="F565" s="18">
        <v>1046736.47</v>
      </c>
      <c r="G565" s="18">
        <v>508322.88</v>
      </c>
      <c r="H565" s="18">
        <v>27236.34</v>
      </c>
      <c r="I565" s="18">
        <v>59029.03</v>
      </c>
      <c r="J565" s="18">
        <v>468.5</v>
      </c>
      <c r="K565" s="18">
        <v>0</v>
      </c>
      <c r="L565" s="69">
        <f>SUM(F565:K565)</f>
        <v>1641793.2200000002</v>
      </c>
      <c r="M565" s="8"/>
      <c r="N565" s="165"/>
    </row>
    <row r="566" spans="1:14" s="3" customFormat="1" ht="12.2" customHeight="1" thickTop="1" x14ac:dyDescent="0.15">
      <c r="A566" s="97" t="s">
        <v>65</v>
      </c>
      <c r="B566" s="41">
        <v>22</v>
      </c>
      <c r="C566" s="41">
        <v>8</v>
      </c>
      <c r="D566" s="115" t="s">
        <v>432</v>
      </c>
      <c r="E566" s="41"/>
      <c r="F566" s="70">
        <f t="shared" ref="F566:L566" si="44">SUM(F563:F565)</f>
        <v>4256060.2</v>
      </c>
      <c r="G566" s="70">
        <f t="shared" si="44"/>
        <v>2192343.83</v>
      </c>
      <c r="H566" s="70">
        <f t="shared" si="44"/>
        <v>129466.47999999998</v>
      </c>
      <c r="I566" s="70">
        <f t="shared" si="44"/>
        <v>232304.63999999998</v>
      </c>
      <c r="J566" s="70">
        <f t="shared" si="44"/>
        <v>1943.91</v>
      </c>
      <c r="K566" s="70">
        <f t="shared" si="44"/>
        <v>48.25</v>
      </c>
      <c r="L566" s="70">
        <f t="shared" si="44"/>
        <v>6812167.3100000005</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5"/>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5"/>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8574564.879999999</v>
      </c>
      <c r="G572" s="70">
        <f t="shared" ref="G572:L572" si="46">G561+G566+G571</f>
        <v>4448618</v>
      </c>
      <c r="H572" s="70">
        <f t="shared" si="46"/>
        <v>588554.64</v>
      </c>
      <c r="I572" s="70">
        <f t="shared" si="46"/>
        <v>1209728.8799999999</v>
      </c>
      <c r="J572" s="70">
        <f t="shared" si="46"/>
        <v>459673.73</v>
      </c>
      <c r="K572" s="70">
        <f t="shared" si="46"/>
        <v>48.25</v>
      </c>
      <c r="L572" s="70">
        <f t="shared" si="46"/>
        <v>15281188.380000001</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0</v>
      </c>
      <c r="G576" s="18">
        <v>0</v>
      </c>
      <c r="H576" s="18">
        <v>0</v>
      </c>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v>0</v>
      </c>
      <c r="G577" s="18">
        <v>0</v>
      </c>
      <c r="H577" s="18">
        <v>0</v>
      </c>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v>0</v>
      </c>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v>0</v>
      </c>
      <c r="G579" s="18">
        <v>0</v>
      </c>
      <c r="H579" s="18">
        <v>3553.48</v>
      </c>
      <c r="I579" s="69">
        <f t="shared" si="47"/>
        <v>3553.48</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f>17125.26+304611.12</f>
        <v>321736.38</v>
      </c>
      <c r="G580" s="18">
        <v>150032.34</v>
      </c>
      <c r="H580" s="18">
        <v>26723.02</v>
      </c>
      <c r="I580" s="69">
        <f t="shared" si="47"/>
        <v>498491.74</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v>0</v>
      </c>
      <c r="G581" s="18">
        <v>0</v>
      </c>
      <c r="H581" s="18">
        <v>0</v>
      </c>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v>0</v>
      </c>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f>331142.92+333932.47</f>
        <v>665075.3899999999</v>
      </c>
      <c r="G583" s="18">
        <f>987171.62+294907.18</f>
        <v>1282078.8</v>
      </c>
      <c r="H583" s="18">
        <f>2471420.78+434643.47-8710.52</f>
        <v>2897353.73</v>
      </c>
      <c r="I583" s="69">
        <f t="shared" si="47"/>
        <v>4844507.92</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v>0</v>
      </c>
      <c r="G584" s="18">
        <v>0</v>
      </c>
      <c r="H584" s="18">
        <v>0</v>
      </c>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v>0</v>
      </c>
      <c r="G585" s="18">
        <v>0</v>
      </c>
      <c r="H585" s="18">
        <v>0</v>
      </c>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v>0</v>
      </c>
      <c r="G586" s="18">
        <v>0</v>
      </c>
      <c r="H586" s="18">
        <v>0</v>
      </c>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v>0</v>
      </c>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v>0</v>
      </c>
      <c r="G588" s="18">
        <v>0</v>
      </c>
      <c r="H588" s="18">
        <v>0</v>
      </c>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642882.5</v>
      </c>
      <c r="I592" s="18">
        <v>1269370.27</v>
      </c>
      <c r="J592" s="18">
        <v>816278.16</v>
      </c>
      <c r="K592" s="80">
        <f t="shared" ref="K592:K598" si="48">SUM(H592:J592)</f>
        <v>2728530.93</v>
      </c>
      <c r="L592" s="23" t="s">
        <v>288</v>
      </c>
      <c r="M592" s="8"/>
      <c r="N592" s="165"/>
    </row>
    <row r="593" spans="1:14" s="3" customFormat="1" ht="12.2" customHeight="1" x14ac:dyDescent="0.15">
      <c r="A593" s="3" t="s">
        <v>638</v>
      </c>
      <c r="B593" s="22">
        <v>23</v>
      </c>
      <c r="C593" s="22">
        <v>2</v>
      </c>
      <c r="D593" s="2" t="s">
        <v>432</v>
      </c>
      <c r="E593" s="22"/>
      <c r="F593" s="78">
        <v>2722</v>
      </c>
      <c r="G593" s="79" t="s">
        <v>97</v>
      </c>
      <c r="H593" s="18">
        <v>5031003.74</v>
      </c>
      <c r="I593" s="18">
        <v>2392187.4899999998</v>
      </c>
      <c r="J593" s="18">
        <v>2701935.5500000003</v>
      </c>
      <c r="K593" s="80">
        <f t="shared" si="48"/>
        <v>10125126.780000001</v>
      </c>
      <c r="L593" s="23" t="s">
        <v>288</v>
      </c>
      <c r="M593" s="8"/>
      <c r="N593" s="165"/>
    </row>
    <row r="594" spans="1:14" s="3" customFormat="1" ht="12.2" customHeight="1" x14ac:dyDescent="0.15">
      <c r="A594" s="3" t="s">
        <v>639</v>
      </c>
      <c r="B594" s="22">
        <v>23</v>
      </c>
      <c r="C594" s="22">
        <v>3</v>
      </c>
      <c r="D594" s="2" t="s">
        <v>432</v>
      </c>
      <c r="E594" s="22"/>
      <c r="F594" s="78">
        <v>2723</v>
      </c>
      <c r="G594" s="79" t="s">
        <v>97</v>
      </c>
      <c r="H594" s="18">
        <v>0</v>
      </c>
      <c r="I594" s="18">
        <v>0</v>
      </c>
      <c r="J594" s="18">
        <v>0</v>
      </c>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1215.24</v>
      </c>
      <c r="I595" s="18">
        <v>28540.12</v>
      </c>
      <c r="J595" s="18">
        <v>122980.92</v>
      </c>
      <c r="K595" s="80">
        <f t="shared" si="48"/>
        <v>152736.28</v>
      </c>
      <c r="L595" s="23" t="s">
        <v>288</v>
      </c>
      <c r="M595" s="8"/>
      <c r="N595" s="165"/>
    </row>
    <row r="596" spans="1:14" s="3" customFormat="1" ht="12.2" customHeight="1" x14ac:dyDescent="0.15">
      <c r="A596" s="103" t="s">
        <v>652</v>
      </c>
      <c r="B596" s="22">
        <v>23</v>
      </c>
      <c r="C596" s="22">
        <v>5</v>
      </c>
      <c r="D596" s="2" t="s">
        <v>432</v>
      </c>
      <c r="E596" s="22"/>
      <c r="F596" s="78">
        <v>2725</v>
      </c>
      <c r="G596" s="79" t="s">
        <v>97</v>
      </c>
      <c r="H596" s="18">
        <v>3027.3</v>
      </c>
      <c r="I596" s="18">
        <v>1835.16</v>
      </c>
      <c r="J596" s="18">
        <v>1810.84</v>
      </c>
      <c r="K596" s="80">
        <f t="shared" si="48"/>
        <v>6673.3</v>
      </c>
      <c r="L596" s="23" t="s">
        <v>288</v>
      </c>
      <c r="M596" s="8"/>
      <c r="N596" s="165"/>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0</v>
      </c>
      <c r="I598" s="18">
        <v>0</v>
      </c>
      <c r="J598" s="18">
        <v>0</v>
      </c>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5678128.7800000003</v>
      </c>
      <c r="I599" s="81">
        <f>SUM(I592:I598)</f>
        <v>3691933.04</v>
      </c>
      <c r="J599" s="81">
        <f>SUM(J592:J598)</f>
        <v>3643005.47</v>
      </c>
      <c r="K599" s="81">
        <f>SUM(K592:K598)</f>
        <v>13013067.290000001</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v>9678291.1300000008</v>
      </c>
      <c r="I604" s="18">
        <v>762687</v>
      </c>
      <c r="J604" s="18">
        <v>2669885.5099999998</v>
      </c>
      <c r="K604" s="80">
        <f>SUM(H604:J604)</f>
        <v>13110863.640000001</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660492.80000000005</v>
      </c>
      <c r="I605" s="18">
        <v>320708.56</v>
      </c>
      <c r="J605" s="18">
        <v>1328345.5</v>
      </c>
      <c r="K605" s="80">
        <f>SUM(H605:J605)</f>
        <v>2309546.8600000003</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10338783.930000002</v>
      </c>
      <c r="I606" s="81">
        <f>SUM(I603:I605)</f>
        <v>1083395.56</v>
      </c>
      <c r="J606" s="81">
        <f>SUM(J603:J605)</f>
        <v>3998231.01</v>
      </c>
      <c r="K606" s="81">
        <f>SUM(K603:K605)</f>
        <v>15420410.5</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58852.55</v>
      </c>
      <c r="G612" s="18">
        <v>17507.89</v>
      </c>
      <c r="H612" s="18">
        <v>121882.05</v>
      </c>
      <c r="I612" s="18">
        <v>797.42</v>
      </c>
      <c r="J612" s="18">
        <v>0</v>
      </c>
      <c r="K612" s="18">
        <v>0</v>
      </c>
      <c r="L612" s="69">
        <f>SUM(F612:K612)</f>
        <v>199039.91</v>
      </c>
      <c r="M612" s="8"/>
      <c r="N612" s="165"/>
    </row>
    <row r="613" spans="1:14" s="3" customFormat="1" ht="12.2" customHeight="1" x14ac:dyDescent="0.15">
      <c r="A613" s="21" t="s">
        <v>634</v>
      </c>
      <c r="B613" s="22">
        <v>23</v>
      </c>
      <c r="C613" s="22">
        <v>14</v>
      </c>
      <c r="D613" s="2" t="s">
        <v>432</v>
      </c>
      <c r="E613" s="22"/>
      <c r="F613" s="18">
        <v>26848.87</v>
      </c>
      <c r="G613" s="18">
        <v>8222.34</v>
      </c>
      <c r="H613" s="18">
        <v>76631.06</v>
      </c>
      <c r="I613" s="18">
        <v>449.31</v>
      </c>
      <c r="J613" s="18">
        <v>0</v>
      </c>
      <c r="K613" s="18">
        <v>0</v>
      </c>
      <c r="L613" s="69">
        <f>SUM(F613:K613)</f>
        <v>112151.57999999999</v>
      </c>
      <c r="M613" s="8"/>
      <c r="N613" s="165"/>
    </row>
    <row r="614" spans="1:14" s="3" customFormat="1" ht="12.2" customHeight="1" thickBot="1" x14ac:dyDescent="0.2">
      <c r="A614" s="21" t="s">
        <v>645</v>
      </c>
      <c r="B614" s="22">
        <v>23</v>
      </c>
      <c r="C614" s="22">
        <v>15</v>
      </c>
      <c r="D614" s="2" t="s">
        <v>432</v>
      </c>
      <c r="E614" s="22"/>
      <c r="F614" s="18">
        <v>891.6</v>
      </c>
      <c r="G614" s="18">
        <v>379.02</v>
      </c>
      <c r="H614" s="18">
        <v>160146.66</v>
      </c>
      <c r="I614" s="18">
        <v>414.33</v>
      </c>
      <c r="J614" s="18">
        <v>0</v>
      </c>
      <c r="K614" s="18">
        <v>0</v>
      </c>
      <c r="L614" s="69">
        <f>SUM(F614:K614)</f>
        <v>161831.60999999999</v>
      </c>
      <c r="M614" s="8"/>
      <c r="N614" s="165"/>
    </row>
    <row r="615" spans="1:14" s="3" customFormat="1" ht="12.2" customHeight="1" thickTop="1" x14ac:dyDescent="0.15">
      <c r="A615" s="75" t="s">
        <v>340</v>
      </c>
      <c r="B615" s="41">
        <v>23</v>
      </c>
      <c r="C615" s="41">
        <v>16</v>
      </c>
      <c r="D615" s="36" t="s">
        <v>432</v>
      </c>
      <c r="E615" s="41"/>
      <c r="F615" s="81">
        <f t="shared" ref="F615:L615" si="49">SUM(F612:F614)</f>
        <v>86593.02</v>
      </c>
      <c r="G615" s="81">
        <f t="shared" si="49"/>
        <v>26109.25</v>
      </c>
      <c r="H615" s="81">
        <f t="shared" si="49"/>
        <v>358659.77</v>
      </c>
      <c r="I615" s="81">
        <f t="shared" si="49"/>
        <v>1661.06</v>
      </c>
      <c r="J615" s="81">
        <f t="shared" si="49"/>
        <v>0</v>
      </c>
      <c r="K615" s="81">
        <f t="shared" si="49"/>
        <v>0</v>
      </c>
      <c r="L615" s="70">
        <f t="shared" si="49"/>
        <v>473023.1</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59987435.699999996</v>
      </c>
      <c r="H618" s="80">
        <f>SUM(F52)</f>
        <v>59987435.700000003</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1622642.33</v>
      </c>
      <c r="H619" s="80">
        <f>SUM(G52)</f>
        <v>1622642.33</v>
      </c>
      <c r="I619" s="87" t="s">
        <v>875</v>
      </c>
      <c r="J619" s="80">
        <f>G619-H619</f>
        <v>0</v>
      </c>
      <c r="K619" s="80"/>
      <c r="L619" s="80"/>
      <c r="M619" s="8"/>
    </row>
    <row r="620" spans="1:14" s="3" customFormat="1" ht="12.2" customHeight="1" x14ac:dyDescent="0.15">
      <c r="A620" s="74"/>
      <c r="B620" s="22"/>
      <c r="C620" s="22"/>
      <c r="D620" s="22"/>
      <c r="E620" s="22"/>
      <c r="F620" s="87" t="s">
        <v>685</v>
      </c>
      <c r="G620" s="80">
        <f>SUM(H19)</f>
        <v>9811977.9199999999</v>
      </c>
      <c r="H620" s="80">
        <f>SUM(H52)</f>
        <v>9811977.9199999999</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31279900.739999998</v>
      </c>
      <c r="H622" s="80">
        <f>SUM(J52)</f>
        <v>31279900.739999998</v>
      </c>
      <c r="I622" s="87" t="s">
        <v>878</v>
      </c>
      <c r="J622" s="80">
        <f>G622-H622</f>
        <v>0</v>
      </c>
      <c r="K622" s="80"/>
      <c r="L622" s="80"/>
      <c r="M622" s="8"/>
    </row>
    <row r="623" spans="1:14" s="3" customFormat="1" ht="12.2" customHeight="1" x14ac:dyDescent="0.15">
      <c r="A623" s="74"/>
      <c r="B623" s="22"/>
      <c r="C623" s="22"/>
      <c r="D623" s="22"/>
      <c r="E623" s="22"/>
      <c r="F623" s="87" t="s">
        <v>864</v>
      </c>
      <c r="G623" s="80">
        <f>F51</f>
        <v>1743911.67</v>
      </c>
      <c r="H623" s="80">
        <f>F477</f>
        <v>1743911.6700000167</v>
      </c>
      <c r="I623" s="87" t="s">
        <v>101</v>
      </c>
      <c r="J623" s="80">
        <f t="shared" ref="J623:J656" si="50">G623-H623</f>
        <v>-1.6763806343078613E-8</v>
      </c>
      <c r="K623" s="80"/>
      <c r="L623" s="80"/>
      <c r="M623" s="8"/>
    </row>
    <row r="624" spans="1:14" s="3" customFormat="1" ht="12.2" customHeight="1" x14ac:dyDescent="0.15">
      <c r="A624" s="74"/>
      <c r="B624" s="22"/>
      <c r="C624" s="85"/>
      <c r="D624" s="85"/>
      <c r="E624" s="85"/>
      <c r="F624" s="85" t="s">
        <v>865</v>
      </c>
      <c r="G624" s="80">
        <f>G51</f>
        <v>1097465.3899999999</v>
      </c>
      <c r="H624" s="80">
        <f>G477</f>
        <v>1097465.3899999997</v>
      </c>
      <c r="I624" s="87" t="s">
        <v>102</v>
      </c>
      <c r="J624" s="80">
        <f t="shared" si="50"/>
        <v>0</v>
      </c>
      <c r="K624" s="80"/>
      <c r="L624" s="80"/>
      <c r="M624" s="8"/>
    </row>
    <row r="625" spans="1:13" s="3" customFormat="1" ht="12.2" customHeight="1" x14ac:dyDescent="0.15">
      <c r="A625" s="74"/>
      <c r="B625" s="22"/>
      <c r="C625" s="22"/>
      <c r="D625" s="22"/>
      <c r="E625" s="22"/>
      <c r="F625" s="86" t="s">
        <v>866</v>
      </c>
      <c r="G625" s="80">
        <f>H51</f>
        <v>560686.06000000006</v>
      </c>
      <c r="H625" s="80">
        <f>H477</f>
        <v>560686.06000000983</v>
      </c>
      <c r="I625" s="87" t="s">
        <v>103</v>
      </c>
      <c r="J625" s="80">
        <f t="shared" si="50"/>
        <v>-9.7788870334625244E-9</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31279900.739999998</v>
      </c>
      <c r="H627" s="80">
        <f>J477</f>
        <v>31279900.739999998</v>
      </c>
      <c r="I627" s="87" t="s">
        <v>105</v>
      </c>
      <c r="J627" s="80">
        <f t="shared" si="50"/>
        <v>0</v>
      </c>
      <c r="K627" s="67"/>
      <c r="L627" s="69"/>
      <c r="M627" s="8"/>
    </row>
    <row r="628" spans="1:13" s="3" customFormat="1" ht="12.2" customHeight="1" x14ac:dyDescent="0.15">
      <c r="A628" s="21"/>
      <c r="B628" s="22"/>
      <c r="C628" s="22"/>
      <c r="D628" s="22"/>
      <c r="E628" s="22"/>
      <c r="F628" s="86" t="s">
        <v>658</v>
      </c>
      <c r="G628" s="80">
        <f>F194</f>
        <v>193668253.90999997</v>
      </c>
      <c r="H628" s="80">
        <f>SUM(F469)</f>
        <v>193668253.91</v>
      </c>
      <c r="I628" s="87" t="s">
        <v>106</v>
      </c>
      <c r="J628" s="80">
        <f>G628-H628</f>
        <v>0</v>
      </c>
      <c r="K628" s="67"/>
      <c r="L628" s="69"/>
      <c r="M628" s="8"/>
    </row>
    <row r="629" spans="1:13" s="3" customFormat="1" ht="12.2" customHeight="1" x14ac:dyDescent="0.15">
      <c r="A629" s="21"/>
      <c r="B629" s="22"/>
      <c r="C629" s="22"/>
      <c r="D629" s="22"/>
      <c r="E629" s="22"/>
      <c r="F629" s="86" t="s">
        <v>659</v>
      </c>
      <c r="G629" s="80">
        <f>G194</f>
        <v>5517805.209999999</v>
      </c>
      <c r="H629" s="80">
        <f>SUM(G469)</f>
        <v>5517805.21</v>
      </c>
      <c r="I629" s="87" t="s">
        <v>107</v>
      </c>
      <c r="J629" s="80">
        <f>G629-H629</f>
        <v>0</v>
      </c>
      <c r="K629" s="67"/>
      <c r="L629" s="69"/>
      <c r="M629" s="8"/>
    </row>
    <row r="630" spans="1:13" s="3" customFormat="1" ht="12.2" customHeight="1" x14ac:dyDescent="0.15">
      <c r="A630" s="21"/>
      <c r="B630" s="22"/>
      <c r="C630" s="22"/>
      <c r="D630" s="22"/>
      <c r="E630" s="22"/>
      <c r="F630" s="86" t="s">
        <v>660</v>
      </c>
      <c r="G630" s="80">
        <f>H194</f>
        <v>52063484.210000001</v>
      </c>
      <c r="H630" s="80">
        <f>SUM(H469)</f>
        <v>52063484.210000001</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4740530.16</v>
      </c>
      <c r="H632" s="80">
        <f>SUM(J469)</f>
        <v>4740530.16</v>
      </c>
      <c r="I632" s="87" t="s">
        <v>110</v>
      </c>
      <c r="J632" s="80">
        <f>G632-H632</f>
        <v>0</v>
      </c>
      <c r="K632" s="67"/>
      <c r="L632" s="69"/>
      <c r="M632" s="8"/>
    </row>
    <row r="633" spans="1:13" s="3" customFormat="1" ht="12.2" customHeight="1" x14ac:dyDescent="0.15">
      <c r="A633" s="21"/>
      <c r="B633" s="22"/>
      <c r="C633" s="22"/>
      <c r="D633" s="22"/>
      <c r="E633" s="22"/>
      <c r="F633" s="86" t="s">
        <v>394</v>
      </c>
      <c r="G633" s="80">
        <f>SUM(L272)</f>
        <v>193512204.98999995</v>
      </c>
      <c r="H633" s="80">
        <f>SUM(F473)</f>
        <v>193512204.99000001</v>
      </c>
      <c r="I633" s="87" t="s">
        <v>111</v>
      </c>
      <c r="J633" s="80">
        <f t="shared" si="50"/>
        <v>0</v>
      </c>
      <c r="K633" s="67"/>
      <c r="L633" s="69"/>
      <c r="M633" s="8"/>
    </row>
    <row r="634" spans="1:13" s="3" customFormat="1" ht="12.2" customHeight="1" x14ac:dyDescent="0.15">
      <c r="A634" s="21"/>
      <c r="B634" s="22"/>
      <c r="C634" s="22"/>
      <c r="D634" s="22"/>
      <c r="E634" s="22"/>
      <c r="F634" s="86" t="s">
        <v>395</v>
      </c>
      <c r="G634" s="80">
        <f>SUM(L353)</f>
        <v>52015058.420000009</v>
      </c>
      <c r="H634" s="80">
        <f>SUM(H473)</f>
        <v>52015058.419999994</v>
      </c>
      <c r="I634" s="87" t="s">
        <v>112</v>
      </c>
      <c r="J634" s="80">
        <f>G634-H634</f>
        <v>0</v>
      </c>
      <c r="K634" s="67"/>
      <c r="L634" s="69"/>
      <c r="M634" s="8"/>
    </row>
    <row r="635" spans="1:13" s="124" customFormat="1" ht="12.2" customHeight="1" x14ac:dyDescent="0.15">
      <c r="A635" s="21"/>
      <c r="B635" s="22"/>
      <c r="C635" s="22"/>
      <c r="D635" s="22"/>
      <c r="E635" s="22"/>
      <c r="F635" s="99" t="s">
        <v>247</v>
      </c>
      <c r="G635" s="80">
        <f>I363</f>
        <v>2499528</v>
      </c>
      <c r="H635" s="80">
        <f>I370</f>
        <v>2499528</v>
      </c>
      <c r="I635" s="100" t="s">
        <v>248</v>
      </c>
      <c r="J635" s="80">
        <f>G635-H635</f>
        <v>0</v>
      </c>
      <c r="K635" s="67"/>
      <c r="L635" s="69"/>
      <c r="M635" s="123"/>
    </row>
    <row r="636" spans="1:13" s="124" customFormat="1" ht="12.2" customHeight="1" x14ac:dyDescent="0.15">
      <c r="A636" s="21"/>
      <c r="B636" s="22"/>
      <c r="C636" s="22"/>
      <c r="D636" s="22"/>
      <c r="E636" s="22"/>
      <c r="F636" s="86" t="s">
        <v>113</v>
      </c>
      <c r="G636" s="80">
        <f>SUM(L363)</f>
        <v>6068998.7999999998</v>
      </c>
      <c r="H636" s="80">
        <f>SUM(G473)</f>
        <v>6068998.7999999998</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4740530.16</v>
      </c>
      <c r="H638" s="108">
        <f>SUM(J469)</f>
        <v>4740530.16</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31279900.739999998</v>
      </c>
      <c r="H641" s="80">
        <f>SUM(G462)</f>
        <v>31279900.739999998</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31279900.739999998</v>
      </c>
      <c r="H643" s="80">
        <f>SUM(I462)</f>
        <v>31279900.739999998</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662508.44999999995</v>
      </c>
      <c r="H645" s="80">
        <f>H409</f>
        <v>662508.44999999995</v>
      </c>
      <c r="I645" s="87" t="s">
        <v>480</v>
      </c>
      <c r="J645" s="80">
        <f t="shared" si="50"/>
        <v>0</v>
      </c>
      <c r="K645" s="67"/>
      <c r="L645" s="69"/>
      <c r="M645" s="8"/>
    </row>
    <row r="646" spans="1:13" s="3" customFormat="1" ht="12.2" customHeight="1" x14ac:dyDescent="0.15">
      <c r="A646" s="21"/>
      <c r="B646" s="22"/>
      <c r="C646" s="22"/>
      <c r="D646" s="22"/>
      <c r="E646" s="22"/>
      <c r="F646" s="86" t="s">
        <v>664</v>
      </c>
      <c r="G646" s="80">
        <f>J184</f>
        <v>4078021.71</v>
      </c>
      <c r="H646" s="80">
        <f>G409</f>
        <v>4078021.71</v>
      </c>
      <c r="I646" s="87" t="s">
        <v>481</v>
      </c>
      <c r="J646" s="80">
        <f t="shared" si="50"/>
        <v>0</v>
      </c>
      <c r="K646" s="67"/>
      <c r="L646" s="69"/>
      <c r="M646" s="8"/>
    </row>
    <row r="647" spans="1:13" s="3" customFormat="1" ht="12.2" customHeight="1" x14ac:dyDescent="0.15">
      <c r="A647" s="21"/>
      <c r="B647" s="22"/>
      <c r="C647" s="22"/>
      <c r="D647" s="22"/>
      <c r="E647" s="22"/>
      <c r="F647" s="86" t="s">
        <v>662</v>
      </c>
      <c r="G647" s="80">
        <f>J194</f>
        <v>4740530.16</v>
      </c>
      <c r="H647" s="80">
        <f>L409</f>
        <v>4740530.16</v>
      </c>
      <c r="I647" s="87" t="s">
        <v>477</v>
      </c>
      <c r="J647" s="80">
        <f t="shared" si="50"/>
        <v>0</v>
      </c>
      <c r="K647" s="67"/>
      <c r="L647" s="69"/>
      <c r="M647" s="8"/>
    </row>
    <row r="648" spans="1:13" s="3" customFormat="1" ht="12.2" customHeight="1" x14ac:dyDescent="0.15">
      <c r="A648" s="21"/>
      <c r="B648" s="22"/>
      <c r="C648" s="22"/>
      <c r="D648" s="22"/>
      <c r="E648" s="22"/>
      <c r="F648" s="86" t="s">
        <v>51</v>
      </c>
      <c r="G648" s="80">
        <f>K599</f>
        <v>13013067.290000001</v>
      </c>
      <c r="H648" s="80">
        <f>L209+L227+L245</f>
        <v>13013067.290000001</v>
      </c>
      <c r="I648" s="87" t="s">
        <v>396</v>
      </c>
      <c r="J648" s="80">
        <f t="shared" si="50"/>
        <v>0</v>
      </c>
      <c r="K648" s="67"/>
      <c r="L648" s="69"/>
      <c r="M648" s="8"/>
    </row>
    <row r="649" spans="1:13" s="3" customFormat="1" ht="12.2" customHeight="1" x14ac:dyDescent="0.15">
      <c r="A649" s="21"/>
      <c r="B649" s="22"/>
      <c r="C649" s="22"/>
      <c r="D649" s="22"/>
      <c r="E649" s="22"/>
      <c r="F649" s="86" t="s">
        <v>52</v>
      </c>
      <c r="G649" s="80">
        <f>K606</f>
        <v>15420410.5</v>
      </c>
      <c r="H649" s="80">
        <f>(J258+J339)-(J256+J337)</f>
        <v>15420410.500000002</v>
      </c>
      <c r="I649" s="87" t="s">
        <v>699</v>
      </c>
      <c r="J649" s="80">
        <f t="shared" si="50"/>
        <v>0</v>
      </c>
      <c r="K649" s="67"/>
      <c r="L649" s="69"/>
      <c r="M649" s="8"/>
    </row>
    <row r="650" spans="1:13" s="3" customFormat="1" ht="12.2" customHeight="1" x14ac:dyDescent="0.15">
      <c r="A650" s="21"/>
      <c r="B650" s="22"/>
      <c r="C650" s="22"/>
      <c r="D650" s="22"/>
      <c r="E650" s="22"/>
      <c r="F650" s="86" t="s">
        <v>387</v>
      </c>
      <c r="G650" s="80">
        <f>L209</f>
        <v>5678128.7800000003</v>
      </c>
      <c r="H650" s="80">
        <f>H599</f>
        <v>5678128.7800000003</v>
      </c>
      <c r="I650" s="87" t="s">
        <v>388</v>
      </c>
      <c r="J650" s="80">
        <f t="shared" si="50"/>
        <v>0</v>
      </c>
      <c r="K650" s="67"/>
      <c r="L650" s="69"/>
      <c r="M650" s="8"/>
    </row>
    <row r="651" spans="1:13" s="3" customFormat="1" ht="12.2" customHeight="1" x14ac:dyDescent="0.15">
      <c r="A651" s="21"/>
      <c r="B651" s="22"/>
      <c r="C651" s="22"/>
      <c r="D651" s="22"/>
      <c r="E651" s="22"/>
      <c r="F651" s="86" t="s">
        <v>392</v>
      </c>
      <c r="G651" s="80">
        <f>L227</f>
        <v>3691933.04</v>
      </c>
      <c r="H651" s="80">
        <f>I599</f>
        <v>3691933.04</v>
      </c>
      <c r="I651" s="87" t="s">
        <v>389</v>
      </c>
      <c r="J651" s="80">
        <f t="shared" si="50"/>
        <v>0</v>
      </c>
      <c r="K651" s="67"/>
      <c r="L651" s="69"/>
      <c r="M651" s="8"/>
    </row>
    <row r="652" spans="1:13" s="3" customFormat="1" ht="12.2" customHeight="1" x14ac:dyDescent="0.15">
      <c r="A652" s="21"/>
      <c r="B652" s="22"/>
      <c r="C652" s="22"/>
      <c r="D652" s="22"/>
      <c r="E652" s="22"/>
      <c r="F652" s="86" t="s">
        <v>393</v>
      </c>
      <c r="G652" s="80">
        <f>L245</f>
        <v>3643005.47</v>
      </c>
      <c r="H652" s="80">
        <f>J599</f>
        <v>3643005.47</v>
      </c>
      <c r="I652" s="87" t="s">
        <v>390</v>
      </c>
      <c r="J652" s="80">
        <f t="shared" si="50"/>
        <v>0</v>
      </c>
      <c r="K652" s="67"/>
      <c r="L652" s="69"/>
      <c r="M652" s="8"/>
    </row>
    <row r="653" spans="1:13" s="3" customFormat="1" ht="12.2" customHeight="1" x14ac:dyDescent="0.15">
      <c r="A653" s="21"/>
      <c r="B653" s="22"/>
      <c r="C653" s="22"/>
      <c r="D653" s="22"/>
      <c r="E653" s="22"/>
      <c r="F653" s="86" t="s">
        <v>665</v>
      </c>
      <c r="G653" s="80">
        <f>G180+G182</f>
        <v>350000</v>
      </c>
      <c r="H653" s="80">
        <f>K264+K346</f>
        <v>350000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4078021.71</v>
      </c>
      <c r="H656" s="80">
        <f>K267+K348</f>
        <v>4078021.71</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105774329.69</v>
      </c>
      <c r="G661" s="13">
        <f>(L230+L310+L360)</f>
        <v>57764383.93</v>
      </c>
      <c r="H661" s="13">
        <f>(L248+L329+L361)</f>
        <v>70482792.23999998</v>
      </c>
      <c r="I661" s="13">
        <f>SUM(F661:H661)</f>
        <v>234021505.85999998</v>
      </c>
      <c r="J661" s="13"/>
      <c r="K661" s="13"/>
      <c r="L661" s="13"/>
      <c r="M661" s="9"/>
    </row>
    <row r="662" spans="1:13" s="3" customFormat="1" ht="12.2" customHeight="1" x14ac:dyDescent="0.2">
      <c r="A662" s="1" t="s">
        <v>127</v>
      </c>
      <c r="F662" s="13">
        <f>(L359/IF(SUM(L359:L361)=0,1,SUM(L359:L361))*(SUM(G97:G110)))</f>
        <v>480091.07611763786</v>
      </c>
      <c r="G662" s="13">
        <f>(L360/IF(SUM(L359:L361)=0,1,SUM(L359:L361))*(SUM(G97:G110)))</f>
        <v>364304.11279721936</v>
      </c>
      <c r="H662" s="13">
        <f>(L361/IF(SUM(L359:L361)=0,1,SUM(L359:L361))*(SUM(G97:G110)))</f>
        <v>259382.80108514259</v>
      </c>
      <c r="I662" s="13">
        <f>SUM(F662:H662)</f>
        <v>1103777.9899999998</v>
      </c>
      <c r="J662"/>
      <c r="K662" s="13"/>
      <c r="L662" s="13"/>
      <c r="M662" s="8"/>
    </row>
    <row r="663" spans="1:13" s="3" customFormat="1" ht="12.2" customHeight="1" x14ac:dyDescent="0.2">
      <c r="A663" s="1" t="s">
        <v>128</v>
      </c>
      <c r="F663" s="13">
        <f>(L209+L288)-(J209+J288)</f>
        <v>6063701.3000000007</v>
      </c>
      <c r="G663" s="13">
        <f>(L227+L307)-(J227+J307)</f>
        <v>3942034.14</v>
      </c>
      <c r="H663" s="13">
        <f>(L245+L326)-(J245+J326)</f>
        <v>4049419.75</v>
      </c>
      <c r="I663" s="13">
        <f>SUM(F663:H663)</f>
        <v>14055155.190000001</v>
      </c>
      <c r="J663"/>
      <c r="K663" s="13"/>
      <c r="L663" s="13"/>
      <c r="M663" s="9"/>
    </row>
    <row r="664" spans="1:13" s="3" customFormat="1" ht="12.2" customHeight="1" x14ac:dyDescent="0.15">
      <c r="A664" s="142" t="s">
        <v>129</v>
      </c>
      <c r="B664" s="124"/>
      <c r="C664" s="124"/>
      <c r="D664" s="124"/>
      <c r="E664" s="124"/>
      <c r="F664" s="143">
        <f>SUM(F576:F588)+SUM(H603:H605)+SUM(L612)</f>
        <v>11524635.610000001</v>
      </c>
      <c r="G664" s="143">
        <f>SUM(G576:G588)+SUM(I603:I605)+L613</f>
        <v>2627658.2800000003</v>
      </c>
      <c r="H664" s="143">
        <f>SUM(H576:H588)+SUM(J603:J605)+L614</f>
        <v>7087692.8500000006</v>
      </c>
      <c r="I664" s="13">
        <f>SUM(F664:H664)</f>
        <v>21239986.740000002</v>
      </c>
      <c r="J664" s="13"/>
      <c r="K664" s="13"/>
      <c r="L664" s="13"/>
      <c r="M664" s="9"/>
    </row>
    <row r="665" spans="1:13" s="3" customFormat="1" ht="12.2" customHeight="1" x14ac:dyDescent="0.15">
      <c r="A665" s="1" t="s">
        <v>130</v>
      </c>
      <c r="F665" s="13">
        <f>F661-SUM(F662:F664)</f>
        <v>87705901.703882366</v>
      </c>
      <c r="G665" s="13">
        <f>G661-SUM(G662:G664)</f>
        <v>50830387.397202782</v>
      </c>
      <c r="H665" s="13">
        <f>H661-SUM(H662:H664)</f>
        <v>59086296.838914841</v>
      </c>
      <c r="I665" s="13">
        <f>I661-SUM(I662:I664)</f>
        <v>197622585.94</v>
      </c>
      <c r="J665" s="13"/>
      <c r="K665" s="13"/>
      <c r="L665" s="13"/>
      <c r="M665" s="8"/>
    </row>
    <row r="666" spans="1:13" s="3" customFormat="1" ht="12.2" customHeight="1" x14ac:dyDescent="0.2">
      <c r="A666" s="1" t="s">
        <v>131</v>
      </c>
      <c r="F666" s="183">
        <v>5308.4</v>
      </c>
      <c r="G666" s="184">
        <v>3011.28</v>
      </c>
      <c r="H666" s="184">
        <v>3496.66</v>
      </c>
      <c r="I666" s="13">
        <f>SUM(F666:H666)</f>
        <v>11816.34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16522.099999999999</v>
      </c>
      <c r="G668" s="13">
        <f>ROUND(G665/G666,2)</f>
        <v>16879.990000000002</v>
      </c>
      <c r="H668" s="13">
        <f>ROUND(H665/H666,2)</f>
        <v>16897.919999999998</v>
      </c>
      <c r="I668" s="13">
        <f>ROUND(I665/I666,2)</f>
        <v>16724.52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62.62</v>
      </c>
      <c r="I671" s="13">
        <f>SUM(F671:H671)</f>
        <v>62.62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16522.099999999999</v>
      </c>
      <c r="G673" s="13">
        <f>ROUND((G665+G670)/(G666+G671),2)</f>
        <v>16879.990000000002</v>
      </c>
      <c r="H673" s="13">
        <f>ROUND((H665+H670)/(H666+H671),2)</f>
        <v>16600.63</v>
      </c>
      <c r="I673" s="13">
        <f>ROUND((I665+I670)/(I666+I671),2)</f>
        <v>16636.349999999999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10" sqref="C10"/>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4574247.68</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1506290.79</v>
      </c>
      <c r="F9" s="272" t="s">
        <v>1627</v>
      </c>
    </row>
    <row r="10" spans="2:8" x14ac:dyDescent="0.25">
      <c r="B10" s="271"/>
      <c r="C10" s="271"/>
      <c r="D10" s="271"/>
      <c r="E10" s="271"/>
      <c r="F10" s="271"/>
    </row>
    <row r="11" spans="2:8" x14ac:dyDescent="0.25">
      <c r="B11" s="271"/>
      <c r="C11" s="275" t="s">
        <v>1631</v>
      </c>
      <c r="D11" s="272" t="s">
        <v>1634</v>
      </c>
      <c r="E11" s="260">
        <v>492266.03</v>
      </c>
      <c r="F11" s="272" t="s">
        <v>1628</v>
      </c>
    </row>
    <row r="12" spans="2:8" x14ac:dyDescent="0.25">
      <c r="B12" s="271"/>
      <c r="C12" s="271"/>
      <c r="D12" s="272"/>
      <c r="E12" s="271"/>
      <c r="F12" s="271"/>
    </row>
    <row r="13" spans="2:8" x14ac:dyDescent="0.25">
      <c r="B13" s="271"/>
      <c r="C13" s="272" t="s">
        <v>1621</v>
      </c>
      <c r="D13" s="272" t="s">
        <v>1635</v>
      </c>
      <c r="E13" s="260">
        <v>1036183.36</v>
      </c>
      <c r="F13" s="272" t="s">
        <v>1629</v>
      </c>
    </row>
    <row r="14" spans="2:8" x14ac:dyDescent="0.25">
      <c r="B14" s="271"/>
      <c r="C14" s="271"/>
      <c r="D14" s="272"/>
      <c r="E14" s="271"/>
      <c r="F14" s="271"/>
    </row>
    <row r="15" spans="2:8" x14ac:dyDescent="0.25">
      <c r="B15" s="271"/>
      <c r="C15" s="272" t="s">
        <v>1623</v>
      </c>
      <c r="D15" s="272" t="s">
        <v>1636</v>
      </c>
      <c r="E15" s="260">
        <v>1539507.5</v>
      </c>
      <c r="F15" s="272" t="s">
        <v>1630</v>
      </c>
    </row>
    <row r="16" spans="2:8" x14ac:dyDescent="0.25">
      <c r="B16" s="271"/>
      <c r="C16" s="271"/>
      <c r="D16" s="271"/>
      <c r="E16" s="271"/>
      <c r="F16" s="271"/>
    </row>
    <row r="17" spans="2:8" x14ac:dyDescent="0.25">
      <c r="B17" s="271"/>
      <c r="C17" s="272" t="s">
        <v>1622</v>
      </c>
      <c r="D17" s="272" t="s">
        <v>1637</v>
      </c>
      <c r="E17" s="260">
        <v>0</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0</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Manchester</v>
      </c>
      <c r="C5" s="317"/>
      <c r="D5" s="317"/>
      <c r="E5" s="317"/>
      <c r="F5" s="317"/>
    </row>
    <row r="8" spans="1:9" ht="18" x14ac:dyDescent="0.25">
      <c r="A8" s="240" t="s">
        <v>1560</v>
      </c>
      <c r="F8" s="247" t="s">
        <v>1578</v>
      </c>
    </row>
    <row r="9" spans="1:9" ht="15" x14ac:dyDescent="0.2">
      <c r="A9" s="238" t="s">
        <v>1561</v>
      </c>
      <c r="B9" s="241">
        <f>'DOE25'!G97</f>
        <v>1094509.8599999999</v>
      </c>
      <c r="F9" s="238" t="s">
        <v>1574</v>
      </c>
    </row>
    <row r="10" spans="1:9" ht="15" x14ac:dyDescent="0.2">
      <c r="A10" s="238" t="s">
        <v>1562</v>
      </c>
      <c r="B10" s="241">
        <f>'DOE25'!G112-'DOE25'!G97</f>
        <v>9268.1299999998882</v>
      </c>
      <c r="F10" s="238" t="s">
        <v>1575</v>
      </c>
    </row>
    <row r="11" spans="1:9" ht="15" x14ac:dyDescent="0.2">
      <c r="A11" s="238" t="s">
        <v>1563</v>
      </c>
      <c r="B11" s="241">
        <f>'DOE25'!G140</f>
        <v>72245.39</v>
      </c>
      <c r="F11" s="238" t="s">
        <v>1576</v>
      </c>
    </row>
    <row r="12" spans="1:9" ht="15" x14ac:dyDescent="0.2">
      <c r="A12" s="238" t="s">
        <v>1564</v>
      </c>
      <c r="B12" s="241">
        <f>'DOE25'!G170</f>
        <v>3991781.8299999996</v>
      </c>
      <c r="F12" s="238" t="s">
        <v>1577</v>
      </c>
    </row>
    <row r="13" spans="1:9" ht="15" x14ac:dyDescent="0.2">
      <c r="A13" s="238" t="s">
        <v>1565</v>
      </c>
      <c r="B13" s="241">
        <f>'DOE25'!G193-'DOE25'!G180</f>
        <v>0</v>
      </c>
      <c r="F13" s="238" t="s">
        <v>1587</v>
      </c>
    </row>
    <row r="14" spans="1:9" ht="18" x14ac:dyDescent="0.25">
      <c r="A14" s="240" t="s">
        <v>732</v>
      </c>
      <c r="B14" s="242">
        <f>SUM(B9:B13)</f>
        <v>5167805.209999999</v>
      </c>
    </row>
    <row r="16" spans="1:9" ht="18" x14ac:dyDescent="0.25">
      <c r="A16" s="240" t="s">
        <v>786</v>
      </c>
      <c r="F16" s="247" t="s">
        <v>1579</v>
      </c>
    </row>
    <row r="17" spans="1:6" ht="15" x14ac:dyDescent="0.2">
      <c r="A17" s="238" t="s">
        <v>1566</v>
      </c>
      <c r="B17" s="241">
        <f>'DOE25'!L363-'DOE25'!L362</f>
        <v>6068998.7999999998</v>
      </c>
      <c r="F17" s="238" t="s">
        <v>1580</v>
      </c>
    </row>
    <row r="18" spans="1:6" ht="15" x14ac:dyDescent="0.2">
      <c r="A18" s="238" t="s">
        <v>1567</v>
      </c>
      <c r="B18" s="251"/>
      <c r="F18" s="247" t="s">
        <v>1604</v>
      </c>
    </row>
    <row r="19" spans="1:6" ht="18" x14ac:dyDescent="0.25">
      <c r="A19" s="240" t="s">
        <v>725</v>
      </c>
      <c r="B19" s="242">
        <f>SUM(B17:B18)</f>
        <v>6068998.7999999998</v>
      </c>
    </row>
    <row r="21" spans="1:6" ht="18.75" thickBot="1" x14ac:dyDescent="0.3">
      <c r="A21" s="240" t="s">
        <v>1568</v>
      </c>
    </row>
    <row r="22" spans="1:6" ht="18.75" thickTop="1" x14ac:dyDescent="0.25">
      <c r="A22" s="240" t="s">
        <v>1569</v>
      </c>
      <c r="B22" s="246">
        <f>B14-B19</f>
        <v>-901193.59000000078</v>
      </c>
      <c r="F22" s="238" t="s">
        <v>1581</v>
      </c>
    </row>
    <row r="26" spans="1:6" ht="18" x14ac:dyDescent="0.25">
      <c r="A26" s="240" t="s">
        <v>186</v>
      </c>
    </row>
    <row r="27" spans="1:6" ht="15" x14ac:dyDescent="0.2">
      <c r="A27" s="238" t="s">
        <v>1570</v>
      </c>
      <c r="B27" s="241">
        <f>'DOE25'!G180</f>
        <v>350000</v>
      </c>
      <c r="F27" s="238" t="s">
        <v>1582</v>
      </c>
    </row>
    <row r="28" spans="1:6" ht="15" x14ac:dyDescent="0.2">
      <c r="A28" s="238" t="s">
        <v>1572</v>
      </c>
      <c r="B28" s="241">
        <f>'DOE25'!L362</f>
        <v>0</v>
      </c>
      <c r="F28" s="238" t="s">
        <v>1583</v>
      </c>
    </row>
    <row r="31" spans="1:6" ht="15" x14ac:dyDescent="0.2">
      <c r="A31" s="238" t="s">
        <v>1797</v>
      </c>
      <c r="B31" s="241">
        <f>'DOE25'!G466</f>
        <v>1648658.9799999995</v>
      </c>
      <c r="F31" s="238" t="s">
        <v>1584</v>
      </c>
    </row>
    <row r="33" spans="1:6" ht="15" x14ac:dyDescent="0.2">
      <c r="A33" s="238" t="s">
        <v>1798</v>
      </c>
      <c r="B33" s="241">
        <f>'DOE25'!G477</f>
        <v>1097465.3899999997</v>
      </c>
      <c r="F33" s="238" t="s">
        <v>1585</v>
      </c>
    </row>
    <row r="36" spans="1:6" ht="15" x14ac:dyDescent="0.2">
      <c r="A36" s="238" t="s">
        <v>1571</v>
      </c>
      <c r="B36" s="252">
        <v>497815.88</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scale="98" fitToHeight="0" orientation="portrait"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F23" sqref="F23"/>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Manchester</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52139413.020000011</v>
      </c>
      <c r="C9" s="167">
        <f>'DOE25'!G198+'DOE25'!G216+'DOE25'!G234+'DOE25'!G277+'DOE25'!G296+'DOE25'!G315</f>
        <v>26054762.599999994</v>
      </c>
    </row>
    <row r="10" spans="1:3" x14ac:dyDescent="0.2">
      <c r="A10" t="s">
        <v>775</v>
      </c>
      <c r="B10" s="177">
        <v>49913962.990000002</v>
      </c>
      <c r="C10" s="177">
        <v>24942675.43</v>
      </c>
    </row>
    <row r="11" spans="1:3" x14ac:dyDescent="0.2">
      <c r="A11" t="s">
        <v>776</v>
      </c>
      <c r="B11" s="177">
        <v>167181.85999999999</v>
      </c>
      <c r="C11" s="177">
        <v>83543.009999999995</v>
      </c>
    </row>
    <row r="12" spans="1:3" x14ac:dyDescent="0.2">
      <c r="A12" t="s">
        <v>777</v>
      </c>
      <c r="B12" s="177">
        <v>2058268.17</v>
      </c>
      <c r="C12" s="177">
        <v>1028544.16</v>
      </c>
    </row>
    <row r="13" spans="1:3" x14ac:dyDescent="0.2">
      <c r="A13" t="str">
        <f>IF(B9=B13,IF(C9=C13,"Check Total OK","Check Total Error"),"Check Total Error")</f>
        <v>Check Total OK</v>
      </c>
      <c r="B13" s="169">
        <f>SUM(B10:B12)</f>
        <v>52139413.020000003</v>
      </c>
      <c r="C13" s="169">
        <f>SUM(C10:C12)</f>
        <v>26054762.600000001</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25201482.41</v>
      </c>
      <c r="C18" s="167">
        <f>'DOE25'!G199+'DOE25'!G217+'DOE25'!G235+'DOE25'!G278+'DOE25'!G297+'DOE25'!G316</f>
        <v>14268167.279999999</v>
      </c>
    </row>
    <row r="19" spans="1:3" x14ac:dyDescent="0.2">
      <c r="A19" t="s">
        <v>775</v>
      </c>
      <c r="B19" s="177">
        <v>20135573.43</v>
      </c>
      <c r="C19" s="177">
        <v>11400032.960000001</v>
      </c>
    </row>
    <row r="20" spans="1:3" x14ac:dyDescent="0.2">
      <c r="A20" t="s">
        <v>776</v>
      </c>
      <c r="B20" s="177">
        <v>4697003.95</v>
      </c>
      <c r="C20" s="177">
        <v>2659273.65</v>
      </c>
    </row>
    <row r="21" spans="1:3" x14ac:dyDescent="0.2">
      <c r="A21" t="s">
        <v>777</v>
      </c>
      <c r="B21" s="177">
        <v>368905.03</v>
      </c>
      <c r="C21" s="177">
        <v>208860.67</v>
      </c>
    </row>
    <row r="22" spans="1:3" x14ac:dyDescent="0.2">
      <c r="A22" t="str">
        <f>IF(B18=B22,IF(C18=C22,"Check Total OK","Check Total Error"),"Check Total Error")</f>
        <v>Check Total OK</v>
      </c>
      <c r="B22" s="169">
        <f>SUM(B19:B21)</f>
        <v>25201482.41</v>
      </c>
      <c r="C22" s="169">
        <f>SUM(C19:C21)</f>
        <v>14268167.280000001</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1919734.29</v>
      </c>
      <c r="C27" s="172">
        <f>'DOE25'!G200+'DOE25'!G218+'DOE25'!G236+'DOE25'!G279+'DOE25'!G298+'DOE25'!G317</f>
        <v>973736.61</v>
      </c>
    </row>
    <row r="28" spans="1:3" x14ac:dyDescent="0.2">
      <c r="A28" t="s">
        <v>775</v>
      </c>
      <c r="B28" s="177">
        <v>1886663.4</v>
      </c>
      <c r="C28" s="177">
        <v>956962.24</v>
      </c>
    </row>
    <row r="29" spans="1:3" x14ac:dyDescent="0.2">
      <c r="A29" t="s">
        <v>776</v>
      </c>
      <c r="B29" s="177">
        <v>33070.89</v>
      </c>
      <c r="C29" s="177">
        <v>16774.37</v>
      </c>
    </row>
    <row r="30" spans="1:3" x14ac:dyDescent="0.2">
      <c r="A30" t="s">
        <v>777</v>
      </c>
      <c r="B30" s="177">
        <v>0</v>
      </c>
      <c r="C30" s="177">
        <v>0</v>
      </c>
    </row>
    <row r="31" spans="1:3" x14ac:dyDescent="0.2">
      <c r="A31" t="str">
        <f>IF(B27=B31,IF(C27=C31,"Check Total OK","Check Total Error"),"Check Total Error")</f>
        <v>Check Total OK</v>
      </c>
      <c r="B31" s="169">
        <f>SUM(B28:B30)</f>
        <v>1919734.2899999998</v>
      </c>
      <c r="C31" s="169">
        <f>SUM(C28:C30)</f>
        <v>973736.61</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2633947.1300000004</v>
      </c>
      <c r="C36" s="173">
        <f>'DOE25'!G201+'DOE25'!G219+'DOE25'!G237+'DOE25'!G280+'DOE25'!G299+'DOE25'!G318</f>
        <v>751278.34</v>
      </c>
    </row>
    <row r="37" spans="1:3" x14ac:dyDescent="0.2">
      <c r="A37" t="s">
        <v>775</v>
      </c>
      <c r="B37" s="177">
        <v>0</v>
      </c>
      <c r="C37" s="177">
        <v>0</v>
      </c>
    </row>
    <row r="38" spans="1:3" x14ac:dyDescent="0.2">
      <c r="A38" t="s">
        <v>776</v>
      </c>
      <c r="B38" s="177">
        <v>0</v>
      </c>
      <c r="C38" s="177">
        <v>0</v>
      </c>
    </row>
    <row r="39" spans="1:3" x14ac:dyDescent="0.2">
      <c r="A39" t="s">
        <v>777</v>
      </c>
      <c r="B39" s="177">
        <v>2633947.1300000004</v>
      </c>
      <c r="C39" s="177">
        <v>751278.34</v>
      </c>
    </row>
    <row r="40" spans="1:3" x14ac:dyDescent="0.2">
      <c r="A40" t="str">
        <f>IF(B36=B40,IF(C36=C40,"Check Total OK","Check Total Error"),"Check Total Error")</f>
        <v>Check Total OK</v>
      </c>
      <c r="B40" s="169">
        <f>SUM(B37:B39)</f>
        <v>2633947.1300000004</v>
      </c>
      <c r="C40" s="169">
        <f>SUM(C37:C39)</f>
        <v>751278.34</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D15" sqref="D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Manchester</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117052214.95</v>
      </c>
      <c r="D5" s="19">
        <f>SUM('DOE25'!L198:L201)+SUM('DOE25'!L216:L219)+SUM('DOE25'!L234:L237)-F5-G5-H5</f>
        <v>116722737.39</v>
      </c>
      <c r="E5" s="180"/>
      <c r="F5" s="181">
        <f>177353.01+10231.82</f>
        <v>187584.83000000002</v>
      </c>
      <c r="G5" s="19">
        <f>SUM('DOE25'!J198:J201)+SUM('DOE25'!J216:J219)+SUM('DOE25'!J234:J237)</f>
        <v>83127.72</v>
      </c>
      <c r="H5" s="19">
        <f>SUM('DOE25'!K198:K201)+SUM('DOE25'!K216:K219)+SUM('DOE25'!K234:K237)</f>
        <v>58765.01</v>
      </c>
      <c r="I5" s="192"/>
    </row>
    <row r="6" spans="1:9" x14ac:dyDescent="0.2">
      <c r="A6" s="31">
        <v>2100</v>
      </c>
      <c r="B6" t="s">
        <v>796</v>
      </c>
      <c r="C6" s="206">
        <f t="shared" si="0"/>
        <v>15090943.280000001</v>
      </c>
      <c r="D6" s="19">
        <f>'DOE25'!L203+'DOE25'!L221+'DOE25'!L239-F6-G6-H6</f>
        <v>12429453.83</v>
      </c>
      <c r="E6" s="180"/>
      <c r="F6" s="181">
        <f>57099.75+554499.3+1977680.39+58782.96</f>
        <v>2648062.4</v>
      </c>
      <c r="G6" s="19">
        <f>'DOE25'!J203+'DOE25'!J221+'DOE25'!J239</f>
        <v>12127.05</v>
      </c>
      <c r="H6" s="19">
        <f>'DOE25'!K203+'DOE25'!K221+'DOE25'!K239</f>
        <v>1300</v>
      </c>
      <c r="I6" s="192"/>
    </row>
    <row r="7" spans="1:9" x14ac:dyDescent="0.2">
      <c r="A7" s="31">
        <v>2200</v>
      </c>
      <c r="B7" t="s">
        <v>820</v>
      </c>
      <c r="C7" s="206">
        <f t="shared" si="0"/>
        <v>2512846.87</v>
      </c>
      <c r="D7" s="19">
        <f>'DOE25'!L204+'DOE25'!L222+'DOE25'!L240-F7-G7-H7</f>
        <v>2509096.87</v>
      </c>
      <c r="E7" s="180"/>
      <c r="F7" s="181">
        <v>0</v>
      </c>
      <c r="G7" s="19">
        <f>'DOE25'!J204+'DOE25'!J222+'DOE25'!J240</f>
        <v>0</v>
      </c>
      <c r="H7" s="19">
        <f>'DOE25'!K204+'DOE25'!K222+'DOE25'!K240</f>
        <v>3750</v>
      </c>
      <c r="I7" s="192"/>
    </row>
    <row r="8" spans="1:9" x14ac:dyDescent="0.2">
      <c r="A8" s="31">
        <v>2300</v>
      </c>
      <c r="B8" t="s">
        <v>797</v>
      </c>
      <c r="C8" s="206">
        <f t="shared" si="0"/>
        <v>854076.66999999969</v>
      </c>
      <c r="D8" s="180"/>
      <c r="E8" s="19">
        <f>'DOE25'!L205+'DOE25'!L223+'DOE25'!L241-F8-G8-H8-D9-D11</f>
        <v>845055.61999999965</v>
      </c>
      <c r="F8" s="181">
        <f>480</f>
        <v>480</v>
      </c>
      <c r="G8" s="19">
        <f>'DOE25'!J205+'DOE25'!J223+'DOE25'!J241</f>
        <v>0</v>
      </c>
      <c r="H8" s="19">
        <f>'DOE25'!K205+'DOE25'!K223+'DOE25'!K241</f>
        <v>8541.0499999999993</v>
      </c>
      <c r="I8" s="192"/>
    </row>
    <row r="9" spans="1:9" ht="14.25" x14ac:dyDescent="0.2">
      <c r="A9" s="31">
        <v>2310</v>
      </c>
      <c r="B9" s="71" t="s">
        <v>887</v>
      </c>
      <c r="C9" s="206">
        <f t="shared" si="0"/>
        <v>417869.74</v>
      </c>
      <c r="D9" s="181">
        <v>417869.74</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1711423.3199999998</v>
      </c>
      <c r="D11" s="181">
        <f>1514302.48+136771.96+60348.88</f>
        <v>1711423.3199999998</v>
      </c>
      <c r="E11" s="180"/>
      <c r="F11" s="180"/>
      <c r="G11" s="180"/>
      <c r="H11" s="180"/>
      <c r="I11" s="192"/>
    </row>
    <row r="12" spans="1:9" x14ac:dyDescent="0.2">
      <c r="A12" s="31">
        <v>2400</v>
      </c>
      <c r="B12" t="s">
        <v>711</v>
      </c>
      <c r="C12" s="206">
        <f t="shared" si="0"/>
        <v>11125032.5</v>
      </c>
      <c r="D12" s="19">
        <f>'DOE25'!L206+'DOE25'!L224+'DOE25'!L242-F12-G12-H12</f>
        <v>11078154.189999999</v>
      </c>
      <c r="E12" s="180"/>
      <c r="F12" s="181">
        <f>25682.25</f>
        <v>25682.25</v>
      </c>
      <c r="G12" s="19">
        <f>'DOE25'!J206+'DOE25'!J224+'DOE25'!J242</f>
        <v>0</v>
      </c>
      <c r="H12" s="19">
        <f>'DOE25'!K206+'DOE25'!K224+'DOE25'!K242</f>
        <v>21196.06</v>
      </c>
      <c r="I12" s="192"/>
    </row>
    <row r="13" spans="1:9" x14ac:dyDescent="0.2">
      <c r="A13" s="31">
        <v>2500</v>
      </c>
      <c r="B13" t="s">
        <v>798</v>
      </c>
      <c r="C13" s="206">
        <f t="shared" si="0"/>
        <v>1609960.54</v>
      </c>
      <c r="D13" s="180"/>
      <c r="E13" s="19">
        <f>'DOE25'!L207+'DOE25'!L225+'DOE25'!L243-F13-G13-H13</f>
        <v>1609760.54</v>
      </c>
      <c r="F13" s="181">
        <v>0</v>
      </c>
      <c r="G13" s="19">
        <f>'DOE25'!J207+'DOE25'!J225+'DOE25'!J243</f>
        <v>0</v>
      </c>
      <c r="H13" s="19">
        <f>'DOE25'!K207+'DOE25'!K225+'DOE25'!K243</f>
        <v>200</v>
      </c>
      <c r="I13" s="192"/>
    </row>
    <row r="14" spans="1:9" x14ac:dyDescent="0.2">
      <c r="A14" s="31">
        <v>2600</v>
      </c>
      <c r="B14" t="s">
        <v>818</v>
      </c>
      <c r="C14" s="206">
        <f t="shared" si="0"/>
        <v>10981891.039999999</v>
      </c>
      <c r="D14" s="19">
        <f>'DOE25'!L208+'DOE25'!L226+'DOE25'!L244-F14-G14-H14</f>
        <v>10939655.359999999</v>
      </c>
      <c r="E14" s="180"/>
      <c r="F14" s="181">
        <f>41945.68</f>
        <v>41945.68</v>
      </c>
      <c r="G14" s="19">
        <f>'DOE25'!J208+'DOE25'!J226+'DOE25'!J244</f>
        <v>0</v>
      </c>
      <c r="H14" s="19">
        <f>'DOE25'!K208+'DOE25'!K226+'DOE25'!K244</f>
        <v>290</v>
      </c>
      <c r="I14" s="192"/>
    </row>
    <row r="15" spans="1:9" x14ac:dyDescent="0.2">
      <c r="A15" s="31">
        <v>2700</v>
      </c>
      <c r="B15" t="s">
        <v>799</v>
      </c>
      <c r="C15" s="206">
        <f t="shared" si="0"/>
        <v>13013067.290000001</v>
      </c>
      <c r="D15" s="19">
        <f>'DOE25'!L209+'DOE25'!L227+'DOE25'!L245-F15-G15-H15</f>
        <v>325000.00000000186</v>
      </c>
      <c r="E15" s="180"/>
      <c r="F15" s="181">
        <v>12688067.289999999</v>
      </c>
      <c r="G15" s="19">
        <f>'DOE25'!J209+'DOE25'!J227+'DOE25'!J245</f>
        <v>0</v>
      </c>
      <c r="H15" s="19">
        <f>'DOE25'!K209+'DOE25'!K227+'DOE25'!K245</f>
        <v>0</v>
      </c>
      <c r="I15" s="192"/>
    </row>
    <row r="16" spans="1:9" x14ac:dyDescent="0.2">
      <c r="A16" s="31">
        <v>2800</v>
      </c>
      <c r="B16" t="s">
        <v>800</v>
      </c>
      <c r="C16" s="206">
        <f t="shared" si="0"/>
        <v>2424385.9200000004</v>
      </c>
      <c r="D16" s="180"/>
      <c r="E16" s="19">
        <f>'DOE25'!L210+'DOE25'!L228+'DOE25'!L246-F16-G16-H16</f>
        <v>1876761.57</v>
      </c>
      <c r="F16" s="181">
        <f>291770.84</f>
        <v>291770.84000000003</v>
      </c>
      <c r="G16" s="19">
        <f>'DOE25'!J210+'DOE25'!J228+'DOE25'!J246</f>
        <v>255703.54</v>
      </c>
      <c r="H16" s="19">
        <f>'DOE25'!K210+'DOE25'!K228+'DOE25'!K246</f>
        <v>149.97</v>
      </c>
      <c r="I16" s="192"/>
    </row>
    <row r="17" spans="1:9" x14ac:dyDescent="0.2">
      <c r="A17" s="31">
        <v>1600</v>
      </c>
      <c r="B17" t="s">
        <v>801</v>
      </c>
      <c r="C17" s="206">
        <f t="shared" si="0"/>
        <v>140002.70000000001</v>
      </c>
      <c r="D17" s="19">
        <f>'DOE25'!L252-F17-G17-H17</f>
        <v>140002.70000000001</v>
      </c>
      <c r="E17" s="180"/>
      <c r="F17" s="181">
        <v>0</v>
      </c>
      <c r="G17" s="19">
        <f>'DOE25'!J252</f>
        <v>0</v>
      </c>
      <c r="H17" s="19">
        <f>'DOE25'!K252</f>
        <v>0</v>
      </c>
      <c r="I17" s="192"/>
    </row>
    <row r="18" spans="1:9" x14ac:dyDescent="0.2">
      <c r="A18" s="31">
        <v>1700</v>
      </c>
      <c r="B18" t="s">
        <v>802</v>
      </c>
      <c r="C18" s="206">
        <f t="shared" si="0"/>
        <v>0</v>
      </c>
      <c r="D18" s="19">
        <f>'DOE25'!L253-F18-G18-H18</f>
        <v>0</v>
      </c>
      <c r="E18" s="180"/>
      <c r="F18" s="181">
        <v>0</v>
      </c>
      <c r="G18" s="19">
        <f>'DOE25'!J253</f>
        <v>0</v>
      </c>
      <c r="H18" s="19">
        <f>'DOE25'!K253</f>
        <v>0</v>
      </c>
      <c r="I18" s="192"/>
    </row>
    <row r="19" spans="1:9" x14ac:dyDescent="0.2">
      <c r="A19" s="31">
        <v>1800</v>
      </c>
      <c r="B19" t="s">
        <v>803</v>
      </c>
      <c r="C19" s="206">
        <f t="shared" si="0"/>
        <v>0</v>
      </c>
      <c r="D19" s="19">
        <f>'DOE25'!L254-F19-G19-H19</f>
        <v>0</v>
      </c>
      <c r="E19" s="180"/>
      <c r="F19" s="181">
        <v>0</v>
      </c>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118500</v>
      </c>
      <c r="D22" s="180"/>
      <c r="E22" s="180"/>
      <c r="F22" s="180"/>
      <c r="G22" s="19">
        <f>'DOE25'!L256+'DOE25'!L337</f>
        <v>118500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10721596.48</v>
      </c>
      <c r="D25" s="180"/>
      <c r="E25" s="180"/>
      <c r="F25" s="191"/>
      <c r="G25" s="180"/>
      <c r="H25" s="180"/>
      <c r="I25" s="190">
        <f>'DOE25'!L261+'DOE25'!L262+'DOE25'!L342+'DOE25'!L343</f>
        <v>10721596.48</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3705516.63</v>
      </c>
      <c r="D29" s="212">
        <f>'DOE25'!L359+'DOE25'!L360+'DOE25'!L361-'DOE25'!I368-F29-G29-H29-F39</f>
        <v>3643755.17</v>
      </c>
      <c r="E29" s="180"/>
      <c r="F29" s="180"/>
      <c r="G29" s="19">
        <f>'DOE25'!J359+'DOE25'!J360+'DOE25'!J361</f>
        <v>61761.46</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51371212.230000012</v>
      </c>
      <c r="D31" s="19">
        <f>'DOE25'!L291+'DOE25'!L310+'DOE25'!L329+'DOE25'!L334+'DOE25'!L335+'DOE25'!L336-F31-G31-H31</f>
        <v>34264439.390000008</v>
      </c>
      <c r="E31" s="180"/>
      <c r="F31" s="181">
        <v>1771725.92</v>
      </c>
      <c r="G31" s="19">
        <f>'DOE25'!J291+'DOE25'!J310+'DOE25'!J329+'DOE25'!J334+'DOE25'!J335+'DOE25'!J336</f>
        <v>15055836.940000001</v>
      </c>
      <c r="H31" s="19">
        <f>'DOE25'!K291+'DOE25'!K310+'DOE25'!K329+'DOE25'!K334+'DOE25'!K335+'DOE25'!K336</f>
        <v>279209.98</v>
      </c>
      <c r="I31" s="192"/>
    </row>
    <row r="32" spans="1:9" ht="12" thickBot="1" x14ac:dyDescent="0.25">
      <c r="C32" s="207"/>
      <c r="G32" s="188"/>
      <c r="H32" s="188"/>
      <c r="I32" s="194"/>
    </row>
    <row r="33" spans="1:9" ht="12" thickTop="1" x14ac:dyDescent="0.2">
      <c r="B33" t="s">
        <v>809</v>
      </c>
      <c r="D33" s="182">
        <f t="shared" ref="D33:I33" si="1">SUM(D5:D31)</f>
        <v>194181587.95999998</v>
      </c>
      <c r="E33" s="182">
        <f t="shared" si="1"/>
        <v>4331577.7299999995</v>
      </c>
      <c r="F33" s="182">
        <f t="shared" si="1"/>
        <v>17655319.210000001</v>
      </c>
      <c r="G33" s="182">
        <f t="shared" si="1"/>
        <v>15587056.710000001</v>
      </c>
      <c r="H33" s="182">
        <f t="shared" si="1"/>
        <v>373402.06999999995</v>
      </c>
      <c r="I33" s="182">
        <f t="shared" si="1"/>
        <v>10721596.48</v>
      </c>
    </row>
    <row r="34" spans="1:9" ht="12" thickBot="1" x14ac:dyDescent="0.25"/>
    <row r="35" spans="1:9" ht="12" thickBot="1" x14ac:dyDescent="0.25">
      <c r="B35" s="188" t="s">
        <v>830</v>
      </c>
      <c r="D35" s="189">
        <f>E33</f>
        <v>4331577.7299999995</v>
      </c>
      <c r="E35" s="185"/>
      <c r="F35" s="295" t="s">
        <v>1608</v>
      </c>
      <c r="G35" s="296"/>
      <c r="H35" s="296"/>
      <c r="I35" s="297"/>
    </row>
    <row r="36" spans="1:9" ht="12" thickTop="1" x14ac:dyDescent="0.2">
      <c r="B36" t="s">
        <v>810</v>
      </c>
      <c r="D36" s="19">
        <f>D33</f>
        <v>194181587.95999998</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U725"/>
  <sheetViews>
    <sheetView topLeftCell="A4" zoomScale="80" zoomScaleNormal="80" workbookViewId="0">
      <selection activeCell="I11" sqref="I11"/>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Manchester</v>
      </c>
      <c r="B2">
        <f>'DOE25'!B2</f>
        <v>335</v>
      </c>
      <c r="J2" s="224" t="s">
        <v>1808</v>
      </c>
      <c r="K2" s="309">
        <f>SUM('DOE25'!L198:L201)+SUM('DOE25'!L216:L219)+SUM('DOE25'!L234:L237)+SUM('DOE25'!L277:L280)+SUM('DOE25'!L296:L299)+SUM('DOE25'!L315:L318)</f>
        <v>147213071.93000001</v>
      </c>
      <c r="L2" s="309">
        <f>'DOE25'!L203+'DOE25'!L221+'DOE25'!L239+'DOE25'!L282+'DOE25'!L301+'DOE25'!L320</f>
        <v>15968395.560000001</v>
      </c>
      <c r="M2" s="309">
        <f>'DOE25'!L204+'DOE25'!L222+'DOE25'!L240+'DOE25'!L283+'DOE25'!L302+'DOE25'!L321</f>
        <v>6625549.1300000008</v>
      </c>
      <c r="N2" s="309">
        <f>'DOE25'!L206+'DOE25'!L224+'DOE25'!L242+'DOE25'!L285+'DOE25'!L304+'DOE25'!L323</f>
        <v>11493156.43</v>
      </c>
      <c r="O2" s="309">
        <f>'Salaries-Benefits'!B10+'Salaries-Benefits'!B12+'Salaries-Benefits'!B19+'Salaries-Benefits'!B21+'Salaries-Benefits'!B28+'Salaries-Benefits'!B30+'Salaries-Benefits'!B37+'Salaries-Benefits'!B39</f>
        <v>76997320.150000006</v>
      </c>
      <c r="P2" s="309">
        <f>'Salaries-Benefits'!B11+'Salaries-Benefits'!B20+'Salaries-Benefits'!B29+'Salaries-Benefits'!B38</f>
        <v>4897256.7</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-147213071.93000001</v>
      </c>
      <c r="L3" s="311">
        <f t="shared" ref="L3:P3" si="0">L21+L33+L43-L2</f>
        <v>-15968395.560000001</v>
      </c>
      <c r="M3" s="311">
        <f t="shared" si="0"/>
        <v>-6625549.1300000008</v>
      </c>
      <c r="N3" s="311">
        <f t="shared" si="0"/>
        <v>-11493156.43</v>
      </c>
      <c r="O3" s="311">
        <f t="shared" si="0"/>
        <v>-76997320.150000006</v>
      </c>
      <c r="P3" s="311">
        <f t="shared" si="0"/>
        <v>-4897256.7</v>
      </c>
      <c r="Q3" s="310"/>
      <c r="R3" s="306"/>
      <c r="S3" s="215"/>
      <c r="T3" s="215"/>
      <c r="U3" s="216"/>
    </row>
    <row r="4" spans="1:21" ht="55.5" customHeight="1" thickBot="1" x14ac:dyDescent="0.25">
      <c r="A4" s="224" t="s">
        <v>1522</v>
      </c>
      <c r="B4" s="224" t="s">
        <v>1523</v>
      </c>
      <c r="C4" s="224" t="s">
        <v>896</v>
      </c>
      <c r="D4" s="224" t="s">
        <v>786</v>
      </c>
      <c r="E4" s="224" t="s">
        <v>786</v>
      </c>
      <c r="F4" s="228">
        <f>SUM(F5:F20)</f>
        <v>103134603.05</v>
      </c>
      <c r="G4" s="229">
        <f>'DOE25'!L212+'DOE25'!L291</f>
        <v>103134603.05</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986811.77</v>
      </c>
      <c r="E5" s="220">
        <v>0</v>
      </c>
      <c r="F5" s="232">
        <f>D5+E5</f>
        <v>986811.77</v>
      </c>
      <c r="G5" s="223"/>
      <c r="H5" s="223"/>
      <c r="J5" s="223"/>
      <c r="K5" s="223"/>
      <c r="L5" s="223"/>
      <c r="M5" s="223"/>
      <c r="N5" s="223"/>
      <c r="O5" s="223"/>
      <c r="P5" s="223"/>
      <c r="Q5" s="223"/>
    </row>
    <row r="6" spans="1:21" x14ac:dyDescent="0.2">
      <c r="A6" t="str" cm="1">
        <f t="array" ref="A6">IFERROR(INDEX('School Tables'!$A$4:$G$325,'School Tables'!$J4,3),"")</f>
        <v>Bakersville School</v>
      </c>
      <c r="B6" s="230">
        <f>IFERROR(VLOOKUP(A6,'School Tables'!$C$3:$D$365,2,FALSE),"")</f>
        <v>21545</v>
      </c>
      <c r="C6" s="223" t="str">
        <f>IFERROR(INDEX('School Tables'!$B$3:$B$365,MATCH('School Level Expenditures'!B6,'School Tables'!$D$3:$D$365,0)),"")</f>
        <v>Manchester</v>
      </c>
      <c r="D6" s="220">
        <v>4363211.9621928521</v>
      </c>
      <c r="E6" s="220">
        <v>1490076.2724032016</v>
      </c>
      <c r="F6" s="232">
        <f t="shared" ref="F6:F20" si="1">D6+E6</f>
        <v>5853288.2345960531</v>
      </c>
      <c r="G6" s="223"/>
      <c r="H6" s="223"/>
      <c r="J6" t="str">
        <f>A6</f>
        <v>Bakersville School</v>
      </c>
      <c r="K6" s="20"/>
      <c r="L6" s="20"/>
      <c r="M6" s="308"/>
      <c r="N6" s="20"/>
      <c r="O6" s="20"/>
      <c r="P6" s="20"/>
      <c r="Q6" s="20"/>
    </row>
    <row r="7" spans="1:21" x14ac:dyDescent="0.2">
      <c r="A7" t="str" cm="1">
        <f t="array" ref="A7">IFERROR(INDEX('School Tables'!$A$4:$G$325,'School Tables'!$J5,3),"")</f>
        <v>Beech Street School</v>
      </c>
      <c r="B7" s="230">
        <f>IFERROR(VLOOKUP(A7,'School Tables'!$C$3:$D$365,2,FALSE),"")</f>
        <v>21600</v>
      </c>
      <c r="C7" s="223" t="str">
        <f>IFERROR(INDEX('School Tables'!$B$3:$B$365,MATCH('School Level Expenditures'!B7,'School Tables'!$D$3:$D$365,0)),"")</f>
        <v>Manchester</v>
      </c>
      <c r="D7" s="220">
        <v>6042284.1485145204</v>
      </c>
      <c r="E7" s="220">
        <v>3749905.1167591205</v>
      </c>
      <c r="F7" s="232">
        <f t="shared" si="1"/>
        <v>9792189.2652736418</v>
      </c>
      <c r="G7" s="223"/>
      <c r="H7" s="223"/>
      <c r="J7" t="str">
        <f t="shared" ref="J7:J20" si="2">A7</f>
        <v>Beech Street School</v>
      </c>
      <c r="K7" s="20"/>
      <c r="L7" s="20"/>
      <c r="M7" s="308"/>
      <c r="N7" s="20"/>
      <c r="O7" s="20"/>
      <c r="P7" s="20"/>
      <c r="Q7" s="20"/>
    </row>
    <row r="8" spans="1:21" x14ac:dyDescent="0.2">
      <c r="A8" t="str" cm="1">
        <f t="array" ref="A8">IFERROR(INDEX('School Tables'!$A$4:$G$325,'School Tables'!$J6,3),"")</f>
        <v>Gossler Park School</v>
      </c>
      <c r="B8" s="230">
        <f>IFERROR(VLOOKUP(A8,'School Tables'!$C$3:$D$365,2,FALSE),"")</f>
        <v>21530</v>
      </c>
      <c r="C8" s="223" t="str">
        <f>IFERROR(INDEX('School Tables'!$B$3:$B$365,MATCH('School Level Expenditures'!B8,'School Tables'!$D$3:$D$365,0)),"")</f>
        <v>Manchester</v>
      </c>
      <c r="D8" s="220">
        <v>4536954.6174087869</v>
      </c>
      <c r="E8" s="220">
        <v>2093519.3699106476</v>
      </c>
      <c r="F8" s="232">
        <f t="shared" si="1"/>
        <v>6630473.9873194341</v>
      </c>
      <c r="G8" s="223"/>
      <c r="H8" s="223"/>
      <c r="J8" t="str">
        <f t="shared" si="2"/>
        <v>Gossler Park School</v>
      </c>
      <c r="K8" s="20"/>
      <c r="L8" s="20"/>
      <c r="M8" s="308"/>
      <c r="N8" s="20"/>
      <c r="O8" s="20"/>
      <c r="P8" s="20"/>
      <c r="Q8" s="20"/>
    </row>
    <row r="9" spans="1:21" x14ac:dyDescent="0.2">
      <c r="A9" t="str" cm="1">
        <f t="array" ref="A9">IFERROR(INDEX('School Tables'!$A$4:$G$325,'School Tables'!$J7,3),"")</f>
        <v>Green Acres School</v>
      </c>
      <c r="B9" s="230">
        <f>IFERROR(VLOOKUP(A9,'School Tables'!$C$3:$D$365,2,FALSE),"")</f>
        <v>21610</v>
      </c>
      <c r="C9" s="223" t="str">
        <f>IFERROR(INDEX('School Tables'!$B$3:$B$365,MATCH('School Level Expenditures'!B9,'School Tables'!$D$3:$D$365,0)),"")</f>
        <v>Manchester</v>
      </c>
      <c r="D9" s="220">
        <v>5986498.7132427404</v>
      </c>
      <c r="E9" s="220">
        <v>3872957.9353704392</v>
      </c>
      <c r="F9" s="232">
        <f t="shared" si="1"/>
        <v>9859456.6486131791</v>
      </c>
      <c r="G9" s="223"/>
      <c r="H9" s="223"/>
      <c r="J9" t="str">
        <f t="shared" si="2"/>
        <v>Green Acres School</v>
      </c>
      <c r="K9" s="20"/>
      <c r="L9" s="20"/>
      <c r="M9" s="308"/>
      <c r="N9" s="20"/>
      <c r="O9" s="20"/>
      <c r="P9" s="20"/>
      <c r="Q9" s="20"/>
    </row>
    <row r="10" spans="1:21" x14ac:dyDescent="0.2">
      <c r="A10" t="str" cm="1">
        <f t="array" ref="A10">IFERROR(INDEX('School Tables'!$A$4:$G$325,'School Tables'!$J8,3),"")</f>
        <v>Henry Wilson Elementary School</v>
      </c>
      <c r="B10" s="230">
        <f>IFERROR(VLOOKUP(A10,'School Tables'!$C$3:$D$365,2,FALSE),"")</f>
        <v>21640</v>
      </c>
      <c r="C10" s="223" t="str">
        <f>IFERROR(INDEX('School Tables'!$B$3:$B$365,MATCH('School Level Expenditures'!B10,'School Tables'!$D$3:$D$365,0)),"")</f>
        <v>Manchester</v>
      </c>
      <c r="D10" s="220">
        <v>4524716.7070513787</v>
      </c>
      <c r="E10" s="220">
        <v>1988582.0200707368</v>
      </c>
      <c r="F10" s="232">
        <f t="shared" si="1"/>
        <v>6513298.727122115</v>
      </c>
      <c r="G10" s="223"/>
      <c r="H10" s="223"/>
      <c r="J10" t="str">
        <f t="shared" si="2"/>
        <v>Henry Wilson Elementary School</v>
      </c>
      <c r="K10" s="20"/>
      <c r="L10" s="20"/>
      <c r="M10" s="20"/>
      <c r="N10" s="20"/>
      <c r="O10" s="20"/>
      <c r="P10" s="20"/>
      <c r="Q10" s="20"/>
    </row>
    <row r="11" spans="1:21" x14ac:dyDescent="0.2">
      <c r="A11" t="str" cm="1">
        <f t="array" ref="A11">IFERROR(INDEX('School Tables'!$A$4:$G$325,'School Tables'!$J9,3),"")</f>
        <v>Highland-Goffes Falls School</v>
      </c>
      <c r="B11" s="230">
        <f>IFERROR(VLOOKUP(A11,'School Tables'!$C$3:$D$365,2,FALSE),"")</f>
        <v>21560</v>
      </c>
      <c r="C11" s="223" t="str">
        <f>IFERROR(INDEX('School Tables'!$B$3:$B$365,MATCH('School Level Expenditures'!B11,'School Tables'!$D$3:$D$365,0)),"")</f>
        <v>Manchester</v>
      </c>
      <c r="D11" s="220">
        <v>5170842.0421928521</v>
      </c>
      <c r="E11" s="220">
        <v>1304913.9224032015</v>
      </c>
      <c r="F11" s="232">
        <f t="shared" si="1"/>
        <v>6475755.9645960536</v>
      </c>
      <c r="G11" s="223"/>
      <c r="H11" s="223"/>
      <c r="J11" t="str">
        <f t="shared" si="2"/>
        <v>Highland-Goffes Falls School</v>
      </c>
      <c r="K11" s="20"/>
      <c r="L11" s="20"/>
      <c r="M11" s="20"/>
      <c r="N11" s="20"/>
      <c r="O11" s="20"/>
      <c r="P11" s="20"/>
      <c r="Q11" s="20"/>
    </row>
    <row r="12" spans="1:21" x14ac:dyDescent="0.2">
      <c r="A12" t="str" cm="1">
        <f t="array" ref="A12">IFERROR(INDEX('School Tables'!$A$4:$G$325,'School Tables'!$J10,3),"")</f>
        <v>Jewett School</v>
      </c>
      <c r="B12" s="230">
        <f>IFERROR(VLOOKUP(A12,'School Tables'!$C$3:$D$365,2,FALSE),"")</f>
        <v>21590</v>
      </c>
      <c r="C12" s="223" t="str">
        <f>IFERROR(INDEX('School Tables'!$B$3:$B$365,MATCH('School Level Expenditures'!B12,'School Tables'!$D$3:$D$365,0)),"")</f>
        <v>Manchester</v>
      </c>
      <c r="D12" s="220">
        <v>5896384.4546872675</v>
      </c>
      <c r="E12" s="220">
        <v>2889581.6507650777</v>
      </c>
      <c r="F12" s="232">
        <f t="shared" si="1"/>
        <v>8785966.1054523457</v>
      </c>
      <c r="G12" s="223"/>
      <c r="H12" s="223"/>
      <c r="J12" t="str">
        <f t="shared" si="2"/>
        <v>Jewett School</v>
      </c>
      <c r="K12" s="20"/>
      <c r="L12" s="20"/>
      <c r="M12" s="20"/>
      <c r="N12" s="20"/>
      <c r="O12" s="20"/>
      <c r="P12" s="20"/>
      <c r="Q12" s="20"/>
    </row>
    <row r="13" spans="1:21" x14ac:dyDescent="0.2">
      <c r="A13" t="str" cm="1">
        <f t="array" ref="A13">IFERROR(INDEX('School Tables'!$A$4:$G$325,'School Tables'!$J11,3),"")</f>
        <v>McDonough School</v>
      </c>
      <c r="B13" s="230">
        <f>IFERROR(VLOOKUP(A13,'School Tables'!$C$3:$D$365,2,FALSE),"")</f>
        <v>21565</v>
      </c>
      <c r="C13" s="223" t="str">
        <f>IFERROR(INDEX('School Tables'!$B$3:$B$365,MATCH('School Level Expenditures'!B13,'School Tables'!$D$3:$D$365,0)),"")</f>
        <v>Manchester</v>
      </c>
      <c r="D13" s="220">
        <v>6733400.7213477297</v>
      </c>
      <c r="E13" s="220">
        <v>1880293.5436671628</v>
      </c>
      <c r="F13" s="232">
        <f t="shared" si="1"/>
        <v>8613694.2650148924</v>
      </c>
      <c r="G13" s="223"/>
      <c r="H13" s="223"/>
      <c r="J13" t="str">
        <f t="shared" si="2"/>
        <v>McDonough School</v>
      </c>
      <c r="K13" s="20"/>
      <c r="L13" s="20"/>
      <c r="M13" s="20"/>
      <c r="N13" s="20"/>
      <c r="O13" s="20"/>
      <c r="P13" s="20"/>
      <c r="Q13" s="20"/>
    </row>
    <row r="14" spans="1:21" x14ac:dyDescent="0.2">
      <c r="A14" t="str" cm="1">
        <f t="array" ref="A14">IFERROR(INDEX('School Tables'!$A$4:$G$325,'School Tables'!$J12,3),"")</f>
        <v>Northwest Elementary School</v>
      </c>
      <c r="B14" s="230">
        <f>IFERROR(VLOOKUP(A14,'School Tables'!$C$3:$D$365,2,FALSE),"")</f>
        <v>26435</v>
      </c>
      <c r="C14" s="223" t="str">
        <f>IFERROR(INDEX('School Tables'!$B$3:$B$365,MATCH('School Level Expenditures'!B14,'School Tables'!$D$3:$D$365,0)),"")</f>
        <v>Manchester</v>
      </c>
      <c r="D14" s="220">
        <v>5974662.7951935977</v>
      </c>
      <c r="E14" s="220">
        <v>2938085.2609549514</v>
      </c>
      <c r="F14" s="232">
        <f t="shared" si="1"/>
        <v>8912748.0561485495</v>
      </c>
      <c r="G14" s="223"/>
      <c r="H14" s="223"/>
      <c r="J14" t="str">
        <f t="shared" si="2"/>
        <v>Northwest Elementary School</v>
      </c>
      <c r="K14" s="20"/>
      <c r="L14" s="20"/>
      <c r="M14" s="20"/>
      <c r="N14" s="20"/>
      <c r="O14" s="20"/>
      <c r="P14" s="20"/>
      <c r="Q14" s="20"/>
    </row>
    <row r="15" spans="1:21" x14ac:dyDescent="0.2">
      <c r="A15" t="str" cm="1">
        <f t="array" ref="A15">IFERROR(INDEX('School Tables'!$A$4:$G$325,'School Tables'!$J13,3),"")</f>
        <v>Parker-Varney School</v>
      </c>
      <c r="B15" s="230">
        <f>IFERROR(VLOOKUP(A15,'School Tables'!$C$3:$D$365,2,FALSE),"")</f>
        <v>21540</v>
      </c>
      <c r="C15" s="223" t="str">
        <f>IFERROR(INDEX('School Tables'!$B$3:$B$365,MATCH('School Level Expenditures'!B15,'School Tables'!$D$3:$D$365,0)),"")</f>
        <v>Manchester</v>
      </c>
      <c r="D15" s="220">
        <v>5410613.0117795989</v>
      </c>
      <c r="E15" s="220">
        <v>2079935.6886820546</v>
      </c>
      <c r="F15" s="232">
        <f t="shared" si="1"/>
        <v>7490548.700461654</v>
      </c>
      <c r="G15" s="223"/>
      <c r="H15" s="223"/>
      <c r="J15" t="str">
        <f t="shared" si="2"/>
        <v>Parker-Varney School</v>
      </c>
      <c r="K15" s="20"/>
      <c r="L15" s="20"/>
      <c r="M15" s="20"/>
      <c r="N15" s="20"/>
      <c r="O15" s="20"/>
      <c r="P15" s="20"/>
      <c r="Q15" s="20"/>
    </row>
    <row r="16" spans="1:21" x14ac:dyDescent="0.2">
      <c r="A16" t="str" cm="1">
        <f t="array" ref="A16">IFERROR(INDEX('School Tables'!$A$4:$G$325,'School Tables'!$J14,3),"")</f>
        <v>Smyth Road School</v>
      </c>
      <c r="B16" s="230">
        <f>IFERROR(VLOOKUP(A16,'School Tables'!$C$3:$D$365,2,FALSE),"")</f>
        <v>21605</v>
      </c>
      <c r="C16" s="223" t="str">
        <f>IFERROR(INDEX('School Tables'!$B$3:$B$365,MATCH('School Level Expenditures'!B16,'School Tables'!$D$3:$D$365,0)),"")</f>
        <v>Manchester</v>
      </c>
      <c r="D16" s="220">
        <v>5543742.8675204767</v>
      </c>
      <c r="E16" s="220">
        <v>2889729.0576731195</v>
      </c>
      <c r="F16" s="232">
        <f t="shared" si="1"/>
        <v>8433471.9251935966</v>
      </c>
      <c r="G16" s="223"/>
      <c r="H16" s="223"/>
      <c r="J16" t="str">
        <f t="shared" si="2"/>
        <v>Smyth Road School</v>
      </c>
      <c r="K16" s="20"/>
      <c r="L16" s="20"/>
      <c r="M16" s="20"/>
      <c r="N16" s="20"/>
      <c r="O16" s="20"/>
      <c r="P16" s="20"/>
      <c r="Q16" s="20"/>
    </row>
    <row r="17" spans="1:17" x14ac:dyDescent="0.2">
      <c r="A17" t="str" cm="1">
        <f t="array" ref="A17">IFERROR(INDEX('School Tables'!$A$4:$G$325,'School Tables'!$J15,3),"")</f>
        <v>Webster School</v>
      </c>
      <c r="B17" s="230">
        <f>IFERROR(VLOOKUP(A17,'School Tables'!$C$3:$D$365,2,FALSE),"")</f>
        <v>21635</v>
      </c>
      <c r="C17" s="223" t="str">
        <f>IFERROR(INDEX('School Tables'!$B$3:$B$365,MATCH('School Level Expenditures'!B17,'School Tables'!$D$3:$D$365,0)),"")</f>
        <v>Manchester</v>
      </c>
      <c r="D17" s="220">
        <v>4772748.2684400603</v>
      </c>
      <c r="E17" s="220">
        <v>2122844.6715841396</v>
      </c>
      <c r="F17" s="232">
        <f t="shared" si="1"/>
        <v>6895592.9400241999</v>
      </c>
      <c r="G17" s="223"/>
      <c r="H17" s="223"/>
      <c r="J17" t="str">
        <f t="shared" si="2"/>
        <v>Webster School</v>
      </c>
      <c r="K17" s="20"/>
      <c r="L17" s="20"/>
      <c r="M17" s="20"/>
      <c r="N17" s="20"/>
      <c r="O17" s="20"/>
      <c r="P17" s="20"/>
      <c r="Q17" s="20"/>
    </row>
    <row r="18" spans="1:17" x14ac:dyDescent="0.2">
      <c r="A18" t="str" cm="1">
        <f t="array" ref="A18">IFERROR(INDEX('School Tables'!$A$4:$G$325,'School Tables'!$J16,3),"")</f>
        <v>Weston Elementary School</v>
      </c>
      <c r="B18" s="230">
        <f>IFERROR(VLOOKUP(A18,'School Tables'!$C$3:$D$365,2,FALSE),"")</f>
        <v>21515</v>
      </c>
      <c r="C18" s="223" t="str">
        <f>IFERROR(INDEX('School Tables'!$B$3:$B$365,MATCH('School Level Expenditures'!B18,'School Tables'!$D$3:$D$365,0)),"")</f>
        <v>Manchester</v>
      </c>
      <c r="D18" s="220">
        <v>6369543.0904281465</v>
      </c>
      <c r="E18" s="220">
        <v>1521763.3697561426</v>
      </c>
      <c r="F18" s="232">
        <f t="shared" si="1"/>
        <v>7891306.4601842891</v>
      </c>
      <c r="G18" s="223"/>
      <c r="H18" s="223"/>
      <c r="J18" t="str">
        <f t="shared" si="2"/>
        <v>Weston Elementary School</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72312415.170000002</v>
      </c>
      <c r="E21" s="262">
        <f>SUM(E5:E20)</f>
        <v>30822187.879999995</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55761298.850000009</v>
      </c>
      <c r="G24" s="229">
        <f>'DOE25'!L230+'DOE25'!L310</f>
        <v>55761298.850000001</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v>1432111.14</v>
      </c>
      <c r="E25" s="220">
        <v>0</v>
      </c>
      <c r="F25" s="232">
        <f>D25+E25</f>
        <v>1432111.14</v>
      </c>
      <c r="G25" s="223"/>
      <c r="H25" s="223"/>
      <c r="J25" s="223"/>
      <c r="K25" s="223"/>
      <c r="L25" s="224"/>
      <c r="M25" s="223"/>
      <c r="N25" s="223"/>
      <c r="O25" s="223"/>
      <c r="P25" s="223"/>
      <c r="Q25" s="223"/>
    </row>
    <row r="26" spans="1:17" x14ac:dyDescent="0.2">
      <c r="A26" t="str" cm="1">
        <f t="array" ref="A26">IFERROR(INDEX('School Tables'!$L$4:$R$75,'School Tables'!$U4,3),"")</f>
        <v>Henry J. McLaughlin Jr. Middle School</v>
      </c>
      <c r="B26" s="230">
        <f>IFERROR(VLOOKUP(A26,'School Tables'!$N$4:$O$75,2,FALSE),"")</f>
        <v>27595</v>
      </c>
      <c r="C26" s="223" t="str">
        <f>IFERROR(INDEX('School Tables'!$M$4:$M$75,MATCH('School Level Expenditures'!A26,'School Tables'!$N$4:$N$75,0)),"")</f>
        <v>Manchester</v>
      </c>
      <c r="D26" s="220">
        <v>10190124.399343066</v>
      </c>
      <c r="E26" s="220">
        <v>2750299.9209489054</v>
      </c>
      <c r="F26" s="232">
        <f t="shared" ref="F26:F32" si="4">D26+E26</f>
        <v>12940424.320291972</v>
      </c>
      <c r="G26" s="223"/>
      <c r="H26" s="223"/>
      <c r="J26" t="str">
        <f t="shared" ref="J26:J32" si="5">A26</f>
        <v>Henry J. McLaughlin Jr. Middle School</v>
      </c>
      <c r="K26" s="20"/>
      <c r="L26" s="20"/>
      <c r="M26" s="308"/>
      <c r="N26" s="20"/>
      <c r="O26" s="20"/>
      <c r="P26" s="20"/>
      <c r="Q26" s="20"/>
    </row>
    <row r="27" spans="1:17" x14ac:dyDescent="0.2">
      <c r="A27" t="str" cm="1">
        <f t="array" ref="A27">IFERROR(INDEX('School Tables'!$L$4:$R$75,'School Tables'!$U5,3),"")</f>
        <v>Hillside Middle School</v>
      </c>
      <c r="B27" s="230">
        <f>IFERROR(VLOOKUP(A27,'School Tables'!$N$4:$O$75,2,FALSE),"")</f>
        <v>21520</v>
      </c>
      <c r="C27" s="223" t="str">
        <f>IFERROR(INDEX('School Tables'!$M$4:$M$75,MATCH('School Level Expenditures'!A27,'School Tables'!$N$4:$N$75,0)),"")</f>
        <v>Manchester</v>
      </c>
      <c r="D27" s="220">
        <v>11419712.96171201</v>
      </c>
      <c r="E27" s="220">
        <v>1685269.9169210354</v>
      </c>
      <c r="F27" s="232">
        <f t="shared" si="4"/>
        <v>13104982.878633045</v>
      </c>
      <c r="G27" s="223"/>
      <c r="H27" s="223"/>
      <c r="J27" t="str">
        <f t="shared" si="5"/>
        <v>Hillside Middle School</v>
      </c>
      <c r="K27" s="20"/>
      <c r="L27" s="20"/>
      <c r="M27" s="20"/>
      <c r="N27" s="20"/>
      <c r="O27" s="20"/>
      <c r="P27" s="20"/>
      <c r="Q27" s="20"/>
    </row>
    <row r="28" spans="1:17" x14ac:dyDescent="0.2">
      <c r="A28" t="str" cm="1">
        <f t="array" ref="A28">IFERROR(INDEX('School Tables'!$L$4:$R$75,'School Tables'!$U6,3),"")</f>
        <v>Middle School At Parkside</v>
      </c>
      <c r="B28" s="230">
        <f>IFERROR(VLOOKUP(A28,'School Tables'!$N$4:$O$75,2,FALSE),"")</f>
        <v>21525</v>
      </c>
      <c r="C28" s="223" t="str">
        <f>IFERROR(INDEX('School Tables'!$M$4:$M$75,MATCH('School Level Expenditures'!A28,'School Tables'!$N$4:$N$75,0)),"")</f>
        <v>Manchester</v>
      </c>
      <c r="D28" s="220">
        <v>12229834.250145987</v>
      </c>
      <c r="E28" s="220">
        <v>2091278.3842335765</v>
      </c>
      <c r="F28" s="232">
        <f t="shared" si="4"/>
        <v>14321112.634379564</v>
      </c>
      <c r="G28" s="223"/>
      <c r="H28" s="223"/>
      <c r="J28" t="str">
        <f t="shared" si="5"/>
        <v>Middle School At Parkside</v>
      </c>
      <c r="K28" s="20"/>
      <c r="L28" s="20"/>
      <c r="M28" s="20"/>
      <c r="N28" s="20"/>
      <c r="O28" s="20"/>
      <c r="P28" s="20"/>
      <c r="Q28" s="20"/>
    </row>
    <row r="29" spans="1:17" x14ac:dyDescent="0.2">
      <c r="A29" t="str" cm="1">
        <f t="array" ref="A29">IFERROR(INDEX('School Tables'!$L$4:$R$75,'School Tables'!$U7,3),"")</f>
        <v>Southside Middle School</v>
      </c>
      <c r="B29" s="230">
        <f>IFERROR(VLOOKUP(A29,'School Tables'!$N$4:$O$75,2,FALSE),"")</f>
        <v>21575</v>
      </c>
      <c r="C29" s="223" t="str">
        <f>IFERROR(INDEX('School Tables'!$M$4:$M$75,MATCH('School Level Expenditures'!A29,'School Tables'!$N$4:$N$75,0)),"")</f>
        <v>Manchester</v>
      </c>
      <c r="D29" s="220">
        <v>12235931.848798938</v>
      </c>
      <c r="E29" s="220">
        <v>1726736.0278964832</v>
      </c>
      <c r="F29" s="232">
        <f t="shared" si="4"/>
        <v>13962667.876695421</v>
      </c>
      <c r="G29" s="223"/>
      <c r="H29" s="223"/>
      <c r="J29" t="str">
        <f t="shared" si="5"/>
        <v>Southside Middle School</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47507714.600000001</v>
      </c>
      <c r="E33" s="262">
        <f>SUM(E25:E32)</f>
        <v>8253584.25</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69056605.159999996</v>
      </c>
      <c r="G36" s="229">
        <f>'DOE25'!L248+'DOE25'!L329</f>
        <v>69056605.159999982</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2924076.75</v>
      </c>
      <c r="E37" s="220">
        <v>18608.11</v>
      </c>
      <c r="F37" s="232">
        <f t="shared" ref="F37:F42" si="7">D37+E37</f>
        <v>2942684.86</v>
      </c>
      <c r="G37" s="223"/>
      <c r="H37" s="223"/>
      <c r="J37" s="223"/>
      <c r="K37" s="223"/>
      <c r="L37" s="224"/>
      <c r="M37" s="223"/>
      <c r="N37" s="223"/>
      <c r="O37" s="223"/>
      <c r="P37" s="223"/>
      <c r="Q37" s="223"/>
    </row>
    <row r="38" spans="1:18" x14ac:dyDescent="0.2">
      <c r="A38" t="str" cm="1">
        <f t="array" ref="A38">IFERROR(INDEX('School Tables'!$W$4:$AC$100,'School Tables'!$AF4,3),"")</f>
        <v>Manchester Central High School</v>
      </c>
      <c r="B38" s="230">
        <f>IFERROR(VLOOKUP(A38,'School Tables'!$Y$4:$Z$100,2,FALSE),"")</f>
        <v>21510</v>
      </c>
      <c r="C38" s="223" t="str">
        <f>IFERROR(INDEX('School Tables'!$X$4:$X$100,MATCH('School Level Expenditures'!A38,'School Tables'!$Y$4:$Y$100,0)),"")</f>
        <v>Manchester</v>
      </c>
      <c r="D38" s="220">
        <v>18022350.047822312</v>
      </c>
      <c r="E38" s="220">
        <v>2809161.6315041324</v>
      </c>
      <c r="F38" s="232">
        <f t="shared" si="7"/>
        <v>20831511.679326445</v>
      </c>
      <c r="G38" s="223"/>
      <c r="H38" s="223"/>
      <c r="J38" t="str">
        <f t="shared" ref="J38:J42" si="8">A38</f>
        <v>Manchester Central High School</v>
      </c>
      <c r="K38" s="20"/>
      <c r="L38" s="20"/>
      <c r="M38" s="308"/>
      <c r="N38" s="20"/>
      <c r="O38" s="20"/>
      <c r="P38" s="20"/>
      <c r="Q38" s="20"/>
    </row>
    <row r="39" spans="1:18" x14ac:dyDescent="0.2">
      <c r="A39" t="str" cm="1">
        <f t="array" ref="A39">IFERROR(INDEX('School Tables'!$W$4:$AC$100,'School Tables'!$AF5,3),"")</f>
        <v>Manchester Memorial High School</v>
      </c>
      <c r="B39" s="230">
        <f>IFERROR(VLOOKUP(A39,'School Tables'!$Y$4:$Z$100,2,FALSE),"")</f>
        <v>21505</v>
      </c>
      <c r="C39" s="223" t="str">
        <f>IFERROR(INDEX('School Tables'!$X$4:$X$100,MATCH('School Level Expenditures'!A39,'School Tables'!$Y$4:$Y$100,0)),"")</f>
        <v>Manchester</v>
      </c>
      <c r="D39" s="220">
        <v>18283946.684454545</v>
      </c>
      <c r="E39" s="220">
        <v>6036561.2674545459</v>
      </c>
      <c r="F39" s="232">
        <f t="shared" si="7"/>
        <v>24320507.951909091</v>
      </c>
      <c r="G39" s="223"/>
      <c r="H39" s="223"/>
      <c r="J39" t="str">
        <f t="shared" si="8"/>
        <v>Manchester Memorial High School</v>
      </c>
      <c r="K39" s="20"/>
      <c r="L39" s="20"/>
      <c r="M39" s="20"/>
      <c r="N39" s="20"/>
      <c r="O39" s="20"/>
      <c r="P39" s="20"/>
      <c r="Q39" s="20"/>
    </row>
    <row r="40" spans="1:18" x14ac:dyDescent="0.2">
      <c r="A40" t="str" cm="1">
        <f t="array" ref="A40">IFERROR(INDEX('School Tables'!$W$4:$AC$100,'School Tables'!$AF6,3),"")</f>
        <v>Manchester School of Technology (High School)</v>
      </c>
      <c r="B40" s="230">
        <f>IFERROR(VLOOKUP(A40,'School Tables'!$Y$4:$Z$100,2,FALSE),"")</f>
        <v>29085</v>
      </c>
      <c r="C40" s="223" t="str">
        <f>IFERROR(INDEX('School Tables'!$X$4:$X$100,MATCH('School Level Expenditures'!A40,'School Tables'!$Y$4:$Y$100,0)),"")</f>
        <v>Manchester</v>
      </c>
      <c r="D40" s="220">
        <v>5471812.5513195591</v>
      </c>
      <c r="E40" s="220">
        <v>1255429.2950468319</v>
      </c>
      <c r="F40" s="232">
        <f t="shared" si="7"/>
        <v>6727241.8463663906</v>
      </c>
      <c r="G40" s="223"/>
      <c r="H40" s="223"/>
      <c r="J40" t="str">
        <f t="shared" si="8"/>
        <v>Manchester School of Technology (High School)</v>
      </c>
      <c r="K40" s="20"/>
      <c r="L40" s="20"/>
      <c r="M40" s="20"/>
      <c r="N40" s="20"/>
      <c r="O40" s="20"/>
      <c r="P40" s="20"/>
      <c r="Q40" s="20"/>
    </row>
    <row r="41" spans="1:18" x14ac:dyDescent="0.2">
      <c r="A41" t="str" cm="1">
        <f t="array" ref="A41">IFERROR(INDEX('School Tables'!$W$4:$AC$100,'School Tables'!$AF7,3),"")</f>
        <v>Manchester West High School</v>
      </c>
      <c r="B41" s="230">
        <f>IFERROR(VLOOKUP(A41,'School Tables'!$Y$4:$Z$100,2,FALSE),"")</f>
        <v>21555</v>
      </c>
      <c r="C41" s="223" t="str">
        <f>IFERROR(INDEX('School Tables'!$X$4:$X$100,MATCH('School Level Expenditures'!A41,'School Tables'!$Y$4:$Y$100,0)),"")</f>
        <v>Manchester</v>
      </c>
      <c r="D41" s="20">
        <v>12271396.316403583</v>
      </c>
      <c r="E41" s="20">
        <v>1963262.5059944906</v>
      </c>
      <c r="F41" s="232">
        <f t="shared" si="7"/>
        <v>14234658.822398074</v>
      </c>
      <c r="G41" s="223"/>
      <c r="H41" s="223"/>
      <c r="J41" t="str">
        <f t="shared" si="8"/>
        <v>Manchester West High School</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56973582.350000001</v>
      </c>
      <c r="E43" s="263">
        <f>SUM(E37:E42)</f>
        <v>12083022.810000002</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39"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topLeftCell="B1" zoomScale="80" zoomScaleNormal="80" workbookViewId="0">
      <selection activeCell="N49" sqref="N49"/>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Manchester</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7975810.5</v>
      </c>
      <c r="D8" s="73">
        <f>'DOE25'!G9</f>
        <v>853783.45</v>
      </c>
      <c r="E8" s="73">
        <f>'DOE25'!H9</f>
        <v>1400</v>
      </c>
      <c r="F8" s="73">
        <f>'DOE25'!I9</f>
        <v>0</v>
      </c>
      <c r="G8" s="73">
        <f>'DOE25'!J9</f>
        <v>0</v>
      </c>
      <c r="H8" s="13">
        <f>SUM(C8:G8)</f>
        <v>8830993.9499999993</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5238814.37</v>
      </c>
      <c r="D11" s="73">
        <f>'DOE25'!G12</f>
        <v>0</v>
      </c>
      <c r="E11" s="73">
        <f>'DOE25'!H12</f>
        <v>0</v>
      </c>
      <c r="F11" s="73">
        <f>'DOE25'!I12</f>
        <v>0</v>
      </c>
      <c r="G11" s="73">
        <f>'DOE25'!J12</f>
        <v>4078010.15</v>
      </c>
      <c r="H11" s="13">
        <f t="shared" si="0"/>
        <v>9316824.5199999996</v>
      </c>
      <c r="I11" s="90"/>
    </row>
    <row r="12" spans="1:9" x14ac:dyDescent="0.2">
      <c r="A12" s="1" t="s">
        <v>143</v>
      </c>
      <c r="B12" s="6">
        <v>140</v>
      </c>
      <c r="C12" s="73">
        <f>'DOE25'!F13</f>
        <v>44289622.490000002</v>
      </c>
      <c r="D12" s="73">
        <f>'DOE25'!G13</f>
        <v>686650.42999999993</v>
      </c>
      <c r="E12" s="73">
        <f>'DOE25'!H13</f>
        <v>0</v>
      </c>
      <c r="F12" s="73">
        <f>'DOE25'!I13</f>
        <v>0</v>
      </c>
      <c r="G12" s="73">
        <f>'DOE25'!J13</f>
        <v>27201890.59</v>
      </c>
      <c r="H12" s="13">
        <f t="shared" si="0"/>
        <v>72178163.510000005</v>
      </c>
      <c r="I12" s="90"/>
    </row>
    <row r="13" spans="1:9" x14ac:dyDescent="0.2">
      <c r="A13" s="1" t="s">
        <v>144</v>
      </c>
      <c r="B13" s="6">
        <v>150</v>
      </c>
      <c r="C13" s="73">
        <f>'DOE25'!F14</f>
        <v>2462546.16</v>
      </c>
      <c r="D13" s="73">
        <f>'DOE25'!G14</f>
        <v>1583.87</v>
      </c>
      <c r="E13" s="73">
        <f>'DOE25'!H14</f>
        <v>9810577.9199999999</v>
      </c>
      <c r="F13" s="73">
        <f>'DOE25'!I14</f>
        <v>0</v>
      </c>
      <c r="G13" s="73">
        <f>'DOE25'!J14</f>
        <v>0</v>
      </c>
      <c r="H13" s="13">
        <f t="shared" si="0"/>
        <v>12274707.949999999</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80624.58</v>
      </c>
      <c r="E15" s="73">
        <f>'DOE25'!H16</f>
        <v>0</v>
      </c>
      <c r="F15" s="73">
        <f>'DOE25'!I16</f>
        <v>0</v>
      </c>
      <c r="G15" s="23" t="s">
        <v>288</v>
      </c>
      <c r="H15" s="13">
        <f t="shared" si="0"/>
        <v>80624.58</v>
      </c>
      <c r="I15" s="90"/>
    </row>
    <row r="16" spans="1:9" x14ac:dyDescent="0.2">
      <c r="A16" s="1" t="s">
        <v>147</v>
      </c>
      <c r="B16" s="6">
        <v>180</v>
      </c>
      <c r="C16" s="73">
        <f>'DOE25'!F17</f>
        <v>20642.18</v>
      </c>
      <c r="D16" s="73">
        <f>'DOE25'!G17</f>
        <v>0</v>
      </c>
      <c r="E16" s="73">
        <f>'DOE25'!H17</f>
        <v>0</v>
      </c>
      <c r="F16" s="73">
        <f>'DOE25'!I17</f>
        <v>0</v>
      </c>
      <c r="G16" s="73">
        <f>'DOE25'!J17</f>
        <v>0</v>
      </c>
      <c r="H16" s="13">
        <f t="shared" si="0"/>
        <v>20642.18</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59987435.699999996</v>
      </c>
      <c r="D18" s="38">
        <f>SUM(D8:D17)</f>
        <v>1622642.33</v>
      </c>
      <c r="E18" s="38">
        <f>SUM(E8:E17)</f>
        <v>9811977.9199999999</v>
      </c>
      <c r="F18" s="38">
        <f>SUM(F8:F17)</f>
        <v>0</v>
      </c>
      <c r="G18" s="38">
        <f>SUM(G8:G17)</f>
        <v>31279900.739999998</v>
      </c>
      <c r="H18" s="38">
        <f t="shared" si="0"/>
        <v>102701956.68999998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4078020.6</v>
      </c>
      <c r="D21" s="73">
        <f>'DOE25'!G22</f>
        <v>319600</v>
      </c>
      <c r="E21" s="73">
        <f>'DOE25'!H22</f>
        <v>4922293.0199999996</v>
      </c>
      <c r="F21" s="73">
        <f>'DOE25'!I22</f>
        <v>0</v>
      </c>
      <c r="G21" s="73">
        <f>'DOE25'!J22</f>
        <v>0</v>
      </c>
      <c r="H21" s="13">
        <f t="shared" ref="H21:H31" si="1">SUM(C21:G21)</f>
        <v>9319913.6199999992</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4516886.68</v>
      </c>
      <c r="D23" s="73">
        <f>'DOE25'!G24</f>
        <v>117038.65</v>
      </c>
      <c r="E23" s="73">
        <f>'DOE25'!H24</f>
        <v>3515734.48</v>
      </c>
      <c r="F23" s="73">
        <f>'DOE25'!I24</f>
        <v>0</v>
      </c>
      <c r="G23" s="73">
        <f>'DOE25'!J24</f>
        <v>0</v>
      </c>
      <c r="H23" s="13">
        <f t="shared" si="1"/>
        <v>8149659.8100000005</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3520106.25</v>
      </c>
      <c r="D27" s="73">
        <f>'DOE25'!G28</f>
        <v>19498.759999999998</v>
      </c>
      <c r="E27" s="73">
        <f>'DOE25'!H28</f>
        <v>813264.36</v>
      </c>
      <c r="F27" s="73">
        <f>'DOE25'!I28</f>
        <v>0</v>
      </c>
      <c r="G27" s="23" t="s">
        <v>288</v>
      </c>
      <c r="H27" s="13">
        <f t="shared" si="1"/>
        <v>4352869.37</v>
      </c>
      <c r="I27" s="90"/>
    </row>
    <row r="28" spans="1:9" x14ac:dyDescent="0.2">
      <c r="A28" s="1" t="s">
        <v>157</v>
      </c>
      <c r="B28" s="6">
        <v>470</v>
      </c>
      <c r="C28" s="73">
        <f>'DOE25'!F29</f>
        <v>2003060.22</v>
      </c>
      <c r="D28" s="73">
        <f>'DOE25'!G29</f>
        <v>0</v>
      </c>
      <c r="E28" s="73">
        <f>'DOE25'!H29</f>
        <v>0</v>
      </c>
      <c r="F28" s="73">
        <f>'DOE25'!I29</f>
        <v>0</v>
      </c>
      <c r="G28" s="23" t="s">
        <v>288</v>
      </c>
      <c r="H28" s="13">
        <f t="shared" si="1"/>
        <v>2003060.22</v>
      </c>
      <c r="I28" s="90"/>
    </row>
    <row r="29" spans="1:9" x14ac:dyDescent="0.2">
      <c r="A29" s="1" t="s">
        <v>158</v>
      </c>
      <c r="B29" s="6">
        <v>480</v>
      </c>
      <c r="C29" s="73">
        <f>'DOE25'!F30</f>
        <v>44125450.280000001</v>
      </c>
      <c r="D29" s="73">
        <f>'DOE25'!G30</f>
        <v>69039.53</v>
      </c>
      <c r="E29" s="73">
        <f>'DOE25'!H30</f>
        <v>0</v>
      </c>
      <c r="F29" s="73">
        <f>'DOE25'!I30</f>
        <v>0</v>
      </c>
      <c r="G29" s="23" t="s">
        <v>288</v>
      </c>
      <c r="H29" s="13">
        <f t="shared" si="1"/>
        <v>44194489.810000002</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58243524.030000001</v>
      </c>
      <c r="D31" s="38">
        <f>SUM(D21:D30)</f>
        <v>525176.94000000006</v>
      </c>
      <c r="E31" s="38">
        <f>SUM(E21:E30)</f>
        <v>9251291.8599999994</v>
      </c>
      <c r="F31" s="38">
        <f>SUM(F21:F30)</f>
        <v>0</v>
      </c>
      <c r="G31" s="38">
        <f>SUM(G21:G30)</f>
        <v>0</v>
      </c>
      <c r="H31" s="38">
        <f t="shared" si="1"/>
        <v>68019992.829999998</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80624.58</v>
      </c>
      <c r="E34" s="73">
        <f>'DOE25'!H35</f>
        <v>0</v>
      </c>
      <c r="F34" s="73">
        <f>'DOE25'!I35</f>
        <v>0</v>
      </c>
      <c r="G34" s="23" t="s">
        <v>288</v>
      </c>
      <c r="H34" s="13">
        <f t="shared" ref="H34:H51" si="2">SUM(C34:G34)</f>
        <v>80624.58</v>
      </c>
      <c r="I34" s="90"/>
    </row>
    <row r="35" spans="1:9" x14ac:dyDescent="0.2">
      <c r="A35" s="1" t="s">
        <v>849</v>
      </c>
      <c r="B35" s="6">
        <v>752</v>
      </c>
      <c r="C35" s="73">
        <f>'DOE25'!F36</f>
        <v>20642.18</v>
      </c>
      <c r="D35" s="73">
        <f>'DOE25'!G36</f>
        <v>0</v>
      </c>
      <c r="E35" s="73">
        <f>'DOE25'!H36</f>
        <v>0</v>
      </c>
      <c r="F35" s="73">
        <f>'DOE25'!I36</f>
        <v>0</v>
      </c>
      <c r="G35" s="23" t="s">
        <v>288</v>
      </c>
      <c r="H35" s="13">
        <f t="shared" si="2"/>
        <v>20642.18</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942629.07</v>
      </c>
      <c r="E39" s="23" t="s">
        <v>288</v>
      </c>
      <c r="F39" s="23" t="s">
        <v>288</v>
      </c>
      <c r="G39" s="23" t="s">
        <v>288</v>
      </c>
      <c r="H39" s="13">
        <f t="shared" si="2"/>
        <v>942629.07</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668703</v>
      </c>
      <c r="D47" s="73">
        <f>'DOE25'!G48</f>
        <v>0</v>
      </c>
      <c r="E47" s="73">
        <f>'DOE25'!H48</f>
        <v>560686.06000000006</v>
      </c>
      <c r="F47" s="73">
        <f>'DOE25'!I48</f>
        <v>0</v>
      </c>
      <c r="G47" s="73">
        <f>'DOE25'!J48</f>
        <v>31279900.739999998</v>
      </c>
      <c r="H47" s="13">
        <f t="shared" si="2"/>
        <v>32509289.799999997</v>
      </c>
      <c r="I47" s="90"/>
    </row>
    <row r="48" spans="1:9" x14ac:dyDescent="0.2">
      <c r="A48" s="1" t="s">
        <v>881</v>
      </c>
      <c r="B48" s="6">
        <v>753</v>
      </c>
      <c r="C48" s="73">
        <f>'DOE25'!F49</f>
        <v>1054566.49</v>
      </c>
      <c r="D48" s="73">
        <f>'DOE25'!G49</f>
        <v>74211.740000000005</v>
      </c>
      <c r="E48" s="73">
        <f>'DOE25'!H49</f>
        <v>0</v>
      </c>
      <c r="F48" s="73">
        <f>'DOE25'!I49</f>
        <v>0</v>
      </c>
      <c r="G48" s="73">
        <f>'DOE25'!J49</f>
        <v>0</v>
      </c>
      <c r="H48" s="13">
        <f t="shared" si="2"/>
        <v>1128778.23</v>
      </c>
      <c r="I48" s="90"/>
    </row>
    <row r="49" spans="1:9" ht="12" thickBot="1" x14ac:dyDescent="0.25">
      <c r="A49" s="28" t="s">
        <v>882</v>
      </c>
      <c r="B49" s="56">
        <v>770</v>
      </c>
      <c r="C49" s="73">
        <f>'DOE25'!F50</f>
        <v>0</v>
      </c>
      <c r="D49" s="23" t="s">
        <v>288</v>
      </c>
      <c r="E49" s="23" t="s">
        <v>288</v>
      </c>
      <c r="F49" s="23" t="s">
        <v>288</v>
      </c>
      <c r="G49" s="23" t="s">
        <v>288</v>
      </c>
      <c r="H49" s="13">
        <f t="shared" si="2"/>
        <v>0</v>
      </c>
      <c r="I49" s="90"/>
    </row>
    <row r="50" spans="1:9" ht="12.75" thickTop="1" thickBot="1" x14ac:dyDescent="0.25">
      <c r="A50" s="35" t="s">
        <v>883</v>
      </c>
      <c r="B50" s="44"/>
      <c r="C50" s="38">
        <f>SUM(C34:C49)</f>
        <v>1743911.67</v>
      </c>
      <c r="D50" s="38">
        <f>SUM(D34:D49)</f>
        <v>1097465.3899999999</v>
      </c>
      <c r="E50" s="38">
        <f>SUM(E34:E49)</f>
        <v>560686.06000000006</v>
      </c>
      <c r="F50" s="38">
        <f>SUM(F34:F49)</f>
        <v>0</v>
      </c>
      <c r="G50" s="38">
        <f>SUM(G34:G49)</f>
        <v>31279900.739999998</v>
      </c>
      <c r="H50" s="38">
        <f t="shared" si="2"/>
        <v>34681963.859999999</v>
      </c>
      <c r="I50" s="90"/>
    </row>
    <row r="51" spans="1:9" ht="12" thickTop="1" x14ac:dyDescent="0.2">
      <c r="A51" s="35" t="s">
        <v>884</v>
      </c>
      <c r="B51" s="2"/>
      <c r="C51" s="38">
        <f>C50+C31</f>
        <v>59987435.700000003</v>
      </c>
      <c r="D51" s="38">
        <f>D50+D31</f>
        <v>1622642.33</v>
      </c>
      <c r="E51" s="38">
        <f>E50+E31</f>
        <v>9811977.9199999999</v>
      </c>
      <c r="F51" s="38">
        <f>F50+F31</f>
        <v>0</v>
      </c>
      <c r="G51" s="38">
        <f>G50+G31</f>
        <v>31279900.739999998</v>
      </c>
      <c r="H51" s="38">
        <f t="shared" si="2"/>
        <v>102701956.69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97001685</v>
      </c>
      <c r="D56" s="73">
        <f>'DOE25'!G60</f>
        <v>0</v>
      </c>
      <c r="E56" s="73">
        <f>'DOE25'!H60</f>
        <v>0</v>
      </c>
      <c r="F56" s="73">
        <f>'DOE25'!I60</f>
        <v>0</v>
      </c>
      <c r="G56" s="73">
        <f>'DOE25'!J60</f>
        <v>0</v>
      </c>
      <c r="H56" s="13">
        <f t="shared" ref="H56:H63" si="3">SUM(C56:G56)</f>
        <v>97001685</v>
      </c>
      <c r="I56"/>
    </row>
    <row r="57" spans="1:9" x14ac:dyDescent="0.2">
      <c r="A57" s="1" t="s">
        <v>164</v>
      </c>
      <c r="B57" s="6" t="s">
        <v>165</v>
      </c>
      <c r="C57" s="73">
        <f>'DOE25'!F79</f>
        <v>957496.13</v>
      </c>
      <c r="D57" s="23" t="s">
        <v>288</v>
      </c>
      <c r="E57" s="73">
        <f>'DOE25'!H79</f>
        <v>618211.46</v>
      </c>
      <c r="F57" s="23" t="s">
        <v>288</v>
      </c>
      <c r="G57" s="23" t="s">
        <v>288</v>
      </c>
      <c r="H57" s="13">
        <f t="shared" si="3"/>
        <v>1575707.5899999999</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459796.11</v>
      </c>
      <c r="D59" s="73">
        <f>'DOE25'!G96</f>
        <v>0</v>
      </c>
      <c r="E59" s="73">
        <f>'DOE25'!H96</f>
        <v>0</v>
      </c>
      <c r="F59" s="73">
        <f>'DOE25'!I96</f>
        <v>0</v>
      </c>
      <c r="G59" s="73">
        <f>'DOE25'!J96</f>
        <v>662508.44999999995</v>
      </c>
      <c r="H59" s="13">
        <f t="shared" si="3"/>
        <v>1122304.56</v>
      </c>
      <c r="I59"/>
    </row>
    <row r="60" spans="1:9" x14ac:dyDescent="0.2">
      <c r="A60" s="1" t="s">
        <v>170</v>
      </c>
      <c r="B60" s="22" t="s">
        <v>171</v>
      </c>
      <c r="C60" s="23" t="s">
        <v>288</v>
      </c>
      <c r="D60" s="73">
        <f>'DOE25'!G97</f>
        <v>1094509.8599999999</v>
      </c>
      <c r="E60" s="23" t="s">
        <v>288</v>
      </c>
      <c r="F60" s="23" t="s">
        <v>288</v>
      </c>
      <c r="G60" s="23" t="s">
        <v>288</v>
      </c>
      <c r="H60" s="13">
        <f t="shared" si="3"/>
        <v>1094509.8599999999</v>
      </c>
      <c r="I60"/>
    </row>
    <row r="61" spans="1:9" ht="12" thickBot="1" x14ac:dyDescent="0.25">
      <c r="A61" s="1" t="s">
        <v>172</v>
      </c>
      <c r="B61" s="22" t="s">
        <v>173</v>
      </c>
      <c r="C61" s="73">
        <f>SUM('DOE25'!F98:F110)</f>
        <v>864258.02</v>
      </c>
      <c r="D61" s="73">
        <f>SUM('DOE25'!G98:G110)</f>
        <v>9268.1299999999992</v>
      </c>
      <c r="E61" s="73">
        <f>SUM('DOE25'!H98:H110)</f>
        <v>647260.14</v>
      </c>
      <c r="F61" s="73">
        <f>SUM('DOE25'!I98:I110)</f>
        <v>0</v>
      </c>
      <c r="G61" s="73">
        <f>SUM('DOE25'!J98:J110)</f>
        <v>0</v>
      </c>
      <c r="H61" s="13">
        <f t="shared" si="3"/>
        <v>1520786.29</v>
      </c>
      <c r="I61"/>
    </row>
    <row r="62" spans="1:9" ht="12.75" thickTop="1" thickBot="1" x14ac:dyDescent="0.25">
      <c r="A62" s="28" t="s">
        <v>174</v>
      </c>
      <c r="B62" s="6"/>
      <c r="C62" s="93">
        <f>SUM(C57:C61)</f>
        <v>2281550.2599999998</v>
      </c>
      <c r="D62" s="93">
        <f>SUM(D57:D61)</f>
        <v>1103777.9899999998</v>
      </c>
      <c r="E62" s="93">
        <f>SUM(E57:E61)</f>
        <v>1265471.6000000001</v>
      </c>
      <c r="F62" s="93">
        <f>SUM(F57:F61)</f>
        <v>0</v>
      </c>
      <c r="G62" s="93">
        <f>SUM(G57:G61)</f>
        <v>662508.44999999995</v>
      </c>
      <c r="H62" s="13">
        <f t="shared" si="3"/>
        <v>5313308.3</v>
      </c>
      <c r="I62"/>
    </row>
    <row r="63" spans="1:9" ht="12" thickTop="1" x14ac:dyDescent="0.2">
      <c r="A63" s="28" t="s">
        <v>175</v>
      </c>
      <c r="B63" s="6"/>
      <c r="C63" s="21">
        <f>C56+C62</f>
        <v>99283235.260000005</v>
      </c>
      <c r="D63" s="21">
        <f>D56+D62</f>
        <v>1103777.9899999998</v>
      </c>
      <c r="E63" s="21">
        <f>E56+E62</f>
        <v>1265471.6000000001</v>
      </c>
      <c r="F63" s="21">
        <f>F56+F62</f>
        <v>0</v>
      </c>
      <c r="G63" s="21">
        <f>G56+G62</f>
        <v>662508.44999999995</v>
      </c>
      <c r="H63" s="13">
        <f t="shared" si="3"/>
        <v>102314993.3</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70500444.170000002</v>
      </c>
      <c r="D66" s="23" t="s">
        <v>288</v>
      </c>
      <c r="E66" s="23" t="s">
        <v>288</v>
      </c>
      <c r="F66" s="23" t="s">
        <v>288</v>
      </c>
      <c r="G66" s="23" t="s">
        <v>288</v>
      </c>
      <c r="H66" s="13">
        <f t="shared" ref="H66:H81" si="4">SUM(C66:G66)</f>
        <v>70500444.170000002</v>
      </c>
      <c r="I66"/>
    </row>
    <row r="67" spans="1:9" x14ac:dyDescent="0.2">
      <c r="A67" s="1" t="s">
        <v>770</v>
      </c>
      <c r="B67" s="6">
        <v>3112</v>
      </c>
      <c r="C67" s="73">
        <f>'DOE25'!F118</f>
        <v>15458857</v>
      </c>
      <c r="D67" s="23"/>
      <c r="E67" s="23"/>
      <c r="F67" s="23"/>
      <c r="G67" s="23"/>
      <c r="H67" s="13">
        <f t="shared" si="4"/>
        <v>15458857</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1598313.71</v>
      </c>
      <c r="D69" s="73">
        <f>'DOE25'!G120</f>
        <v>0</v>
      </c>
      <c r="E69" s="73">
        <f>'DOE25'!H120</f>
        <v>0</v>
      </c>
      <c r="F69" s="73">
        <f>'DOE25'!I120</f>
        <v>0</v>
      </c>
      <c r="G69" s="73">
        <f>'DOE25'!J120</f>
        <v>0</v>
      </c>
      <c r="H69" s="13">
        <f t="shared" si="4"/>
        <v>1598313.71</v>
      </c>
      <c r="I69"/>
    </row>
    <row r="70" spans="1:9" ht="12" thickTop="1" x14ac:dyDescent="0.2">
      <c r="A70" s="28" t="s">
        <v>252</v>
      </c>
      <c r="B70" s="2"/>
      <c r="C70" s="97">
        <f>SUM(C66:C69)</f>
        <v>87557614.879999995</v>
      </c>
      <c r="D70" s="97">
        <f>D69</f>
        <v>0</v>
      </c>
      <c r="E70" s="97">
        <f>E69</f>
        <v>0</v>
      </c>
      <c r="F70" s="97">
        <f>F69</f>
        <v>0</v>
      </c>
      <c r="G70" s="97">
        <f>G69</f>
        <v>0</v>
      </c>
      <c r="H70" s="13">
        <f t="shared" si="4"/>
        <v>87557614.879999995</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3023562.67</v>
      </c>
      <c r="D72" s="23" t="s">
        <v>288</v>
      </c>
      <c r="E72" s="23" t="s">
        <v>288</v>
      </c>
      <c r="F72" s="73">
        <f>'DOE25'!I123</f>
        <v>0</v>
      </c>
      <c r="G72" s="23" t="s">
        <v>288</v>
      </c>
      <c r="H72" s="13">
        <f t="shared" si="4"/>
        <v>3023562.67</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2048190.66</v>
      </c>
      <c r="D75" s="23" t="s">
        <v>288</v>
      </c>
      <c r="E75" s="23" t="s">
        <v>288</v>
      </c>
      <c r="F75" s="23" t="s">
        <v>288</v>
      </c>
      <c r="G75" s="23" t="s">
        <v>288</v>
      </c>
      <c r="H75" s="13">
        <f t="shared" si="4"/>
        <v>2048190.66</v>
      </c>
      <c r="I75"/>
    </row>
    <row r="76" spans="1:9" x14ac:dyDescent="0.2">
      <c r="A76" s="1" t="s">
        <v>257</v>
      </c>
      <c r="B76" s="6" t="s">
        <v>179</v>
      </c>
      <c r="C76" s="73">
        <f>SUM('DOE25'!F127:F130)</f>
        <v>674057.8</v>
      </c>
      <c r="D76" s="23" t="s">
        <v>288</v>
      </c>
      <c r="E76" s="73">
        <f>SUM('DOE25'!H127:H130)</f>
        <v>74789.789999999994</v>
      </c>
      <c r="F76" s="73">
        <f>SUM('DOE25'!I127:I130)</f>
        <v>0</v>
      </c>
      <c r="G76" s="23" t="s">
        <v>288</v>
      </c>
      <c r="H76" s="13">
        <f t="shared" si="4"/>
        <v>748847.59000000008</v>
      </c>
      <c r="I76"/>
    </row>
    <row r="77" spans="1:9" ht="12" thickBot="1" x14ac:dyDescent="0.25">
      <c r="A77" s="1" t="s">
        <v>258</v>
      </c>
      <c r="B77" s="6" t="s">
        <v>180</v>
      </c>
      <c r="C77" s="73">
        <f>SUM('DOE25'!F131:F135)</f>
        <v>0</v>
      </c>
      <c r="D77" s="73">
        <f>SUM('DOE25'!G131:G135)</f>
        <v>72245.39</v>
      </c>
      <c r="E77" s="73">
        <f>SUM('DOE25'!H131:H135)</f>
        <v>239662.71999999997</v>
      </c>
      <c r="F77" s="73">
        <f>SUM('DOE25'!I131:I135)</f>
        <v>0</v>
      </c>
      <c r="G77" s="73">
        <f>SUM('DOE25'!J131:J135)</f>
        <v>0</v>
      </c>
      <c r="H77" s="13">
        <f t="shared" si="4"/>
        <v>311908.11</v>
      </c>
      <c r="I77"/>
    </row>
    <row r="78" spans="1:9" ht="12.75" thickTop="1" thickBot="1" x14ac:dyDescent="0.25">
      <c r="A78" s="28" t="s">
        <v>259</v>
      </c>
      <c r="B78" s="6"/>
      <c r="C78" s="93">
        <f>SUM(C72:C77)</f>
        <v>5745811.1299999999</v>
      </c>
      <c r="D78" s="93">
        <f>SUM(D72:D77)</f>
        <v>72245.39</v>
      </c>
      <c r="E78" s="93">
        <f>SUM(E72:E77)</f>
        <v>314452.50999999995</v>
      </c>
      <c r="F78" s="93">
        <f>SUM(F72:F77)</f>
        <v>0</v>
      </c>
      <c r="G78" s="93">
        <f>SUM(G72:G77)</f>
        <v>0</v>
      </c>
      <c r="H78" s="13">
        <f t="shared" si="4"/>
        <v>6132509.0299999993</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93303426.00999999</v>
      </c>
      <c r="D81" s="93">
        <f>SUM(D79:D80)+D78+D70</f>
        <v>72245.39</v>
      </c>
      <c r="E81" s="93">
        <f>SUM(E79:E80)+E78+E70</f>
        <v>314452.50999999995</v>
      </c>
      <c r="F81" s="93">
        <f>SUM(F79:F80)+F78+F70</f>
        <v>0</v>
      </c>
      <c r="G81" s="93">
        <f>SUM(G79:G80)+G78+G70</f>
        <v>0</v>
      </c>
      <c r="H81" s="93">
        <f t="shared" si="4"/>
        <v>93690123.909999996</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497815.88</v>
      </c>
      <c r="E85" s="73">
        <f>'DOE25'!H147</f>
        <v>0</v>
      </c>
      <c r="F85" s="73">
        <f>'DOE25'!I147</f>
        <v>0</v>
      </c>
      <c r="G85" s="23" t="s">
        <v>288</v>
      </c>
      <c r="H85" s="13">
        <f t="shared" ref="H85:H104" si="5">SUM(C85:G85)</f>
        <v>497815.88</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634111.54</v>
      </c>
      <c r="D88" s="253">
        <f>SUM('DOE25'!G153:G162)</f>
        <v>3493965.9499999997</v>
      </c>
      <c r="E88" s="253">
        <f>SUM('DOE25'!H153:H162)</f>
        <v>50483560.100000001</v>
      </c>
      <c r="F88" s="253">
        <f>SUM('DOE25'!I153:I162)</f>
        <v>0</v>
      </c>
      <c r="G88" s="23" t="s">
        <v>288</v>
      </c>
      <c r="H88" s="13">
        <f t="shared" si="5"/>
        <v>54611637.590000004</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634111.54</v>
      </c>
      <c r="D91" s="94">
        <f>SUM(D85:D90)</f>
        <v>3991781.8299999996</v>
      </c>
      <c r="E91" s="94">
        <f>SUM(E85:E90)</f>
        <v>50483560.100000001</v>
      </c>
      <c r="F91" s="94">
        <f>SUM(F85:F90)</f>
        <v>0</v>
      </c>
      <c r="G91" s="23" t="s">
        <v>288</v>
      </c>
      <c r="H91" s="13">
        <f t="shared" si="5"/>
        <v>55109453.469999999</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350000</v>
      </c>
      <c r="E96" s="73">
        <f>'DOE25'!H180</f>
        <v>0</v>
      </c>
      <c r="F96" s="73">
        <f>'DOE25'!I180</f>
        <v>0</v>
      </c>
      <c r="G96" s="73">
        <f>'DOE25'!J180</f>
        <v>4078021.71</v>
      </c>
      <c r="H96" s="13">
        <f t="shared" si="5"/>
        <v>4428021.71</v>
      </c>
    </row>
    <row r="97" spans="1:8" x14ac:dyDescent="0.2">
      <c r="A97" t="s">
        <v>754</v>
      </c>
      <c r="B97" s="31" t="s">
        <v>188</v>
      </c>
      <c r="C97" s="73">
        <f>SUM('DOE25'!F181:F182)</f>
        <v>247481.1</v>
      </c>
      <c r="D97" s="73">
        <f>SUM('DOE25'!G181:G182)</f>
        <v>0</v>
      </c>
      <c r="E97" s="73">
        <f>SUM('DOE25'!H181:H182)</f>
        <v>0</v>
      </c>
      <c r="F97" s="73">
        <f>SUM('DOE25'!I181:I182)</f>
        <v>0</v>
      </c>
      <c r="G97" s="73">
        <f>SUM('DOE25'!J181:J182)</f>
        <v>0</v>
      </c>
      <c r="H97" s="13">
        <f t="shared" si="5"/>
        <v>247481.1</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200000</v>
      </c>
      <c r="D100" s="73">
        <f>SUM('DOE25'!G187:G188)</f>
        <v>0</v>
      </c>
      <c r="E100" s="73">
        <f>SUM('DOE25'!H187:H188)</f>
        <v>0</v>
      </c>
      <c r="F100" s="73">
        <f>SUM('DOE25'!I187:I188)</f>
        <v>0</v>
      </c>
      <c r="G100" s="23" t="s">
        <v>288</v>
      </c>
      <c r="H100" s="13">
        <f t="shared" si="5"/>
        <v>200000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447481.1</v>
      </c>
      <c r="D103" s="68">
        <f>SUM(D93:D102)</f>
        <v>350000</v>
      </c>
      <c r="E103" s="68">
        <f>SUM(E93:E102)</f>
        <v>0</v>
      </c>
      <c r="F103" s="68">
        <f>SUM(F93:F102)</f>
        <v>0</v>
      </c>
      <c r="G103" s="68">
        <f>SUM(G93:G102)</f>
        <v>4078021.71</v>
      </c>
      <c r="H103" s="68">
        <f t="shared" si="5"/>
        <v>4875502.8099999996</v>
      </c>
    </row>
    <row r="104" spans="1:8" ht="12.75" thickTop="1" thickBot="1" x14ac:dyDescent="0.25">
      <c r="A104" s="32" t="s">
        <v>761</v>
      </c>
      <c r="C104" s="68">
        <f>C63+C81+C91+C103</f>
        <v>193668253.90999997</v>
      </c>
      <c r="D104" s="68">
        <f>D63+D81+D91+D103</f>
        <v>5517805.209999999</v>
      </c>
      <c r="E104" s="68">
        <f>E63+E81+E91+E103</f>
        <v>52063484.210000001</v>
      </c>
      <c r="F104" s="68">
        <f>F63+F81+F91+F103</f>
        <v>0</v>
      </c>
      <c r="G104" s="68">
        <f>G63+G81+G103</f>
        <v>4740530.16</v>
      </c>
      <c r="H104" s="68">
        <f t="shared" si="5"/>
        <v>255990073.48999998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72799368</v>
      </c>
      <c r="D109" s="23" t="s">
        <v>288</v>
      </c>
      <c r="E109" s="73">
        <f>('DOE25'!L277)+('DOE25'!L296)+('DOE25'!L315)</f>
        <v>11461504.42</v>
      </c>
      <c r="F109" s="23" t="s">
        <v>288</v>
      </c>
      <c r="G109" s="23" t="s">
        <v>288</v>
      </c>
      <c r="H109" s="13">
        <f t="shared" ref="H109:H115" si="6">SUM(C109:G109)</f>
        <v>84260872.420000002</v>
      </c>
    </row>
    <row r="110" spans="1:8" x14ac:dyDescent="0.2">
      <c r="A110" t="s">
        <v>198</v>
      </c>
      <c r="B110" s="31" t="s">
        <v>199</v>
      </c>
      <c r="C110" s="73">
        <f>('DOE25'!L199)+('DOE25'!L217)+('DOE25'!L235)</f>
        <v>39207538.890000001</v>
      </c>
      <c r="D110" s="23" t="s">
        <v>288</v>
      </c>
      <c r="E110" s="73">
        <f>('DOE25'!L278)+('DOE25'!L297)+('DOE25'!L316)</f>
        <v>15221488.09</v>
      </c>
      <c r="F110" s="23" t="s">
        <v>288</v>
      </c>
      <c r="G110" s="23" t="s">
        <v>288</v>
      </c>
      <c r="H110" s="13">
        <f t="shared" si="6"/>
        <v>54429026.980000004</v>
      </c>
    </row>
    <row r="111" spans="1:8" x14ac:dyDescent="0.2">
      <c r="A111" t="s">
        <v>200</v>
      </c>
      <c r="B111" s="31" t="s">
        <v>165</v>
      </c>
      <c r="C111" s="73">
        <f>('DOE25'!L200)+('DOE25'!L218)+('DOE25'!L236)</f>
        <v>2858288.75</v>
      </c>
      <c r="D111" s="23" t="s">
        <v>288</v>
      </c>
      <c r="E111" s="73">
        <f>('DOE25'!L279)+('DOE25'!L298)+('DOE25'!L317)</f>
        <v>591976.97</v>
      </c>
      <c r="F111" s="23" t="s">
        <v>288</v>
      </c>
      <c r="G111" s="23" t="s">
        <v>288</v>
      </c>
      <c r="H111" s="13">
        <f t="shared" si="6"/>
        <v>3450265.7199999997</v>
      </c>
    </row>
    <row r="112" spans="1:8" x14ac:dyDescent="0.2">
      <c r="A112" t="s">
        <v>201</v>
      </c>
      <c r="B112" s="31" t="s">
        <v>167</v>
      </c>
      <c r="C112" s="73">
        <f>('DOE25'!L201)+('DOE25'!L219)+('DOE25'!L237)</f>
        <v>2187019.3100000005</v>
      </c>
      <c r="D112" s="23" t="s">
        <v>288</v>
      </c>
      <c r="E112" s="73">
        <f>+('DOE25'!L280)+('DOE25'!L299)+('DOE25'!L318)</f>
        <v>2885887.5</v>
      </c>
      <c r="F112" s="23" t="s">
        <v>288</v>
      </c>
      <c r="G112" s="23" t="s">
        <v>288</v>
      </c>
      <c r="H112" s="13">
        <f t="shared" si="6"/>
        <v>5072906.8100000005</v>
      </c>
    </row>
    <row r="113" spans="1:8" x14ac:dyDescent="0.2">
      <c r="A113" t="s">
        <v>202</v>
      </c>
      <c r="B113" s="31" t="s">
        <v>169</v>
      </c>
      <c r="C113" s="73">
        <f>'DOE25'!L251</f>
        <v>0</v>
      </c>
      <c r="D113" s="23" t="s">
        <v>288</v>
      </c>
      <c r="E113" s="73">
        <f>+'DOE25'!L333</f>
        <v>396365.08999999997</v>
      </c>
      <c r="F113" s="23" t="s">
        <v>288</v>
      </c>
      <c r="G113" s="23" t="s">
        <v>288</v>
      </c>
      <c r="H113" s="13">
        <f t="shared" si="6"/>
        <v>396365.08999999997</v>
      </c>
    </row>
    <row r="114" spans="1:8" ht="12" thickBot="1" x14ac:dyDescent="0.25">
      <c r="A114" t="s">
        <v>203</v>
      </c>
      <c r="B114" s="31" t="s">
        <v>204</v>
      </c>
      <c r="C114" s="73">
        <f>SUM('DOE25'!L252:L254)</f>
        <v>140002.70000000001</v>
      </c>
      <c r="D114" s="23" t="s">
        <v>288</v>
      </c>
      <c r="E114" s="73">
        <f>+ SUM('DOE25'!L334:L336)</f>
        <v>212417.29</v>
      </c>
      <c r="F114" s="23" t="s">
        <v>288</v>
      </c>
      <c r="G114" s="23" t="s">
        <v>288</v>
      </c>
      <c r="H114" s="13">
        <f t="shared" si="6"/>
        <v>352419.99</v>
      </c>
    </row>
    <row r="115" spans="1:8" ht="12.75" thickTop="1" thickBot="1" x14ac:dyDescent="0.25">
      <c r="A115" s="32" t="s">
        <v>205</v>
      </c>
      <c r="C115" s="68">
        <f>SUM(C109:C114)</f>
        <v>117192217.65000001</v>
      </c>
      <c r="D115" s="68">
        <f>SUM(D109:D114)</f>
        <v>0</v>
      </c>
      <c r="E115" s="68">
        <f>SUM(E109:E114)</f>
        <v>30769639.359999996</v>
      </c>
      <c r="F115" s="68">
        <f>SUM(F109:F114)</f>
        <v>0</v>
      </c>
      <c r="G115" s="68">
        <f>SUM(G109:G114)</f>
        <v>0</v>
      </c>
      <c r="H115" s="68">
        <f t="shared" si="6"/>
        <v>147961857.00999999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15090943.280000001</v>
      </c>
      <c r="D118" s="23" t="s">
        <v>288</v>
      </c>
      <c r="E118" s="73">
        <f>+('DOE25'!L282)+('DOE25'!L301)+('DOE25'!L320)</f>
        <v>877452.27999999991</v>
      </c>
      <c r="F118" s="23" t="s">
        <v>288</v>
      </c>
      <c r="G118" s="23" t="s">
        <v>288</v>
      </c>
      <c r="H118" s="13">
        <f t="shared" ref="H118:H145" si="7">SUM(C118:G118)</f>
        <v>15968395.560000001</v>
      </c>
    </row>
    <row r="119" spans="1:8" x14ac:dyDescent="0.2">
      <c r="A119" t="s">
        <v>208</v>
      </c>
      <c r="B119" s="31" t="s">
        <v>209</v>
      </c>
      <c r="C119" s="73">
        <f>('DOE25'!L204)+('DOE25'!L222)+('DOE25'!L240)</f>
        <v>2512846.87</v>
      </c>
      <c r="D119" s="23" t="s">
        <v>288</v>
      </c>
      <c r="E119" s="73">
        <f>+('DOE25'!L283)+('DOE25'!L302)+('DOE25'!L321)</f>
        <v>4112702.2600000007</v>
      </c>
      <c r="F119" s="23" t="s">
        <v>288</v>
      </c>
      <c r="G119" s="23" t="s">
        <v>288</v>
      </c>
      <c r="H119" s="13">
        <f t="shared" si="7"/>
        <v>6625549.1300000008</v>
      </c>
    </row>
    <row r="120" spans="1:8" x14ac:dyDescent="0.2">
      <c r="A120" t="s">
        <v>210</v>
      </c>
      <c r="B120" s="31" t="s">
        <v>211</v>
      </c>
      <c r="C120" s="73">
        <f>('DOE25'!L205)+('DOE25'!L223)+('DOE25'!L241)</f>
        <v>2983369.7299999995</v>
      </c>
      <c r="D120" s="23" t="s">
        <v>288</v>
      </c>
      <c r="E120" s="73">
        <f>+('DOE25'!L284)+('DOE25'!L303)+('DOE25'!L322)</f>
        <v>855880.70000000007</v>
      </c>
      <c r="F120" s="23" t="s">
        <v>288</v>
      </c>
      <c r="G120" s="23" t="s">
        <v>288</v>
      </c>
      <c r="H120" s="13">
        <f t="shared" si="7"/>
        <v>3839250.4299999997</v>
      </c>
    </row>
    <row r="121" spans="1:8" x14ac:dyDescent="0.2">
      <c r="A121" t="s">
        <v>212</v>
      </c>
      <c r="B121" s="31" t="s">
        <v>213</v>
      </c>
      <c r="C121" s="73">
        <f>('DOE25'!L206)+('DOE25'!L224)+('DOE25'!L242)</f>
        <v>11125032.5</v>
      </c>
      <c r="D121" s="23" t="s">
        <v>288</v>
      </c>
      <c r="E121" s="73">
        <f>+('DOE25'!L285)+('DOE25'!L304)+('DOE25'!L323)</f>
        <v>368123.93</v>
      </c>
      <c r="F121" s="23" t="s">
        <v>288</v>
      </c>
      <c r="G121" s="23" t="s">
        <v>288</v>
      </c>
      <c r="H121" s="13">
        <f t="shared" si="7"/>
        <v>11493156.43</v>
      </c>
    </row>
    <row r="122" spans="1:8" x14ac:dyDescent="0.2">
      <c r="A122" t="s">
        <v>214</v>
      </c>
      <c r="B122" s="31" t="s">
        <v>215</v>
      </c>
      <c r="C122" s="73">
        <f>('DOE25'!L207)+('DOE25'!L225)+('DOE25'!L243)</f>
        <v>1609960.54</v>
      </c>
      <c r="D122" s="23" t="s">
        <v>288</v>
      </c>
      <c r="E122" s="73">
        <f>+('DOE25'!L286)+('DOE25'!L305)+('DOE25'!L324)</f>
        <v>26040</v>
      </c>
      <c r="F122" s="23" t="s">
        <v>288</v>
      </c>
      <c r="G122" s="23" t="s">
        <v>288</v>
      </c>
      <c r="H122" s="13">
        <f t="shared" si="7"/>
        <v>1636000.54</v>
      </c>
    </row>
    <row r="123" spans="1:8" x14ac:dyDescent="0.2">
      <c r="A123" t="s">
        <v>216</v>
      </c>
      <c r="B123" s="31" t="s">
        <v>217</v>
      </c>
      <c r="C123" s="73">
        <f>('DOE25'!L208)+('DOE25'!L226)+('DOE25'!L244)</f>
        <v>10981891.039999999</v>
      </c>
      <c r="D123" s="23" t="s">
        <v>288</v>
      </c>
      <c r="E123" s="73">
        <f>+('DOE25'!L287)+('DOE25'!L306)+('DOE25'!L325)</f>
        <v>13254184.420000002</v>
      </c>
      <c r="F123" s="23" t="s">
        <v>288</v>
      </c>
      <c r="G123" s="23" t="s">
        <v>288</v>
      </c>
      <c r="H123" s="13">
        <f t="shared" si="7"/>
        <v>24236075.460000001</v>
      </c>
    </row>
    <row r="124" spans="1:8" x14ac:dyDescent="0.2">
      <c r="A124" t="s">
        <v>218</v>
      </c>
      <c r="B124" s="31" t="s">
        <v>219</v>
      </c>
      <c r="C124" s="73">
        <f>('DOE25'!L209)+('DOE25'!L227)+('DOE25'!L245+'DOE25'!L255)</f>
        <v>13013067.290000001</v>
      </c>
      <c r="D124" s="23" t="s">
        <v>288</v>
      </c>
      <c r="E124" s="73">
        <f>+('DOE25'!L288)+('DOE25'!L307)+('DOE25'!L326)</f>
        <v>1042087.8999999999</v>
      </c>
      <c r="F124" s="23" t="s">
        <v>288</v>
      </c>
      <c r="G124" s="23" t="s">
        <v>288</v>
      </c>
      <c r="H124" s="13">
        <f t="shared" si="7"/>
        <v>14055155.190000001</v>
      </c>
    </row>
    <row r="125" spans="1:8" x14ac:dyDescent="0.2">
      <c r="A125" t="s">
        <v>220</v>
      </c>
      <c r="B125" s="31" t="s">
        <v>221</v>
      </c>
      <c r="C125" s="73">
        <f>('DOE25'!L210)+('DOE25'!L228)+('DOE25'!L246)</f>
        <v>2424385.92</v>
      </c>
      <c r="D125" s="23" t="s">
        <v>288</v>
      </c>
      <c r="E125" s="73">
        <f>+('DOE25'!L289)+('DOE25'!L308)+('DOE25'!L327)</f>
        <v>461466.47</v>
      </c>
      <c r="F125" s="23" t="s">
        <v>288</v>
      </c>
      <c r="G125" s="23" t="s">
        <v>288</v>
      </c>
      <c r="H125" s="13">
        <f t="shared" si="7"/>
        <v>2885852.3899999997</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6068998.7999999998</v>
      </c>
      <c r="E127" s="23" t="s">
        <v>288</v>
      </c>
      <c r="F127" s="23" t="s">
        <v>288</v>
      </c>
      <c r="G127" s="23" t="s">
        <v>288</v>
      </c>
      <c r="H127" s="13">
        <f t="shared" si="7"/>
        <v>6068998.7999999998</v>
      </c>
    </row>
    <row r="128" spans="1:8" ht="12.75" thickTop="1" thickBot="1" x14ac:dyDescent="0.25">
      <c r="A128" s="32" t="s">
        <v>226</v>
      </c>
      <c r="C128" s="68">
        <f>SUM(C118:C127)</f>
        <v>59741497.170000002</v>
      </c>
      <c r="D128" s="68">
        <f>SUM(D118:D127)</f>
        <v>6068998.7999999998</v>
      </c>
      <c r="E128" s="68">
        <f>SUM(E118:E127)</f>
        <v>20997937.960000001</v>
      </c>
      <c r="F128" s="68">
        <f>SUM(F118:F127)</f>
        <v>0</v>
      </c>
      <c r="G128" s="68">
        <f>SUM(G118:G127)</f>
        <v>0</v>
      </c>
      <c r="H128" s="68">
        <f t="shared" si="7"/>
        <v>86808433.930000007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118500</v>
      </c>
      <c r="D130" s="23" t="s">
        <v>288</v>
      </c>
      <c r="E130" s="92">
        <f>'DOE25'!L337</f>
        <v>0</v>
      </c>
      <c r="F130" s="92">
        <f>SUM('DOE25'!L375:'DOE25'!L381)</f>
        <v>0</v>
      </c>
      <c r="G130" s="23" t="s">
        <v>288</v>
      </c>
      <c r="H130" s="13">
        <f t="shared" si="7"/>
        <v>118500</v>
      </c>
    </row>
    <row r="131" spans="1:8" x14ac:dyDescent="0.2">
      <c r="A131" t="s">
        <v>229</v>
      </c>
      <c r="B131" s="31">
        <v>5110</v>
      </c>
      <c r="C131" s="73">
        <f>'DOE25'!L261</f>
        <v>8029947.3200000003</v>
      </c>
      <c r="D131" s="23" t="s">
        <v>288</v>
      </c>
      <c r="E131" s="92">
        <f>'DOE25'!L342</f>
        <v>0</v>
      </c>
      <c r="F131" s="23" t="s">
        <v>288</v>
      </c>
      <c r="G131" s="23" t="s">
        <v>288</v>
      </c>
      <c r="H131" s="13">
        <f t="shared" si="7"/>
        <v>8029947.3200000003</v>
      </c>
    </row>
    <row r="132" spans="1:8" x14ac:dyDescent="0.2">
      <c r="A132" t="s">
        <v>230</v>
      </c>
      <c r="B132" s="31">
        <v>5120</v>
      </c>
      <c r="C132" s="73">
        <f>'DOE25'!L262</f>
        <v>2691649.16</v>
      </c>
      <c r="D132" s="23" t="s">
        <v>288</v>
      </c>
      <c r="E132" s="92">
        <f>'DOE25'!L343</f>
        <v>0</v>
      </c>
      <c r="F132" s="23" t="s">
        <v>288</v>
      </c>
      <c r="G132" s="23" t="s">
        <v>288</v>
      </c>
      <c r="H132" s="13">
        <f t="shared" si="7"/>
        <v>2691649.16</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247481.1</v>
      </c>
      <c r="F134" s="73">
        <f>'DOE25'!K382</f>
        <v>0</v>
      </c>
      <c r="G134" s="73">
        <f>'DOE25'!K435</f>
        <v>0</v>
      </c>
      <c r="H134" s="13">
        <f t="shared" si="7"/>
        <v>247481.1</v>
      </c>
    </row>
    <row r="135" spans="1:8" x14ac:dyDescent="0.2">
      <c r="A135" t="s">
        <v>233</v>
      </c>
      <c r="B135" s="31" t="s">
        <v>234</v>
      </c>
      <c r="C135" s="73">
        <f>'DOE25'!L264</f>
        <v>350000</v>
      </c>
      <c r="D135" s="23" t="s">
        <v>288</v>
      </c>
      <c r="E135" s="92">
        <f>'DOE25'!L346</f>
        <v>0</v>
      </c>
      <c r="F135" s="23" t="s">
        <v>288</v>
      </c>
      <c r="G135" s="23" t="s">
        <v>288</v>
      </c>
      <c r="H135" s="13">
        <f t="shared" si="7"/>
        <v>350000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4740530.16</v>
      </c>
      <c r="D139" s="23" t="s">
        <v>288</v>
      </c>
      <c r="E139" s="23" t="s">
        <v>288</v>
      </c>
      <c r="F139" s="23" t="s">
        <v>288</v>
      </c>
      <c r="G139" s="23" t="s">
        <v>288</v>
      </c>
      <c r="H139" s="13">
        <f t="shared" si="7"/>
        <v>4740530.16</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-662508.45000000019</v>
      </c>
      <c r="D141" s="23" t="s">
        <v>288</v>
      </c>
      <c r="E141" s="23" t="s">
        <v>288</v>
      </c>
      <c r="F141" s="23" t="s">
        <v>288</v>
      </c>
      <c r="G141" s="23" t="s">
        <v>288</v>
      </c>
      <c r="H141" s="13">
        <f t="shared" si="7"/>
        <v>-662508.45000000019</v>
      </c>
    </row>
    <row r="142" spans="1:8" x14ac:dyDescent="0.2">
      <c r="A142" t="s">
        <v>241</v>
      </c>
      <c r="B142" s="31">
        <v>5310</v>
      </c>
      <c r="C142" s="92">
        <f>'DOE25'!L269</f>
        <v>1310371.98</v>
      </c>
      <c r="D142" s="23" t="s">
        <v>288</v>
      </c>
      <c r="E142" s="92">
        <f>'DOE25'!L350</f>
        <v>0</v>
      </c>
      <c r="F142" s="23" t="s">
        <v>288</v>
      </c>
      <c r="G142" s="23" t="s">
        <v>288</v>
      </c>
      <c r="H142" s="13">
        <f t="shared" si="7"/>
        <v>1310371.98</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16578490.170000002</v>
      </c>
      <c r="D144" s="98">
        <f>SUM(D130:D143)</f>
        <v>0</v>
      </c>
      <c r="E144" s="98">
        <f>SUM(E130:E143)</f>
        <v>247481.1</v>
      </c>
      <c r="F144" s="98">
        <f>SUM(F130:F143)</f>
        <v>0</v>
      </c>
      <c r="G144" s="98">
        <f>SUM(G130:G143)</f>
        <v>0</v>
      </c>
      <c r="H144" s="98">
        <f t="shared" si="7"/>
        <v>16825971.270000003</v>
      </c>
    </row>
    <row r="145" spans="1:9" ht="12.75" thickTop="1" thickBot="1" x14ac:dyDescent="0.25">
      <c r="A145" s="32" t="s">
        <v>244</v>
      </c>
      <c r="C145" s="68">
        <f>(C115+C128+C144)</f>
        <v>193512204.99000001</v>
      </c>
      <c r="D145" s="68">
        <f>(D115+D128+D144)</f>
        <v>6068998.7999999998</v>
      </c>
      <c r="E145" s="68">
        <f>(E115+E128+E144)</f>
        <v>52015058.419999994</v>
      </c>
      <c r="F145" s="68">
        <f>(F115+F128+F144)</f>
        <v>0</v>
      </c>
      <c r="G145" s="68">
        <f>(G115+G128+G144)</f>
        <v>0</v>
      </c>
      <c r="H145" s="68">
        <f t="shared" si="7"/>
        <v>251596262.21000001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4" sqref="H1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Manchester</v>
      </c>
    </row>
    <row r="3" spans="1:4" x14ac:dyDescent="0.2">
      <c r="B3" s="137" t="s">
        <v>1799</v>
      </c>
    </row>
    <row r="4" spans="1:4" x14ac:dyDescent="0.2">
      <c r="B4" t="s">
        <v>61</v>
      </c>
      <c r="C4" s="129">
        <f>IF('DOE25'!F666+'DOE25'!F671=0,0,ROUND('DOE25'!F673,0))</f>
        <v>16522</v>
      </c>
    </row>
    <row r="5" spans="1:4" x14ac:dyDescent="0.2">
      <c r="B5" t="s">
        <v>700</v>
      </c>
      <c r="C5" s="129">
        <f>IF('DOE25'!G666+'DOE25'!G671=0,0,ROUND('DOE25'!G673,0))</f>
        <v>16880</v>
      </c>
    </row>
    <row r="6" spans="1:4" x14ac:dyDescent="0.2">
      <c r="B6" t="s">
        <v>62</v>
      </c>
      <c r="C6" s="129">
        <f>IF('DOE25'!H666+'DOE25'!H671=0,0,ROUND('DOE25'!H673,0))</f>
        <v>16601</v>
      </c>
    </row>
    <row r="7" spans="1:4" x14ac:dyDescent="0.2">
      <c r="B7" t="s">
        <v>701</v>
      </c>
      <c r="C7" s="129">
        <f>IF('DOE25'!I666+'DOE25'!I671=0,0,ROUND('DOE25'!I673,0))</f>
        <v>16636</v>
      </c>
    </row>
    <row r="9" spans="1:4" x14ac:dyDescent="0.2">
      <c r="A9" s="136" t="s">
        <v>94</v>
      </c>
      <c r="B9" s="137" t="s">
        <v>1800</v>
      </c>
      <c r="C9" s="131" t="s">
        <v>720</v>
      </c>
      <c r="D9" s="131" t="s">
        <v>721</v>
      </c>
    </row>
    <row r="10" spans="1:4" x14ac:dyDescent="0.2">
      <c r="A10">
        <v>1100</v>
      </c>
      <c r="B10" t="s">
        <v>702</v>
      </c>
      <c r="C10" s="129">
        <f>ROUND('DOE25'!L198+'DOE25'!L216+'DOE25'!L234+'DOE25'!L277+'DOE25'!L296+'DOE25'!L315,0)</f>
        <v>84260872</v>
      </c>
      <c r="D10" s="132">
        <f>ROUND((C10/$C$28)*100,1)</f>
        <v>35.5</v>
      </c>
    </row>
    <row r="11" spans="1:4" x14ac:dyDescent="0.2">
      <c r="A11">
        <v>1200</v>
      </c>
      <c r="B11" t="s">
        <v>703</v>
      </c>
      <c r="C11" s="129">
        <f>ROUND('DOE25'!L199+'DOE25'!L217+'DOE25'!L235+'DOE25'!L278+'DOE25'!L297+'DOE25'!L316,0)</f>
        <v>54429027</v>
      </c>
      <c r="D11" s="132">
        <f>ROUND((C11/$C$28)*100,1)</f>
        <v>22.9</v>
      </c>
    </row>
    <row r="12" spans="1:4" x14ac:dyDescent="0.2">
      <c r="A12">
        <v>1300</v>
      </c>
      <c r="B12" t="s">
        <v>704</v>
      </c>
      <c r="C12" s="129">
        <f>ROUND('DOE25'!L200+'DOE25'!L218+'DOE25'!L236+'DOE25'!L279+'DOE25'!L298+'DOE25'!L317,0)</f>
        <v>3450266</v>
      </c>
      <c r="D12" s="132">
        <f>ROUND((C12/$C$28)*100,1)</f>
        <v>1.5</v>
      </c>
    </row>
    <row r="13" spans="1:4" x14ac:dyDescent="0.2">
      <c r="A13">
        <v>1400</v>
      </c>
      <c r="B13" t="s">
        <v>705</v>
      </c>
      <c r="C13" s="129">
        <f>ROUND('DOE25'!L201+'DOE25'!L219+'DOE25'!L237+'DOE25'!L280+'DOE25'!L299+'DOE25'!L318,0)</f>
        <v>5072907</v>
      </c>
      <c r="D13" s="132">
        <f>ROUND((C13/$C$28)*100,1)</f>
        <v>2.1</v>
      </c>
    </row>
    <row r="14" spans="1:4" x14ac:dyDescent="0.2">
      <c r="D14" s="132"/>
    </row>
    <row r="15" spans="1:4" x14ac:dyDescent="0.2">
      <c r="A15">
        <v>2100</v>
      </c>
      <c r="B15" t="s">
        <v>706</v>
      </c>
      <c r="C15" s="129">
        <f>ROUND('DOE25'!L203+'DOE25'!L221+'DOE25'!L239+'DOE25'!L282+'DOE25'!L301+'DOE25'!L320,0)</f>
        <v>15968396</v>
      </c>
      <c r="D15" s="132">
        <f t="shared" ref="D15:D27" si="0">ROUND((C15/$C$28)*100,1)</f>
        <v>6.7</v>
      </c>
    </row>
    <row r="16" spans="1:4" x14ac:dyDescent="0.2">
      <c r="A16">
        <v>2200</v>
      </c>
      <c r="B16" t="s">
        <v>707</v>
      </c>
      <c r="C16" s="129">
        <f>ROUND('DOE25'!L204+'DOE25'!L222+'DOE25'!L240+'DOE25'!L283+'DOE25'!L302+'DOE25'!L321,0)</f>
        <v>6625549</v>
      </c>
      <c r="D16" s="132">
        <f t="shared" si="0"/>
        <v>2.8</v>
      </c>
    </row>
    <row r="17" spans="1:4" x14ac:dyDescent="0.2">
      <c r="A17" s="133" t="s">
        <v>723</v>
      </c>
      <c r="B17" t="s">
        <v>738</v>
      </c>
      <c r="C17" s="129">
        <f>ROUND('DOE25'!L205+'DOE25'!L210+'DOE25'!L223+'DOE25'!L228+'DOE25'!L241+'DOE25'!L246+'DOE25'!L284+'DOE25'!L289+'DOE25'!L303+'DOE25'!L308+'DOE25'!L322+'DOE25'!L327,0)</f>
        <v>6725103</v>
      </c>
      <c r="D17" s="132">
        <f t="shared" si="0"/>
        <v>2.8</v>
      </c>
    </row>
    <row r="18" spans="1:4" x14ac:dyDescent="0.2">
      <c r="A18">
        <v>2400</v>
      </c>
      <c r="B18" t="s">
        <v>711</v>
      </c>
      <c r="C18" s="129">
        <f>ROUND('DOE25'!L206+'DOE25'!L224+'DOE25'!L242+'DOE25'!L285+'DOE25'!L304+'DOE25'!L323,0)</f>
        <v>11493156</v>
      </c>
      <c r="D18" s="132">
        <f t="shared" si="0"/>
        <v>4.8</v>
      </c>
    </row>
    <row r="19" spans="1:4" x14ac:dyDescent="0.2">
      <c r="A19">
        <v>2500</v>
      </c>
      <c r="B19" t="s">
        <v>708</v>
      </c>
      <c r="C19" s="129">
        <f>ROUND('DOE25'!L207+'DOE25'!L225+'DOE25'!L243+'DOE25'!L286+'DOE25'!L305+'DOE25'!L324,0)</f>
        <v>1636001</v>
      </c>
      <c r="D19" s="132">
        <f t="shared" si="0"/>
        <v>0.7</v>
      </c>
    </row>
    <row r="20" spans="1:4" x14ac:dyDescent="0.2">
      <c r="A20">
        <v>2600</v>
      </c>
      <c r="B20" t="s">
        <v>709</v>
      </c>
      <c r="C20" s="129">
        <f>ROUND('DOE25'!L208+'DOE25'!L226+'DOE25'!L244+'DOE25'!L287+'DOE25'!L306+'DOE25'!L325,0)</f>
        <v>24236075</v>
      </c>
      <c r="D20" s="132">
        <f t="shared" si="0"/>
        <v>10.199999999999999</v>
      </c>
    </row>
    <row r="21" spans="1:4" x14ac:dyDescent="0.2">
      <c r="A21">
        <v>2700</v>
      </c>
      <c r="B21" t="s">
        <v>710</v>
      </c>
      <c r="C21" s="129">
        <f>ROUND('DOE25'!L209+'DOE25'!L227+'DOE25'!L245+'DOE25'!L288+'DOE25'!L307+'DOE25'!L326,0)</f>
        <v>14055155</v>
      </c>
      <c r="D21" s="132">
        <f t="shared" si="0"/>
        <v>5.9</v>
      </c>
    </row>
    <row r="22" spans="1:4" x14ac:dyDescent="0.2">
      <c r="A22">
        <v>2900</v>
      </c>
      <c r="B22" t="s">
        <v>712</v>
      </c>
      <c r="C22" s="129">
        <v>0</v>
      </c>
      <c r="D22" s="132">
        <f t="shared" si="0"/>
        <v>0</v>
      </c>
    </row>
    <row r="23" spans="1:4" x14ac:dyDescent="0.2">
      <c r="A23">
        <v>1500</v>
      </c>
      <c r="B23" t="s">
        <v>714</v>
      </c>
      <c r="C23" s="129">
        <f>ROUND('DOE25'!L251+'DOE25'!L333,0)</f>
        <v>396365</v>
      </c>
      <c r="D23" s="132">
        <f t="shared" si="0"/>
        <v>0.2</v>
      </c>
    </row>
    <row r="24" spans="1:4" x14ac:dyDescent="0.2">
      <c r="A24" s="133" t="s">
        <v>722</v>
      </c>
      <c r="B24" t="s">
        <v>715</v>
      </c>
      <c r="C24" s="129">
        <f>ROUND('DOE25'!L252+'DOE25'!L253+'DOE25'!L254+'DOE25'!L255+'DOE25'!L334+'DOE25'!L335+'DOE25'!L336,0)</f>
        <v>352420</v>
      </c>
      <c r="D24" s="132">
        <f t="shared" si="0"/>
        <v>0.1</v>
      </c>
    </row>
    <row r="25" spans="1:4" x14ac:dyDescent="0.2">
      <c r="A25">
        <v>5120</v>
      </c>
      <c r="B25" t="s">
        <v>716</v>
      </c>
      <c r="C25" s="129">
        <f>ROUND('DOE25'!L262+'DOE25'!L343,0)</f>
        <v>2691649</v>
      </c>
      <c r="D25" s="132">
        <f t="shared" si="0"/>
        <v>1.1000000000000001</v>
      </c>
    </row>
    <row r="26" spans="1:4" x14ac:dyDescent="0.2">
      <c r="A26" s="133" t="s">
        <v>717</v>
      </c>
      <c r="B26" t="s">
        <v>718</v>
      </c>
      <c r="C26" s="129">
        <f>'DOE25'!L269+'DOE25'!L270+'DOE25'!L350+'DOE25'!L351</f>
        <v>1310371.98</v>
      </c>
      <c r="D26" s="132">
        <f t="shared" si="0"/>
        <v>0.6</v>
      </c>
    </row>
    <row r="27" spans="1:4" x14ac:dyDescent="0.2">
      <c r="A27">
        <v>3100</v>
      </c>
      <c r="B27" t="s">
        <v>11</v>
      </c>
      <c r="C27" s="129">
        <f>ROUND('DOE25'!L363-'DOE25'!L362,0)-SUM('DOE25'!G97:G110)</f>
        <v>4965221.01</v>
      </c>
      <c r="D27" s="132">
        <f t="shared" si="0"/>
        <v>2.1</v>
      </c>
    </row>
    <row r="28" spans="1:4" x14ac:dyDescent="0.2">
      <c r="B28" s="136" t="s">
        <v>719</v>
      </c>
      <c r="C28" s="130">
        <f>SUM(C10:C27)</f>
        <v>237668533.98999998</v>
      </c>
      <c r="D28" s="134">
        <f>ROUND(SUM(D10:D27),0)</f>
        <v>100</v>
      </c>
    </row>
    <row r="29" spans="1:4" x14ac:dyDescent="0.2">
      <c r="A29">
        <v>4000</v>
      </c>
      <c r="B29" t="s">
        <v>724</v>
      </c>
      <c r="C29" s="129">
        <f>ROUND('DOE25'!L256+'DOE25'!L337+'DOE25'!L375+'DOE25'!L376+'DOE25'!L377+'DOE25'!L378+'DOE25'!L379+'DOE25'!L380+'DOE25'!L381,0)</f>
        <v>118500</v>
      </c>
    </row>
    <row r="30" spans="1:4" x14ac:dyDescent="0.2">
      <c r="B30" s="136" t="s">
        <v>725</v>
      </c>
      <c r="C30" s="130">
        <f>SUM(C28:C29)</f>
        <v>237787033.98999998</v>
      </c>
    </row>
    <row r="31" spans="1:4" x14ac:dyDescent="0.2">
      <c r="B31" s="32"/>
      <c r="C31" s="130"/>
    </row>
    <row r="32" spans="1:4" x14ac:dyDescent="0.2">
      <c r="A32">
        <v>5100</v>
      </c>
      <c r="B32" s="32" t="s">
        <v>726</v>
      </c>
      <c r="C32" s="130">
        <f>ROUND('DOE25'!L261+'DOE25'!L342,0)</f>
        <v>8029947</v>
      </c>
    </row>
    <row r="34" spans="1:4" x14ac:dyDescent="0.2">
      <c r="A34" s="136" t="s">
        <v>94</v>
      </c>
      <c r="B34" s="137" t="s">
        <v>1801</v>
      </c>
      <c r="C34" s="131" t="s">
        <v>720</v>
      </c>
      <c r="D34" s="131" t="s">
        <v>721</v>
      </c>
    </row>
    <row r="35" spans="1:4" x14ac:dyDescent="0.2">
      <c r="A35">
        <v>1100</v>
      </c>
      <c r="B35" s="71" t="s">
        <v>727</v>
      </c>
      <c r="C35" s="129">
        <f>ROUND('DOE25'!F60+'DOE25'!G60+'DOE25'!H60+'DOE25'!I60+'DOE25'!J60,0)</f>
        <v>97001685</v>
      </c>
      <c r="D35" s="132">
        <f t="shared" ref="D35:D40" si="1">ROUND((C35/$C$41)*100,1)</f>
        <v>38.799999999999997</v>
      </c>
    </row>
    <row r="36" spans="1:4" x14ac:dyDescent="0.2">
      <c r="B36" s="71" t="s">
        <v>739</v>
      </c>
      <c r="C36" s="129">
        <f>SUM('DOE25'!F112:J112)-SUM('DOE25'!G97:G110)+('DOE25'!F175+'DOE25'!F176+'DOE25'!I175+'DOE25'!I176)-C35</f>
        <v>4209530.3099999875</v>
      </c>
      <c r="D36" s="132">
        <f t="shared" si="1"/>
        <v>1.7</v>
      </c>
    </row>
    <row r="37" spans="1:4" x14ac:dyDescent="0.2">
      <c r="A37" s="133" t="s">
        <v>834</v>
      </c>
      <c r="B37" s="71" t="s">
        <v>728</v>
      </c>
      <c r="C37" s="129">
        <f>ROUND('DOE25'!F117+'DOE25'!F118,0)</f>
        <v>85959301</v>
      </c>
      <c r="D37" s="132">
        <f t="shared" si="1"/>
        <v>34.4</v>
      </c>
    </row>
    <row r="38" spans="1:4" x14ac:dyDescent="0.2">
      <c r="A38" s="133" t="s">
        <v>734</v>
      </c>
      <c r="B38" s="71" t="s">
        <v>729</v>
      </c>
      <c r="C38" s="129">
        <f>ROUND(SUM('DOE25'!F140:J140)-SUM('DOE25'!F117:F119),0)</f>
        <v>7730823</v>
      </c>
      <c r="D38" s="132">
        <f t="shared" si="1"/>
        <v>3.1</v>
      </c>
    </row>
    <row r="39" spans="1:4" x14ac:dyDescent="0.2">
      <c r="A39">
        <v>4000</v>
      </c>
      <c r="B39" s="71" t="s">
        <v>730</v>
      </c>
      <c r="C39" s="129">
        <f>ROUND('DOE25'!F170+'DOE25'!G170+'DOE25'!H170+'DOE25'!I170,0)</f>
        <v>55109453</v>
      </c>
      <c r="D39" s="132">
        <f t="shared" si="1"/>
        <v>22</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250010792.31</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Manchester</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14</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23</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50</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20</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f>IFERROR(SMALL($T$4:$T$75,ROWS($T$4:T5)),"")</f>
        <v>25</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f>IFERROR(SMALL(AE5:$AE$100,ROWS($AE$4:AE5)),"")</f>
        <v>51</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f>IFERROR(SMALL($I$4:$I$325,ROWS($I$4:I6)),"")</f>
        <v>102</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f>IFERROR(SMALL($T$4:$T$75,ROWS($T$4:T6)),"")</f>
        <v>44</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f>IFERROR(SMALL(AE6:$AE$100,ROWS($AE$4:AE6)),"")</f>
        <v>52</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f>IFERROR(SMALL($I$4:$I$325,ROWS($I$4:I7)),"")</f>
        <v>104</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f>IFERROR(SMALL($T$4:$T$75,ROWS($T$4:T7)),"")</f>
        <v>64</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f>IFERROR(SMALL(AE7:$AE$100,ROWS($AE$4:AE7)),"")</f>
        <v>53</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f>IFERROR(SMALL($I$4:$I$325,ROWS($I$4:I8)),"")</f>
        <v>119</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f>IFERROR(SMALL($I$4:$I$325,ROWS($I$4:I9)),"")</f>
        <v>123</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f>IFERROR(SMALL($I$4:$I$325,ROWS($I$4:I10)),"")</f>
        <v>144</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f>IFERROR(SMALL($I$4:$I$325,ROWS($I$4:I11)),"")</f>
        <v>183</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f>IFERROR(SMALL($I$4:$I$325,ROWS($I$4:I12)),"")</f>
        <v>220</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f>IFERROR(SMALL($I$4:$I$325,ROWS($I$4:I13)),"")</f>
        <v>227</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f>IFERROR(SMALL($I$4:$I$325,ROWS($I$4:I14)),"")</f>
        <v>271</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f>IFERROR(SMALL($I$4:$I$325,ROWS($I$4:I15)),"")</f>
        <v>307</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f>IFERROR(SMALL($I$4:$I$325,ROWS($I$4:I16)),"")</f>
        <v>311</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f>IF('School Level Expenditures'!$B$2=A17,'School Tables'!H17,"")</f>
        <v>14</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f>IF('School Level Expenditures'!$B$2=A23,'School Tables'!H23,"")</f>
        <v>20</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f>IF('School Level Expenditures'!$B$2='School Tables'!L26,'School Tables'!S26,"")</f>
        <v>23</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f>IF('School Level Expenditures'!$B$2='School Tables'!L28,'School Tables'!S28,"")</f>
        <v>25</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f>IF('School Level Expenditures'!$B$2='School Tables'!L47,'School Tables'!S47,"")</f>
        <v>44</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f>IF('School Level Expenditures'!$B$2='School Tables'!W53,'School Tables'!AD53,"")</f>
        <v>50</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f>IF('School Level Expenditures'!$B$2='School Tables'!W54,'School Tables'!AD54,"")</f>
        <v>51</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f>IF('School Level Expenditures'!$B$2='School Tables'!W55,'School Tables'!AD55,"")</f>
        <v>52</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f>IF('School Level Expenditures'!$B$2='School Tables'!W56,'School Tables'!AD56,"")</f>
        <v>53</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f>IF('School Level Expenditures'!$B$2='School Tables'!L67,'School Tables'!S67,"")</f>
        <v>64</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f>IF('School Level Expenditures'!$B$2=A105,'School Tables'!H105,"")</f>
        <v>102</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f>IF('School Level Expenditures'!$B$2=A107,'School Tables'!H107,"")</f>
        <v>104</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f>IF('School Level Expenditures'!$B$2=A122,'School Tables'!H122,"")</f>
        <v>119</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f>IF('School Level Expenditures'!$B$2=A126,'School Tables'!H126,"")</f>
        <v>123</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f>IF('School Level Expenditures'!$B$2=A147,'School Tables'!H147,"")</f>
        <v>144</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f>IF('School Level Expenditures'!$B$2=A186,'School Tables'!H186,"")</f>
        <v>183</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f>IF('School Level Expenditures'!$B$2=A223,'School Tables'!H223,"")</f>
        <v>220</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f>IF('School Level Expenditures'!$B$2=A230,'School Tables'!H230,"")</f>
        <v>227</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f>IF('School Level Expenditures'!$B$2=A274,'School Tables'!H274,"")</f>
        <v>271</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f>IF('School Level Expenditures'!$B$2=A310,'School Tables'!H310,"")</f>
        <v>307</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f>IF('School Level Expenditures'!$B$2=A314,'School Tables'!H314,"")</f>
        <v>311</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2023-10-03T16:10:27Z</cp:lastPrinted>
  <dcterms:created xsi:type="dcterms:W3CDTF">1997-12-04T19:04:30Z</dcterms:created>
  <dcterms:modified xsi:type="dcterms:W3CDTF">2023-12-28T19:06:15Z</dcterms:modified>
</cp:coreProperties>
</file>