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0DB1A2B2-EEB9-4B7E-951C-D3E76EC0F7D9}"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D29" i="13" s="1"/>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J111" i="1"/>
  <c r="J112" i="1" s="1"/>
  <c r="F121" i="1"/>
  <c r="F136" i="1"/>
  <c r="G121" i="1"/>
  <c r="G136" i="1"/>
  <c r="H121" i="1"/>
  <c r="H136" i="1"/>
  <c r="H140" i="1" s="1"/>
  <c r="I121" i="1"/>
  <c r="I136" i="1"/>
  <c r="J121" i="1"/>
  <c r="J136" i="1"/>
  <c r="J140" i="1" s="1"/>
  <c r="F147" i="1"/>
  <c r="F170" i="1" s="1"/>
  <c r="G147" i="1"/>
  <c r="D85" i="2" s="1"/>
  <c r="H147" i="1"/>
  <c r="H170" i="1" s="1"/>
  <c r="I147" i="1"/>
  <c r="I170" i="1" s="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H73" i="2" s="1"/>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4" i="2"/>
  <c r="C125" i="2"/>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H655" i="1"/>
  <c r="H656" i="1"/>
  <c r="F85" i="2" l="1"/>
  <c r="C110" i="2"/>
  <c r="H38" i="2"/>
  <c r="H17" i="2"/>
  <c r="H30" i="2"/>
  <c r="C121" i="2"/>
  <c r="H121" i="2" s="1"/>
  <c r="C120" i="2"/>
  <c r="H120" i="2" s="1"/>
  <c r="H69" i="2"/>
  <c r="H89" i="2"/>
  <c r="G662" i="1"/>
  <c r="H28" i="2"/>
  <c r="J652" i="1"/>
  <c r="H29" i="2"/>
  <c r="H27" i="2"/>
  <c r="H24" i="2"/>
  <c r="H12" i="2"/>
  <c r="G646" i="1"/>
  <c r="G477" i="1"/>
  <c r="H477" i="1"/>
  <c r="H625" i="1" s="1"/>
  <c r="H8" i="2"/>
  <c r="H143" i="2"/>
  <c r="H132" i="2"/>
  <c r="H113" i="2"/>
  <c r="C13" i="10"/>
  <c r="A40" i="12"/>
  <c r="K2" i="14"/>
  <c r="K3" i="14" s="1"/>
  <c r="E121" i="2"/>
  <c r="H125" i="2"/>
  <c r="H112" i="2"/>
  <c r="N2" i="14"/>
  <c r="N3" i="14" s="1"/>
  <c r="M2" i="14"/>
  <c r="M3" i="14" s="1"/>
  <c r="C12" i="10"/>
  <c r="D6" i="13"/>
  <c r="C6" i="13" s="1"/>
  <c r="L2" i="14"/>
  <c r="L3" i="14" s="1"/>
  <c r="H102" i="2"/>
  <c r="H101" i="2"/>
  <c r="H100" i="2"/>
  <c r="H99" i="2"/>
  <c r="H98" i="2"/>
  <c r="H97" i="2"/>
  <c r="H96" i="2"/>
  <c r="H94" i="2"/>
  <c r="H93" i="2"/>
  <c r="H87" i="2"/>
  <c r="H80" i="2"/>
  <c r="H79" i="2"/>
  <c r="H77" i="2"/>
  <c r="H76" i="2"/>
  <c r="H72" i="2"/>
  <c r="H61" i="2"/>
  <c r="H59" i="2"/>
  <c r="H58" i="2"/>
  <c r="I112" i="1"/>
  <c r="H47" i="2"/>
  <c r="H48" i="2"/>
  <c r="H44" i="2"/>
  <c r="H43" i="2"/>
  <c r="H36" i="2"/>
  <c r="H35" i="2"/>
  <c r="H34" i="2"/>
  <c r="H22" i="2"/>
  <c r="H23" i="2"/>
  <c r="H15" i="2"/>
  <c r="H11" i="2"/>
  <c r="H13" i="2"/>
  <c r="H9" i="2"/>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85" i="2" l="1"/>
  <c r="H16" i="2"/>
  <c r="H21" i="2"/>
  <c r="H42" i="2"/>
  <c r="C81" i="2"/>
  <c r="H134" i="2"/>
  <c r="L572" i="1"/>
  <c r="D128" i="2"/>
  <c r="D145" i="2" s="1"/>
  <c r="H127" i="2"/>
  <c r="E144" i="2"/>
  <c r="H114" i="2"/>
  <c r="G24" i="14"/>
  <c r="H24" i="14" s="1"/>
  <c r="I24" i="14" s="1"/>
  <c r="H118" i="2"/>
  <c r="H122" i="2"/>
  <c r="E128" i="2"/>
  <c r="H103" i="2"/>
  <c r="H91" i="2"/>
  <c r="F81" i="2"/>
  <c r="H78" i="2"/>
  <c r="I662" i="1"/>
  <c r="F194" i="1"/>
  <c r="G628" i="1" s="1"/>
  <c r="J628" i="1" s="1"/>
  <c r="H62" i="2"/>
  <c r="H57" i="2"/>
  <c r="D51" i="2"/>
  <c r="H50" i="2"/>
  <c r="H31" i="2"/>
  <c r="H18"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81" i="2" l="1"/>
  <c r="M24" i="14"/>
  <c r="H128" i="2"/>
  <c r="C144" i="2"/>
  <c r="C145" i="2" s="1"/>
  <c r="H141" i="2"/>
  <c r="F104" i="2"/>
  <c r="C104" i="2"/>
  <c r="H63" i="2"/>
  <c r="H5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04" i="2" l="1"/>
  <c r="H657" i="1"/>
  <c r="H14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<sst xmlns="http://schemas.openxmlformats.org/spreadsheetml/2006/main" count="6558" uniqueCount="1813">
  <si>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</si>
  <si>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</si>
  <si>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</si>
  <si>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</si>
  <si>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</si>
  <si>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</si>
  <si>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</si>
  <si>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</si>
  <si>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</si>
  <si>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</si>
  <si>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</si>
  <si>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</si>
  <si>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</si>
  <si>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</si>
  <si>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</si>
  <si>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</si>
  <si>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</si>
  <si>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</si>
  <si>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</si>
  <si>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</si>
  <si>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</si>
  <si>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</si>
  <si>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</si>
  <si>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</si>
  <si>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</si>
  <si>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</si>
  <si>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</si>
  <si>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</si>
  <si>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</si>
  <si>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</si>
  <si>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</si>
  <si>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</si>
  <si>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</si>
  <si>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</si>
  <si>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</si>
  <si>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</si>
  <si>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</si>
  <si>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</si>
  <si>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</si>
  <si>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</si>
  <si>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</si>
  <si>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</si>
  <si>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</si>
  <si>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</si>
  <si>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</si>
  <si>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</si>
  <si>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</si>
  <si>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</si>
  <si>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</si>
  <si>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</si>
  <si>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</si>
  <si>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</si>
  <si>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</si>
  <si>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</si>
  <si>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</si>
  <si>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</si>
  <si>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</si>
  <si>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</si>
  <si>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</si>
  <si>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</si>
  <si>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</si>
  <si>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</si>
  <si>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</si>
  <si>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</si>
  <si>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</si>
  <si>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</si>
  <si>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</si>
  <si>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</si>
  <si>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</si>
  <si>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</si>
  <si>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</si>
  <si>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</si>
  <si>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</si>
  <si>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</si>
  <si>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</si>
  <si>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</si>
  <si>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</si>
  <si>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</si>
  <si>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</si>
  <si>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</si>
  <si>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</si>
  <si>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</si>
  <si>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</si>
  <si>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</si>
  <si>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</si>
  <si>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</si>
  <si>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</si>
  <si>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</si>
  <si>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</si>
  <si>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</si>
  <si>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</si>
  <si>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</si>
  <si>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</si>
  <si>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</si>
  <si>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</si>
  <si>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</si>
  <si>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</si>
  <si>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</si>
  <si>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</si>
  <si>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</si>
  <si>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</si>
  <si>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</si>
  <si>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</si>
  <si>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</si>
  <si>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</si>
  <si>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</si>
  <si>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</si>
  <si>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</si>
  <si>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</si>
  <si>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</si>
  <si>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</si>
  <si>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</si>
  <si>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</si>
  <si>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</si>
  <si>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</si>
  <si>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</si>
  <si>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</si>
  <si>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</si>
  <si>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</si>
  <si>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</si>
  <si>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</si>
  <si>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</si>
  <si>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</si>
  <si>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</si>
  <si>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</si>
  <si>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</si>
  <si>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</si>
  <si>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</si>
  <si>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</si>
  <si>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</si>
  <si>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</si>
  <si>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</si>
  <si>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</si>
  <si>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</si>
  <si>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</si>
  <si>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</si>
  <si>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</si>
  <si>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</si>
  <si>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</si>
  <si>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</si>
  <si>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</si>
  <si>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</si>
  <si>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</si>
  <si>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</si>
  <si>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</si>
  <si>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</si>
  <si>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</si>
  <si>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</si>
  <si>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</si>
  <si>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</si>
  <si>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</si>
  <si>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</si>
  <si>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</si>
  <si>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</si>
  <si>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</si>
  <si>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</si>
  <si>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</si>
  <si>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</si>
  <si>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</si>
  <si>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</si>
  <si>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</si>
  <si>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</si>
  <si>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</si>
  <si>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</si>
  <si>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</si>
  <si>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</si>
  <si>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</si>
  <si>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</si>
  <si>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</si>
  <si>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</si>
  <si>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</si>
  <si>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</si>
  <si>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</si>
  <si>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</si>
  <si>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</si>
  <si>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</si>
  <si>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</si>
  <si>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</si>
  <si>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</si>
  <si>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</si>
  <si>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</si>
  <si>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</si>
  <si>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</si>
  <si>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</si>
  <si>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</si>
  <si>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</si>
  <si>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</si>
  <si>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</si>
  <si>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</si>
  <si>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</si>
  <si>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</si>
  <si>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</si>
  <si>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</si>
  <si>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</si>
  <si>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</si>
  <si>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</si>
  <si>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</si>
  <si>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</si>
  <si>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</si>
  <si>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</si>
  <si>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</si>
  <si>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</si>
  <si>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</si>
  <si>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</si>
  <si>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</si>
  <si>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</si>
  <si>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</si>
  <si>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</si>
  <si>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</si>
  <si>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</si>
  <si>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</si>
  <si>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</si>
  <si>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</si>
  <si>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</si>
  <si>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</si>
  <si>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</si>
  <si>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</si>
  <si>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</si>
  <si>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</si>
  <si>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</si>
  <si>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</si>
  <si>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</si>
  <si>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</si>
  <si>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</si>
  <si>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</si>
  <si>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</si>
  <si>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</si>
  <si>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</si>
  <si>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</si>
  <si>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</si>
  <si>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</si>
  <si>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</si>
  <si>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</si>
  <si>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</si>
  <si>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</si>
  <si>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</si>
  <si>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</si>
  <si>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</si>
  <si>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</si>
  <si>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</si>
  <si>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</si>
  <si>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</si>
  <si>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</si>
  <si>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</si>
  <si>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</si>
  <si>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</si>
  <si>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</si>
  <si>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</si>
  <si>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</si>
  <si>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</si>
  <si>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</si>
  <si>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</si>
  <si>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</si>
  <si>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</si>
  <si>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</si>
  <si>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</si>
  <si>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</si>
  <si>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</si>
  <si>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</si>
  <si>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</si>
  <si>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</si>
  <si>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</si>
  <si>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</si>
  <si>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</si>
  <si>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</si>
  <si>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</si>
  <si>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</si>
  <si>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</si>
  <si>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</si>
  <si>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</si>
  <si>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</si>
  <si>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</si>
  <si>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</si>
  <si>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</si>
  <si>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</si>
  <si>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</si>
  <si>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</si>
  <si>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</si>
  <si>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</si>
  <si>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</si>
  <si>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</si>
  <si>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</si>
  <si>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</si>
  <si>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</si>
  <si>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</si>
  <si>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</si>
  <si>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</si>
  <si>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</si>
  <si>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</si>
  <si>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</si>
  <si>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</si>
  <si>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</si>
  <si>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</si>
  <si>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</si>
  <si>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</si>
  <si>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</si>
  <si>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</si>
  <si>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</si>
  <si>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</si>
  <si>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</si>
  <si>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</si>
  <si>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</si>
  <si>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</si>
  <si>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</si>
  <si>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</si>
  <si>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</si>
  <si>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</si>
  <si>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</si>
  <si>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</si>
  <si>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</si>
  <si>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</si>
  <si>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</si>
  <si>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</si>
  <si>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</si>
  <si>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</si>
  <si>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</si>
  <si>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</si>
  <si>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</si>
  <si>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</si>
  <si>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</si>
  <si>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</si>
  <si>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</si>
  <si>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</si>
  <si>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</si>
  <si>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</si>
  <si>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</si>
  <si>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</si>
  <si>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</si>
  <si>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</si>
  <si>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</si>
  <si>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</si>
  <si>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</si>
  <si>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</si>
  <si>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</si>
  <si>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</si>
  <si>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</si>
  <si>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</si>
  <si>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</si>
  <si>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</si>
  <si>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</si>
  <si>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</si>
  <si>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</si>
  <si>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</si>
  <si>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</si>
  <si>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</si>
  <si>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</si>
  <si>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</si>
  <si>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</si>
  <si>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</si>
  <si>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</si>
  <si>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</si>
  <si>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</si>
  <si>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</si>
  <si>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</si>
  <si>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</si>
  <si>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</si>
  <si>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</si>
  <si>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</si>
  <si>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</si>
  <si>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</si>
  <si>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</si>
  <si>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</si>
  <si>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</si>
  <si>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</si>
  <si>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</si>
  <si>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</si>
  <si>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</si>
  <si>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</si>
  <si>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</si>
  <si>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</si>
  <si>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</si>
  <si>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</si>
  <si>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</si>
  <si>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</si>
  <si>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</si>
  <si>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</si>
  <si>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</si>
  <si>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</si>
  <si>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</si>
  <si>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</si>
  <si>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</si>
  <si>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</si>
  <si>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</si>
  <si>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</si>
  <si>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</si>
  <si>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</si>
  <si>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</si>
  <si>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</si>
  <si>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</si>
  <si>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</si>
  <si>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</si>
  <si>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</si>
  <si>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</si>
  <si>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</si>
  <si>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</si>
  <si>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</si>
  <si>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</si>
  <si>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</si>
  <si>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</si>
  <si>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</si>
  <si>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</si>
  <si>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</si>
  <si>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</si>
  <si>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</si>
  <si>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</si>
  <si>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</si>
  <si>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</si>
  <si>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</si>
  <si>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</si>
  <si>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</si>
  <si>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</si>
  <si>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</si>
  <si>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</si>
  <si>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</si>
  <si>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</si>
  <si>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</si>
  <si>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</si>
  <si>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</si>
  <si>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</si>
  <si>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</si>
  <si>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</si>
  <si>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</si>
  <si>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</si>
  <si>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</si>
  <si>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</si>
  <si>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</si>
  <si>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</si>
  <si>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</si>
  <si>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</si>
  <si>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</si>
  <si>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</si>
  <si>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</si>
  <si>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</si>
  <si>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</si>
  <si>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</si>
  <si>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</si>
  <si>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</si>
  <si>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</si>
  <si>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</si>
  <si>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</si>
  <si>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</si>
  <si>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</si>
  <si>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</si>
  <si>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</si>
  <si>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</si>
  <si>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</si>
  <si>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</si>
  <si>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</si>
  <si>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</si>
  <si>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</si>
  <si>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</si>
  <si>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</si>
  <si>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</si>
  <si>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</si>
  <si>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</si>
  <si>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</si>
  <si>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</si>
  <si>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</si>
  <si>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</si>
  <si>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</si>
  <si>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</si>
  <si>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</si>
  <si>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</si>
  <si>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</si>
  <si>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</si>
  <si>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</si>
  <si>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</si>
  <si>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</si>
  <si>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</si>
  <si>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</si>
  <si>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</si>
  <si>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</si>
  <si>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</si>
  <si>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</si>
  <si>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</si>
  <si>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</si>
  <si>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</si>
  <si>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</si>
  <si>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</si>
  <si>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</si>
  <si>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</si>
  <si>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</si>
  <si>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</si>
  <si>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</si>
  <si>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</si>
  <si>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</si>
  <si>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</si>
  <si>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</si>
  <si>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</si>
  <si>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</si>
  <si>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</si>
  <si>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</si>
  <si>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</si>
  <si>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</si>
  <si>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</si>
  <si>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</si>
  <si>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</si>
  <si>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</si>
  <si>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</si>
  <si>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</si>
  <si>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</si>
  <si>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</si>
  <si>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</si>
  <si>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</si>
  <si>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</si>
  <si>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</si>
  <si>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</si>
  <si>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</si>
  <si>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</si>
  <si>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</si>
  <si>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</si>
  <si>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</si>
  <si>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</si>
  <si>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</si>
  <si>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</si>
  <si>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</si>
  <si>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</si>
  <si>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</si>
  <si>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</si>
  <si>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</si>
  <si>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</si>
  <si>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</si>
  <si>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</si>
  <si>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</si>
  <si>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</si>
  <si>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</si>
  <si>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</si>
  <si>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</si>
  <si>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</si>
  <si>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</si>
  <si>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</si>
  <si>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</si>
  <si>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</si>
  <si>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</si>
  <si>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</si>
  <si>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</si>
  <si>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</si>
  <si>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</si>
  <si>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</si>
  <si>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</si>
  <si>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</si>
  <si>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</si>
  <si>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</si>
  <si>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</si>
  <si>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</si>
  <si>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</si>
  <si>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</si>
  <si>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</si>
  <si>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</si>
  <si>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</si>
  <si>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</si>
  <si>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</si>
  <si>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</si>
  <si>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</si>
  <si>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</si>
  <si>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</si>
  <si>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</si>
  <si>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</si>
  <si>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</si>
  <si>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</si>
  <si>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</si>
  <si>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</si>
  <si>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</si>
  <si>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</si>
  <si>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</si>
  <si>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</si>
  <si>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</si>
  <si>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</si>
  <si>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</si>
  <si>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</si>
  <si>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</si>
  <si>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</si>
  <si>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</si>
  <si>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</si>
  <si>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</si>
  <si>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</si>
  <si>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</si>
  <si>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</si>
  <si>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</si>
  <si>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</si>
  <si>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</si>
  <si>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</si>
  <si>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</si>
  <si>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</si>
  <si>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</si>
  <si>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</si>
  <si>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</si>
  <si>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</si>
  <si>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</si>
  <si>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</si>
  <si>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</si>
  <si>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</si>
  <si>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</si>
  <si>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</si>
  <si>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</si>
  <si>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</si>
  <si>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</si>
  <si>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</si>
  <si>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</si>
  <si>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</si>
  <si>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</si>
  <si>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</si>
  <si>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</si>
  <si>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</si>
  <si>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</si>
  <si>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</si>
  <si>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</si>
  <si>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</si>
  <si>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</si>
  <si>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</si>
  <si>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</si>
  <si>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</si>
  <si>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</si>
  <si>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</si>
  <si>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</si>
  <si>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</si>
  <si>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</si>
  <si>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</si>
  <si>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</si>
  <si>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</si>
  <si>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</si>
  <si>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</si>
  <si>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</si>
  <si>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</si>
  <si>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</si>
  <si>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</si>
  <si>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</si>
  <si>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</si>
  <si>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</si>
  <si>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</si>
  <si>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</si>
  <si>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</si>
  <si>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</si>
  <si>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</si>
  <si>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</si>
  <si>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</si>
  <si>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</si>
  <si>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</si>
  <si>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</si>
  <si>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</si>
  <si>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</si>
  <si>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</si>
  <si>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</si>
  <si>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</si>
  <si>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</si>
  <si>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</si>
  <si>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</si>
  <si>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</si>
  <si>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</si>
  <si>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</si>
  <si>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</si>
  <si>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</si>
  <si>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</si>
  <si>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</si>
  <si>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</si>
  <si>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</si>
  <si>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</si>
  <si>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</si>
  <si>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</si>
  <si>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</si>
  <si>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</si>
  <si>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</si>
  <si>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</si>
  <si>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</si>
  <si>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</si>
  <si>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</si>
  <si>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</si>
  <si>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</si>
  <si>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</si>
  <si>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</si>
  <si>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</si>
  <si>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</si>
  <si>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</si>
  <si>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</si>
  <si>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</si>
  <si>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</si>
  <si>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</si>
  <si>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</si>
  <si>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</si>
  <si>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</si>
  <si>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</si>
  <si>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</si>
  <si>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</si>
  <si>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</si>
  <si>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</si>
  <si>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</si>
  <si>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</si>
  <si>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</si>
  <si>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</si>
  <si>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</si>
  <si>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</si>
  <si>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</si>
  <si>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</si>
  <si>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</si>
  <si>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</si>
  <si>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</si>
  <si>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</si>
  <si>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</si>
  <si>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</si>
  <si>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</si>
  <si>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</si>
  <si>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</si>
  <si>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</si>
  <si>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</si>
  <si>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</si>
  <si>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</si>
  <si>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</si>
  <si>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</si>
  <si>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</si>
  <si>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</si>
  <si>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</si>
  <si>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</si>
  <si>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</si>
  <si>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</si>
  <si>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</si>
  <si>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</si>
  <si>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</si>
  <si>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</si>
  <si>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</si>
  <si>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</si>
  <si>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</si>
  <si>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</si>
  <si>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</si>
  <si>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</si>
  <si>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</si>
  <si>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</si>
  <si>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</si>
  <si>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</si>
  <si>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</si>
  <si>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</si>
  <si>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</si>
  <si>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</si>
  <si>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</si>
  <si>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</si>
  <si>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</si>
  <si>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</si>
  <si>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</si>
  <si>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</si>
  <si>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</si>
  <si>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</si>
  <si>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</si>
  <si>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</si>
  <si>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</si>
  <si>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</si>
  <si>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</si>
  <si>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</si>
  <si>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</si>
  <si>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</si>
  <si>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</si>
  <si>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</si>
  <si>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</si>
  <si>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</si>
  <si>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</si>
  <si>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</si>
  <si>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</si>
  <si>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</si>
  <si>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</si>
  <si>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</si>
  <si>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</si>
  <si>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</si>
  <si>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</si>
  <si>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</si>
  <si>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</si>
  <si>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</si>
  <si>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</si>
  <si>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</si>
  <si>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</si>
  <si>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</si>
  <si>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</si>
  <si>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</si>
  <si>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</si>
  <si>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</si>
  <si>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</si>
  <si>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</si>
  <si>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</si>
  <si>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</si>
  <si>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</si>
  <si>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</si>
  <si>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</si>
  <si>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</si>
  <si>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</si>
  <si>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</si>
  <si>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</si>
  <si>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</si>
  <si>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</si>
  <si>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</si>
  <si>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</si>
  <si>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</si>
  <si>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</si>
  <si>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</si>
  <si>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</si>
  <si>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</si>
  <si>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</si>
  <si>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</si>
  <si>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</si>
  <si>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</si>
  <si>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</si>
  <si>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</si>
  <si>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</si>
  <si>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</si>
  <si>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</si>
  <si>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</si>
  <si>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</si>
  <si>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</si>
  <si>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</si>
  <si>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</si>
  <si>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</si>
  <si>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</si>
  <si>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</si>
  <si>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</si>
  <si>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</si>
  <si>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</si>
  <si>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</si>
  <si>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</si>
  <si>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</si>
  <si>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</si>
  <si>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</si>
  <si>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</si>
  <si>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</si>
  <si>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</si>
  <si>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</si>
  <si>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</si>
  <si>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</si>
  <si>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</si>
  <si>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</si>
  <si>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</si>
  <si>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</si>
  <si>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</si>
  <si>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</si>
  <si>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</si>
  <si>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</si>
  <si>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</si>
  <si>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</si>
  <si>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</si>
  <si>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</si>
  <si>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</si>
  <si>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</si>
  <si>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</si>
  <si>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</si>
  <si>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</si>
  <si>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</si>
  <si>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</si>
  <si>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</si>
  <si>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</si>
  <si>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</si>
  <si>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</si>
  <si>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</si>
  <si>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</si>
  <si>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</si>
  <si>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</si>
  <si>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</si>
  <si>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</si>
  <si>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</si>
  <si>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</si>
  <si>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</si>
  <si>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</si>
  <si>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</si>
  <si>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</si>
  <si>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</si>
  <si>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</si>
  <si>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</si>
  <si>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</si>
  <si>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</si>
  <si>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</si>
  <si>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</si>
  <si>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</si>
  <si>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</si>
  <si>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</si>
  <si>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</si>
  <si>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</si>
  <si>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</si>
  <si>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</si>
  <si>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</si>
  <si>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</si>
  <si>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</si>
  <si>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</si>
  <si>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</si>
  <si>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</si>
  <si>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</si>
  <si>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</si>
  <si>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</si>
  <si>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</si>
  <si>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</si>
  <si>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</si>
  <si>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</si>
  <si>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</si>
  <si>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</si>
  <si>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</si>
  <si>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</si>
  <si>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</si>
  <si>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</si>
  <si>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</si>
  <si>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</si>
  <si>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</si>
  <si>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</si>
  <si>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</si>
  <si>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</si>
  <si>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</si>
  <si>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</si>
  <si>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</si>
  <si>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</si>
  <si>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</si>
  <si>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</si>
  <si>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</si>
  <si>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</si>
  <si>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</si>
  <si>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</si>
  <si>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</si>
  <si>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</si>
  <si>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</si>
  <si>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</si>
  <si>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</si>
  <si>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</si>
  <si>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</si>
  <si>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</si>
  <si>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</si>
  <si>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</si>
  <si>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</si>
  <si>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</si>
  <si>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</si>
  <si>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</si>
  <si>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</si>
  <si>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</si>
  <si>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</si>
  <si>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</si>
  <si>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</si>
  <si>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</si>
  <si>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</si>
  <si>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</si>
  <si>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</si>
  <si>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</si>
  <si>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</si>
  <si>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</si>
  <si>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</si>
  <si>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</si>
  <si>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</si>
  <si>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</si>
  <si>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</si>
  <si>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</si>
  <si>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</si>
  <si>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</si>
  <si>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</si>
  <si>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</si>
  <si>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</si>
  <si>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</si>
  <si>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</si>
  <si>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</si>
  <si>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</si>
  <si>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</si>
  <si>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</si>
  <si>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</si>
  <si>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</si>
  <si>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</si>
  <si>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</si>
  <si>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</si>
  <si>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</si>
  <si>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</si>
  <si>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</si>
  <si>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</si>
  <si>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</si>
  <si>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</si>
  <si>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</si>
  <si>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</si>
  <si>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</si>
  <si>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</si>
  <si>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</si>
  <si>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</si>
  <si>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</si>
  <si>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</si>
  <si>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</si>
  <si>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</si>
  <si>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</si>
  <si>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</si>
  <si>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</si>
  <si>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</si>
  <si>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</si>
  <si>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</si>
  <si>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</si>
  <si>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</si>
  <si>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</si>
  <si>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</si>
  <si>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</si>
  <si>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</si>
  <si>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</si>
  <si>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</si>
  <si>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</si>
  <si>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</si>
  <si>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</si>
  <si>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</si>
  <si>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</si>
  <si>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</si>
  <si>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</si>
  <si>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</si>
  <si>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</si>
  <si>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</si>
  <si>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</si>
  <si>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</si>
  <si>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</si>
  <si>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</si>
  <si>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</si>
  <si>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</si>
  <si>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</si>
  <si>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</si>
  <si>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</si>
  <si>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</si>
  <si>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</si>
  <si>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</si>
  <si>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</si>
  <si>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</si>
  <si>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</si>
  <si>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</si>
  <si>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</si>
  <si>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</si>
  <si>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</si>
  <si>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</si>
  <si>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</si>
  <si>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</si>
  <si>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</si>
  <si>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</si>
  <si>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</si>
  <si>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</si>
  <si>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</si>
  <si>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</si>
  <si>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</si>
  <si>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</si>
  <si>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</si>
  <si>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</si>
  <si>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</si>
  <si>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</si>
  <si>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</si>
  <si>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</si>
  <si>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</si>
  <si>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</si>
  <si>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</si>
  <si>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</si>
  <si>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</si>
  <si>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</si>
  <si>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</si>
  <si>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</si>
  <si>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</si>
  <si>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</si>
  <si>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</si>
  <si>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</si>
  <si>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</si>
  <si>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</si>
  <si>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</si>
  <si>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</si>
  <si>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</si>
  <si>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</si>
  <si>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</si>
  <si>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</si>
  <si>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</si>
  <si>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</si>
  <si>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</si>
  <si>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</si>
  <si>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</si>
  <si>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</si>
  <si>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</si>
  <si>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</si>
  <si>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</si>
  <si>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</si>
  <si>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</si>
  <si>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</si>
  <si>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</si>
  <si>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</si>
  <si>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</si>
  <si>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</si>
  <si>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</si>
  <si>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</si>
  <si>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</si>
  <si>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</si>
  <si>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</si>
  <si>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</si>
  <si>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</si>
  <si>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</si>
  <si>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</si>
  <si>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</si>
  <si>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</si>
  <si>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</si>
  <si>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</si>
  <si>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</si>
  <si>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</si>
  <si>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</si>
  <si>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</si>
  <si>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</si>
  <si>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</si>
  <si>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</si>
  <si>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</si>
  <si>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</si>
  <si>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</si>
  <si>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</si>
  <si>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</si>
  <si>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</si>
  <si>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</si>
  <si>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</si>
  <si>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</si>
  <si>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</si>
  <si>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</si>
  <si>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</si>
  <si>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</si>
  <si>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</si>
  <si>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</si>
  <si>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</si>
  <si>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</si>
  <si>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</si>
  <si>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</si>
  <si>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</si>
  <si>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</si>
  <si>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</si>
  <si>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</si>
  <si>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</si>
  <si>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</si>
  <si>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</si>
  <si>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</si>
  <si>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</si>
  <si>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</si>
  <si>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</si>
  <si>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</si>
  <si>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</si>
  <si>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</si>
  <si>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</si>
  <si>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</si>
  <si>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</si>
  <si>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</si>
  <si>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</si>
  <si>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</si>
  <si>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</si>
  <si>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</si>
  <si>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</si>
  <si>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</si>
  <si>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</si>
  <si>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</si>
  <si>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</si>
  <si>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</si>
  <si>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</si>
  <si>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</si>
  <si>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</si>
  <si>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</si>
  <si>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</si>
  <si>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</si>
  <si>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</si>
  <si>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</si>
  <si>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</si>
  <si>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</si>
  <si>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</si>
  <si>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</si>
  <si>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</si>
  <si>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</si>
  <si>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</si>
  <si>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</si>
  <si>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</si>
  <si>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</si>
  <si>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</si>
  <si>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</si>
  <si>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</si>
  <si>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</si>
  <si>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</si>
  <si>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</si>
  <si>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</si>
  <si>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</si>
  <si>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</si>
  <si>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</si>
  <si>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</si>
  <si>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</si>
  <si>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</si>
  <si>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</si>
  <si>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</si>
  <si>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</si>
  <si>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</si>
  <si>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</si>
  <si>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</si>
  <si>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</si>
  <si>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</si>
  <si>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</si>
  <si>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</si>
  <si>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</si>
  <si>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</si>
  <si>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</si>
  <si>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</si>
  <si>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</si>
  <si>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</si>
  <si>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</si>
  <si>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</si>
  <si>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</si>
  <si>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</si>
  <si>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</si>
  <si>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</si>
  <si>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</si>
  <si>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</si>
  <si>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</si>
  <si>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</si>
  <si>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</si>
  <si>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</si>
  <si>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</si>
  <si>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</si>
  <si>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</si>
  <si>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</si>
  <si>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</si>
  <si>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</si>
  <si>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</si>
  <si>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</si>
  <si>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</si>
  <si>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</si>
  <si>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</si>
  <si>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</si>
  <si>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</si>
  <si>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</si>
  <si>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</si>
  <si>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</si>
  <si>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</si>
  <si>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</si>
  <si>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</si>
  <si>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</si>
  <si>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</si>
  <si>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</si>
  <si>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</si>
  <si>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</si>
  <si>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</si>
  <si>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</si>
  <si>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</si>
  <si>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</si>
  <si>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</si>
  <si>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</si>
  <si>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</si>
  <si>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</si>
  <si>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</si>
  <si>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</si>
  <si>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</si>
  <si>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</si>
  <si>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</si>
  <si>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</si>
  <si>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</si>
  <si>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</si>
  <si>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</si>
  <si>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</si>
  <si>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</si>
  <si>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</si>
  <si>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</si>
  <si>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</si>
  <si>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</si>
  <si>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</si>
  <si>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</si>
  <si>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</si>
  <si>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</si>
  <si>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</si>
  <si>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</si>
  <si>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</si>
  <si>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</si>
  <si>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</si>
  <si>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</si>
  <si>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</si>
  <si>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</si>
  <si>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</si>
  <si>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</si>
  <si>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</si>
  <si>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</si>
  <si>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</si>
  <si>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</si>
  <si>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</si>
  <si>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</si>
  <si>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</si>
  <si>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</si>
  <si>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</si>
  <si>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</si>
  <si>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</si>
  <si>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</si>
  <si>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</si>
  <si>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</si>
  <si>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</si>
  <si>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</si>
  <si>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</si>
  <si>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</si>
  <si>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</si>
  <si>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</si>
  <si>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</si>
  <si>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</si>
  <si>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</si>
  <si>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</si>
  <si>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</si>
  <si>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</si>
  <si>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</si>
  <si>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</si>
  <si>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</si>
  <si>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</si>
  <si>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</si>
  <si>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</si>
  <si>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</si>
  <si>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</si>
  <si>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</si>
  <si>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</si>
  <si>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</si>
  <si>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</si>
  <si>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</si>
  <si>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</si>
  <si>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</si>
  <si>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</si>
  <si>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</si>
  <si>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</si>
  <si>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</si>
  <si>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</si>
  <si>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</si>
  <si>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</si>
  <si>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</si>
  <si>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</si>
  <si>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</si>
  <si>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</si>
  <si>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</si>
  <si>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</si>
  <si>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</si>
  <si>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</si>
  <si>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</si>
  <si>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</si>
  <si>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</si>
  <si>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</si>
  <si>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</si>
  <si>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</si>
  <si>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</si>
  <si>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</si>
  <si>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</si>
  <si>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</si>
  <si>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</si>
  <si>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</si>
  <si>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</si>
  <si>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</si>
  <si>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</si>
  <si>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</si>
  <si>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</si>
  <si>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</si>
  <si>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</si>
  <si>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</si>
  <si>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</si>
  <si>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</si>
  <si>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</si>
  <si>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</si>
  <si>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</si>
  <si>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</si>
  <si>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</si>
  <si>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</si>
  <si>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</si>
  <si>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</si>
  <si>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</si>
  <si>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</si>
  <si>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</si>
  <si>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</si>
  <si>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</si>
  <si>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</si>
  <si>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</si>
  <si>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</si>
  <si>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</si>
  <si>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</si>
  <si>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</si>
  <si>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</si>
  <si>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</si>
  <si>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</si>
  <si>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</si>
  <si>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</si>
  <si>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</si>
  <si>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</si>
  <si>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</si>
  <si>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</si>
  <si>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</si>
  <si>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</si>
  <si>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</si>
  <si>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</si>
  <si>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</si>
  <si>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</si>
  <si>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</si>
  <si>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</si>
  <si>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</si>
  <si>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</si>
  <si>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</si>
  <si>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</si>
  <si>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</si>
  <si>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</si>
  <si>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</si>
  <si>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</si>
  <si>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</si>
  <si>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</si>
  <si>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</si>
  <si>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</si>
  <si>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</si>
  <si>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</si>
  <si>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</si>
  <si>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</si>
  <si>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</si>
  <si>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</si>
  <si>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</si>
  <si>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</si>
  <si>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</si>
  <si>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</si>
  <si>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</si>
  <si>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</si>
  <si>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</si>
  <si>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</si>
  <si>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</si>
  <si>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</si>
  <si>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</si>
  <si>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</si>
  <si>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</si>
  <si>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</si>
  <si>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</si>
  <si>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</si>
  <si>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</si>
  <si>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</si>
  <si>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</si>
  <si>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</si>
  <si>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</si>
  <si>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</si>
  <si>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</si>
  <si>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</si>
  <si>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</si>
  <si>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</si>
  <si>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</si>
  <si>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</si>
  <si>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</si>
  <si>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</si>
  <si>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</si>
  <si>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</si>
  <si>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</si>
  <si>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</si>
  <si>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</si>
  <si>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</si>
  <si>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</si>
  <si>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</si>
  <si>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</si>
  <si>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</si>
  <si>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</si>
  <si>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</si>
  <si>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</si>
  <si>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</si>
  <si>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</si>
  <si>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</si>
  <si>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</si>
  <si>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</si>
  <si>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</si>
  <si>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</si>
  <si>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</si>
  <si>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</si>
  <si>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</si>
  <si>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</si>
  <si>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</si>
  <si>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</si>
  <si>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</si>
  <si>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</si>
  <si>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</si>
  <si>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</si>
  <si>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</si>
  <si>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</si>
  <si>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</si>
  <si>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</si>
  <si>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</si>
  <si>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</si>
  <si>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</si>
  <si>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</si>
  <si>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</si>
  <si>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</si>
  <si>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</si>
  <si>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</si>
  <si>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</si>
  <si>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</si>
  <si>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</si>
  <si>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</si>
  <si>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</si>
  <si>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</si>
  <si>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</si>
  <si>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</si>
  <si>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</si>
  <si>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</si>
  <si>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</si>
  <si>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</si>
  <si>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</si>
  <si>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</si>
  <si>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</si>
  <si>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</si>
  <si>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</si>
  <si>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</si>
  <si>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</si>
  <si>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</si>
  <si>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</si>
  <si>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</si>
  <si>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</si>
  <si>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</si>
  <si>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</si>
  <si>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</si>
  <si>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</si>
  <si>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</si>
  <si>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</si>
  <si>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</si>
  <si>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</si>
  <si>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</si>
  <si>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</si>
  <si>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</si>
  <si>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</si>
  <si>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</si>
  <si>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</si>
  <si>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</si>
  <si>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</si>
  <si>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</si>
  <si>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</si>
  <si>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</si>
  <si>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</si>
  <si>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</si>
  <si>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</si>
  <si>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</si>
  <si>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</si>
  <si>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</si>
  <si>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</si>
  <si>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</si>
  <si>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</si>
  <si>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</si>
  <si>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</si>
  <si>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</si>
  <si>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</si>
  <si>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</si>
  <si>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</si>
  <si>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</si>
  <si>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</si>
  <si>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</si>
  <si>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</si>
  <si>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</si>
  <si>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</si>
  <si>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</si>
  <si>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</si>
  <si>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</si>
  <si>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</si>
  <si>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</si>
  <si>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</si>
  <si>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</si>
  <si>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</si>
  <si>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</si>
  <si>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</si>
  <si>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</si>
  <si>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</si>
  <si>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</si>
  <si>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</si>
  <si>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</si>
  <si>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</si>
  <si>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</si>
  <si>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</si>
  <si>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</si>
  <si>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</si>
  <si>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</si>
  <si>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</si>
  <si>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</si>
  <si>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</si>
  <si>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</si>
  <si>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</si>
  <si>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</si>
  <si>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</si>
  <si>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</si>
  <si>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</si>
  <si>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</si>
  <si>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</si>
  <si>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</si>
  <si>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</si>
  <si>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</si>
  <si>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</si>
  <si>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</si>
  <si>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</si>
  <si>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</si>
  <si>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</si>
  <si>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</si>
  <si>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</si>
  <si>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</si>
  <si>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</si>
  <si>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</si>
  <si>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</si>
  <si>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</si>
  <si>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</si>
  <si>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</si>
  <si>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</si>
  <si>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</si>
  <si>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</si>
  <si>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</si>
  <si>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</si>
  <si>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</si>
  <si>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</si>
  <si>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</si>
  <si>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</si>
  <si>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</si>
  <si>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</si>
  <si>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</si>
  <si>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</si>
  <si>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</si>
  <si>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</si>
  <si>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</si>
  <si>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</si>
  <si>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</si>
  <si>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</si>
  <si>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</si>
  <si>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</si>
  <si>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</si>
  <si>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</si>
  <si>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</si>
  <si>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</si>
  <si>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</si>
  <si>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</si>
  <si>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</si>
  <si>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</si>
  <si>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</si>
  <si>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</si>
  <si>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</si>
  <si>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</si>
  <si>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</si>
  <si>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</si>
  <si>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</si>
  <si>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</si>
  <si>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</si>
  <si>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</si>
  <si>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</si>
  <si>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</si>
  <si>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</si>
  <si>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</si>
  <si>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</si>
  <si>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</si>
  <si>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</si>
  <si>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</si>
  <si>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</si>
  <si>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</si>
  <si>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</si>
  <si>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</si>
  <si>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</si>
  <si>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</si>
  <si>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</si>
  <si>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</si>
  <si>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</si>
  <si>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</si>
  <si>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</si>
  <si>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</si>
  <si>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</si>
  <si>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</si>
  <si>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</si>
  <si>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</si>
  <si>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</si>
  <si>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</si>
  <si>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</si>
  <si>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</si>
  <si>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</si>
  <si>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</si>
  <si>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</si>
  <si>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</si>
  <si>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</si>
  <si>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</si>
  <si>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</si>
  <si>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</si>
  <si>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</si>
  <si>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</si>
  <si>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</si>
  <si>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</si>
  <si>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</si>
  <si>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</si>
  <si>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</si>
  <si>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</si>
  <si>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</si>
  <si>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</si>
  <si>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</si>
  <si>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</si>
  <si>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</si>
  <si>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</si>
  <si>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</si>
  <si>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</si>
  <si>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</si>
  <si>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</si>
  <si>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</si>
  <si>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</si>
  <si>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</si>
  <si>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</si>
  <si>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</si>
  <si>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</si>
  <si>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</si>
  <si>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</si>
  <si>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</si>
  <si>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</si>
  <si>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</si>
  <si>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</si>
  <si>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</si>
  <si>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</si>
  <si>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</si>
  <si>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</si>
  <si>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</si>
  <si>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</si>
  <si>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</si>
  <si>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</si>
  <si>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</si>
  <si>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</si>
  <si>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</si>
  <si>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</si>
  <si>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</si>
  <si>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</si>
  <si>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</si>
  <si>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</si>
  <si>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</si>
  <si>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</si>
  <si>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</si>
  <si>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</si>
  <si>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</si>
  <si>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</si>
  <si>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</si>
  <si>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</si>
  <si>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</si>
  <si>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</si>
  <si>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</si>
  <si>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</si>
  <si>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</si>
  <si>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</si>
  <si>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</si>
  <si>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</si>
  <si>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</si>
  <si>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</si>
  <si>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</si>
  <si>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</si>
  <si>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</si>
  <si>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</si>
  <si>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</si>
  <si>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</si>
  <si>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</si>
  <si>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</si>
  <si>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</si>
  <si>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</si>
  <si>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</si>
  <si>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</si>
  <si>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</si>
  <si>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</si>
  <si>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</si>
  <si>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</si>
  <si>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</si>
  <si>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</si>
  <si>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</si>
  <si>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</si>
  <si>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</si>
  <si>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</si>
  <si>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</si>
  <si>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</si>
  <si>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</si>
  <si>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</si>
  <si>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</si>
  <si>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</si>
  <si>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</si>
  <si>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</si>
  <si>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</si>
  <si>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</si>
  <si>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</si>
  <si>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</si>
  <si>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</si>
  <si>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</si>
  <si>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</si>
  <si>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</si>
  <si>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</si>
  <si>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</si>
  <si>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</si>
  <si>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</si>
  <si>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</si>
  <si>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</si>
  <si>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</si>
  <si>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</si>
  <si>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</si>
  <si>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</si>
  <si>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</si>
  <si>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</si>
  <si>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</si>
  <si>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</si>
  <si>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</si>
  <si>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</si>
  <si>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</si>
  <si>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</si>
  <si>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</si>
  <si>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</si>
  <si>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</si>
  <si>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</si>
  <si>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</si>
  <si>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</si>
  <si>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</si>
  <si>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</si>
  <si>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</si>
  <si>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</si>
  <si>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</si>
  <si>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</si>
  <si>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</si>
  <si>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</si>
  <si>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</si>
  <si>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</si>
  <si>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</si>
  <si>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</si>
  <si>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</si>
  <si>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</si>
  <si>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</si>
  <si>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</si>
  <si>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</si>
  <si>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</si>
  <si>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</si>
  <si>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</si>
  <si>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</si>
  <si>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</si>
  <si>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</si>
  <si>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</si>
  <si>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</si>
  <si>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</si>
  <si>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</si>
  <si>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</si>
  <si>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</si>
  <si>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</si>
  <si>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</si>
  <si>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</si>
  <si>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</si>
  <si>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</si>
  <si>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</si>
  <si>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</si>
  <si>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</si>
  <si>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</si>
  <si>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</si>
  <si>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</si>
  <si>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</si>
  <si>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 xml:space="preserve">Food Service audit is currnetly being started.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</si>
</sst>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355" zoomScale="120" zoomScaleNormal="12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1222</v>
      </c>
      <c r="B2">
        <f>INDEX('School Tables'!$AH$3:$AH$209,MATCH('DOE25'!A2,'School Tables'!$AJ$3:$AJ$209,0))</f>
        <v>341</v>
      </c>
      <c r="C2">
        <f>INDEX('School Tables'!$AI$3:$AI$209,MATCH('DOE25'!A2,'School Tables'!$AJ$3:$AJ$209,0))</f>
        <v>341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315033.53000000003</v>
      </c>
      <c r="G9" s="18">
        <v>0</v>
      </c>
      <c r="H9" s="18">
        <v>743</v>
      </c>
      <c r="I9" s="18">
        <v>0</v>
      </c>
      <c r="J9" s="13">
        <f>SUM(I440)</f>
        <v>260823.59000000003</v>
      </c>
      <c r="K9" s="23" t="s">
        <v>288</v>
      </c>
      <c r="L9" s="23" t="s">
        <v>288</v>
      </c>
      <c r="M9" s="8"/>
      <c r="N9" s="165"/>
    </row>
    <row r="10" spans="1:14" s="3" customFormat="1" ht="12.2" customHeight="1" x14ac:dyDescent="0.15">
      <c r="A10" s="1" t="s">
        <v>562</v>
      </c>
      <c r="B10" s="2" t="s">
        <v>289</v>
      </c>
      <c r="C10" s="6">
        <v>2</v>
      </c>
      <c r="D10" s="2" t="s">
        <v>428</v>
      </c>
      <c r="E10" s="6">
        <v>110</v>
      </c>
      <c r="F10" s="18">
        <v>0</v>
      </c>
      <c r="G10" s="18">
        <v>0</v>
      </c>
      <c r="H10" s="18">
        <v>0</v>
      </c>
      <c r="I10" s="18">
        <v>0</v>
      </c>
      <c r="J10" s="13">
        <f>SUM(I441)</f>
        <v>0</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8864.1299999999992</v>
      </c>
      <c r="G12" s="18">
        <v>0</v>
      </c>
      <c r="H12" s="18">
        <v>0</v>
      </c>
      <c r="I12" s="18">
        <v>0</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v>94.8</v>
      </c>
      <c r="G13" s="18">
        <v>0</v>
      </c>
      <c r="H13" s="18">
        <v>10387.19</v>
      </c>
      <c r="I13" s="18">
        <v>0</v>
      </c>
      <c r="J13" s="13">
        <f>SUM(I443)</f>
        <v>0</v>
      </c>
      <c r="K13" s="23" t="s">
        <v>288</v>
      </c>
      <c r="L13" s="23" t="s">
        <v>288</v>
      </c>
      <c r="M13" s="8"/>
      <c r="N13" s="165"/>
    </row>
    <row r="14" spans="1:14" s="3" customFormat="1" ht="12.2" customHeight="1" x14ac:dyDescent="0.15">
      <c r="A14" s="1" t="s">
        <v>565</v>
      </c>
      <c r="B14" s="2" t="s">
        <v>289</v>
      </c>
      <c r="C14" s="6">
        <v>6</v>
      </c>
      <c r="D14" s="2" t="s">
        <v>428</v>
      </c>
      <c r="E14" s="6">
        <v>150</v>
      </c>
      <c r="F14" s="18">
        <v>0</v>
      </c>
      <c r="G14" s="18">
        <v>0</v>
      </c>
      <c r="H14" s="18">
        <v>0</v>
      </c>
      <c r="I14" s="18">
        <v>0</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5"/>
    </row>
    <row r="17" spans="1:14" s="3" customFormat="1" ht="12.2" customHeight="1" x14ac:dyDescent="0.15">
      <c r="A17" s="1" t="s">
        <v>567</v>
      </c>
      <c r="B17" s="2" t="s">
        <v>289</v>
      </c>
      <c r="C17" s="6">
        <v>9</v>
      </c>
      <c r="D17" s="2" t="s">
        <v>428</v>
      </c>
      <c r="E17" s="6">
        <v>180</v>
      </c>
      <c r="F17" s="18">
        <v>0</v>
      </c>
      <c r="G17" s="18">
        <v>0</v>
      </c>
      <c r="H17" s="18">
        <v>0</v>
      </c>
      <c r="I17" s="18">
        <v>0</v>
      </c>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323992.46000000002</v>
      </c>
      <c r="G19" s="38">
        <f>SUM(G9:G18)</f>
        <v>0</v>
      </c>
      <c r="H19" s="38">
        <f>SUM(H9:H18)</f>
        <v>11130.19</v>
      </c>
      <c r="I19" s="38">
        <f>SUM(I9:I18)</f>
        <v>0</v>
      </c>
      <c r="J19" s="38">
        <f>SUM(J9:J18)</f>
        <v>260823.59000000003</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0</v>
      </c>
      <c r="G22" s="18">
        <v>0</v>
      </c>
      <c r="H22" s="18">
        <v>8864.1299999999992</v>
      </c>
      <c r="I22" s="18">
        <v>0</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11.46</v>
      </c>
      <c r="G23" s="18">
        <v>0</v>
      </c>
      <c r="H23" s="18">
        <v>38.299999999999997</v>
      </c>
      <c r="I23" s="18">
        <v>0</v>
      </c>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15535.27</v>
      </c>
      <c r="G24" s="18">
        <v>0</v>
      </c>
      <c r="H24" s="18">
        <v>1484.76</v>
      </c>
      <c r="I24" s="18">
        <v>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5"/>
    </row>
    <row r="28" spans="1:14" s="3" customFormat="1" ht="12.2" customHeight="1" x14ac:dyDescent="0.15">
      <c r="A28" s="1" t="s">
        <v>573</v>
      </c>
      <c r="B28" s="2" t="s">
        <v>289</v>
      </c>
      <c r="C28" s="6">
        <v>18</v>
      </c>
      <c r="D28" s="2" t="s">
        <v>429</v>
      </c>
      <c r="E28" s="6">
        <v>460</v>
      </c>
      <c r="F28" s="18">
        <v>0</v>
      </c>
      <c r="G28" s="18">
        <v>0</v>
      </c>
      <c r="H28" s="18">
        <v>0</v>
      </c>
      <c r="I28" s="18">
        <v>0</v>
      </c>
      <c r="J28" s="23" t="s">
        <v>288</v>
      </c>
      <c r="K28" s="23" t="s">
        <v>288</v>
      </c>
      <c r="L28" s="23" t="s">
        <v>288</v>
      </c>
      <c r="M28" s="8"/>
      <c r="N28" s="165"/>
    </row>
    <row r="29" spans="1:14" s="3" customFormat="1" ht="12.2" customHeight="1" x14ac:dyDescent="0.15">
      <c r="A29" s="1" t="s">
        <v>575</v>
      </c>
      <c r="B29" s="2" t="s">
        <v>289</v>
      </c>
      <c r="C29" s="6">
        <v>19</v>
      </c>
      <c r="D29" s="2" t="s">
        <v>429</v>
      </c>
      <c r="E29" s="6">
        <v>470</v>
      </c>
      <c r="F29" s="18">
        <v>20148.87</v>
      </c>
      <c r="G29" s="18">
        <v>0</v>
      </c>
      <c r="H29" s="18">
        <v>0</v>
      </c>
      <c r="I29" s="18">
        <v>0</v>
      </c>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v>0</v>
      </c>
      <c r="H30" s="18">
        <v>0</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35695.599999999999</v>
      </c>
      <c r="G32" s="38">
        <f>SUM(G22:G31)</f>
        <v>0</v>
      </c>
      <c r="H32" s="38">
        <f>SUM(H22:H31)</f>
        <v>10387.189999999999</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5"/>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5"/>
    </row>
    <row r="37" spans="1:14" s="3" customFormat="1" ht="12.2" customHeight="1" x14ac:dyDescent="0.15">
      <c r="A37" s="1" t="s">
        <v>851</v>
      </c>
      <c r="B37" s="6">
        <v>1</v>
      </c>
      <c r="C37" s="6">
        <v>25</v>
      </c>
      <c r="D37" s="2" t="s">
        <v>653</v>
      </c>
      <c r="E37" s="6">
        <v>756</v>
      </c>
      <c r="F37" s="18">
        <v>0</v>
      </c>
      <c r="G37" s="18">
        <v>0</v>
      </c>
      <c r="H37" s="18">
        <v>743</v>
      </c>
      <c r="I37" s="18">
        <v>0</v>
      </c>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0</v>
      </c>
      <c r="G43" s="18">
        <v>0</v>
      </c>
      <c r="H43" s="18">
        <v>0</v>
      </c>
      <c r="I43" s="18">
        <v>0</v>
      </c>
      <c r="J43" s="13">
        <f>SUM(I457)</f>
        <v>0</v>
      </c>
      <c r="K43" s="23" t="s">
        <v>288</v>
      </c>
      <c r="L43" s="23" t="s">
        <v>288</v>
      </c>
      <c r="M43" s="8"/>
      <c r="N43" s="165"/>
    </row>
    <row r="44" spans="1:14" s="3" customFormat="1" ht="12.2" customHeight="1" x14ac:dyDescent="0.15">
      <c r="A44" s="1" t="s">
        <v>836</v>
      </c>
      <c r="B44" s="6">
        <v>1</v>
      </c>
      <c r="C44" s="6">
        <v>30</v>
      </c>
      <c r="D44" s="2" t="s">
        <v>653</v>
      </c>
      <c r="E44" s="6">
        <v>755</v>
      </c>
      <c r="F44" s="18">
        <v>35000</v>
      </c>
      <c r="G44" s="18">
        <v>0</v>
      </c>
      <c r="H44" s="18">
        <v>0</v>
      </c>
      <c r="I44" s="18">
        <v>0</v>
      </c>
      <c r="J44" s="23" t="s">
        <v>288</v>
      </c>
      <c r="K44" s="23" t="s">
        <v>288</v>
      </c>
      <c r="L44" s="23" t="s">
        <v>288</v>
      </c>
      <c r="M44" s="8"/>
      <c r="N44" s="165"/>
    </row>
    <row r="45" spans="1:14" s="3" customFormat="1" ht="12.2" customHeight="1" x14ac:dyDescent="0.15">
      <c r="A45" s="1" t="s">
        <v>837</v>
      </c>
      <c r="B45" s="6">
        <v>1</v>
      </c>
      <c r="C45" s="6">
        <v>31</v>
      </c>
      <c r="D45" s="2"/>
      <c r="E45" s="6">
        <v>753</v>
      </c>
      <c r="F45" s="18">
        <v>0</v>
      </c>
      <c r="G45" s="18">
        <v>0</v>
      </c>
      <c r="H45" s="18">
        <v>0</v>
      </c>
      <c r="I45" s="18">
        <v>0</v>
      </c>
      <c r="J45" s="13">
        <f>I456</f>
        <v>0</v>
      </c>
      <c r="K45" s="23" t="s">
        <v>288</v>
      </c>
      <c r="L45" s="23" t="s">
        <v>288</v>
      </c>
      <c r="M45" s="8"/>
      <c r="N45" s="165"/>
    </row>
    <row r="46" spans="1:14" s="3" customFormat="1" ht="12.2" customHeight="1" x14ac:dyDescent="0.15">
      <c r="A46" s="1" t="s">
        <v>873</v>
      </c>
      <c r="B46" s="6">
        <v>1</v>
      </c>
      <c r="C46" s="6">
        <v>32</v>
      </c>
      <c r="D46" s="2"/>
      <c r="E46" s="6"/>
      <c r="F46" s="18">
        <v>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0</v>
      </c>
      <c r="G48" s="18">
        <v>0</v>
      </c>
      <c r="H48" s="18">
        <v>0</v>
      </c>
      <c r="I48" s="18">
        <v>0</v>
      </c>
      <c r="J48" s="13">
        <f>SUM(I460)</f>
        <v>260823.59000000003</v>
      </c>
      <c r="K48" s="23" t="s">
        <v>288</v>
      </c>
      <c r="L48" s="23" t="s">
        <v>288</v>
      </c>
      <c r="M48" s="8"/>
      <c r="N48" s="165"/>
    </row>
    <row r="49" spans="1:14" s="3" customFormat="1" ht="12.2" customHeight="1" x14ac:dyDescent="0.15">
      <c r="A49" s="1" t="s">
        <v>858</v>
      </c>
      <c r="B49" s="2" t="s">
        <v>289</v>
      </c>
      <c r="C49" s="6">
        <v>34</v>
      </c>
      <c r="D49" s="2"/>
      <c r="E49" s="6">
        <v>753</v>
      </c>
      <c r="F49" s="18">
        <v>37746.67</v>
      </c>
      <c r="G49" s="18">
        <v>0</v>
      </c>
      <c r="H49" s="18">
        <v>0</v>
      </c>
      <c r="I49" s="18">
        <v>0</v>
      </c>
      <c r="J49" s="13">
        <f>I455</f>
        <v>0</v>
      </c>
      <c r="K49" s="23"/>
      <c r="L49" s="23"/>
      <c r="M49" s="8"/>
      <c r="N49" s="165"/>
    </row>
    <row r="50" spans="1:14" s="3" customFormat="1" ht="12.2" customHeight="1" thickBot="1" x14ac:dyDescent="0.2">
      <c r="A50" s="28" t="s">
        <v>839</v>
      </c>
      <c r="B50" s="2" t="s">
        <v>289</v>
      </c>
      <c r="C50" s="56">
        <v>35</v>
      </c>
      <c r="D50" s="2" t="s">
        <v>653</v>
      </c>
      <c r="E50" s="6">
        <v>770</v>
      </c>
      <c r="F50" s="18">
        <v>215550.19</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288296.86</v>
      </c>
      <c r="G51" s="38">
        <f>SUM(G35:G50)</f>
        <v>0</v>
      </c>
      <c r="H51" s="38">
        <f>SUM(H35:H50)</f>
        <v>743</v>
      </c>
      <c r="I51" s="38">
        <f>SUM(I35:I50)</f>
        <v>0</v>
      </c>
      <c r="J51" s="38">
        <f>SUM(J35:J50)</f>
        <v>260823.59000000003</v>
      </c>
      <c r="K51" s="42" t="s">
        <v>288</v>
      </c>
      <c r="L51" s="42" t="s">
        <v>288</v>
      </c>
      <c r="N51" s="131"/>
    </row>
    <row r="52" spans="1:14" s="3" customFormat="1" ht="12.2" customHeight="1" thickTop="1" x14ac:dyDescent="0.15">
      <c r="A52" s="35" t="s">
        <v>455</v>
      </c>
      <c r="B52" s="36" t="s">
        <v>289</v>
      </c>
      <c r="C52" s="6">
        <v>37</v>
      </c>
      <c r="D52" s="36" t="s">
        <v>653</v>
      </c>
      <c r="E52" s="36"/>
      <c r="F52" s="38">
        <f>F51+F32</f>
        <v>323992.45999999996</v>
      </c>
      <c r="G52" s="38">
        <f>G51+G32</f>
        <v>0</v>
      </c>
      <c r="H52" s="38">
        <f>H51+H32</f>
        <v>11130.189999999999</v>
      </c>
      <c r="I52" s="38">
        <f>I51+I32</f>
        <v>0</v>
      </c>
      <c r="J52" s="38">
        <f>J51+J32</f>
        <v>260823.59000000003</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1187863</v>
      </c>
      <c r="G57" s="18">
        <v>0</v>
      </c>
      <c r="H57" s="18">
        <v>0</v>
      </c>
      <c r="I57" s="18">
        <v>0</v>
      </c>
      <c r="J57" s="18"/>
      <c r="K57" s="23" t="s">
        <v>288</v>
      </c>
      <c r="L57" s="23" t="s">
        <v>288</v>
      </c>
      <c r="M57" s="8"/>
      <c r="N57" s="165"/>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v>0</v>
      </c>
      <c r="H59" s="18">
        <v>0</v>
      </c>
      <c r="I59" s="18">
        <v>0</v>
      </c>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1187863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4366.83</v>
      </c>
      <c r="G63" s="23" t="s">
        <v>288</v>
      </c>
      <c r="H63" s="18">
        <v>0</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20601</v>
      </c>
      <c r="G68" s="23" t="s">
        <v>288</v>
      </c>
      <c r="H68" s="18">
        <v>0</v>
      </c>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24967.83</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2342.5300000000002</v>
      </c>
      <c r="G96" s="18">
        <v>0</v>
      </c>
      <c r="H96" s="18">
        <v>0</v>
      </c>
      <c r="I96" s="18">
        <v>0</v>
      </c>
      <c r="J96" s="18">
        <v>2435.6</v>
      </c>
      <c r="K96" s="23" t="s">
        <v>288</v>
      </c>
      <c r="L96" s="23" t="s">
        <v>288</v>
      </c>
      <c r="M96" s="8"/>
      <c r="N96" s="165"/>
    </row>
    <row r="97" spans="1:14" s="3" customFormat="1" ht="12.2" customHeight="1" x14ac:dyDescent="0.15">
      <c r="A97" s="1" t="s">
        <v>503</v>
      </c>
      <c r="B97" s="2" t="s">
        <v>315</v>
      </c>
      <c r="C97" s="6">
        <v>12</v>
      </c>
      <c r="D97" s="2" t="s">
        <v>430</v>
      </c>
      <c r="E97" s="6">
        <v>1600</v>
      </c>
      <c r="F97" s="23" t="s">
        <v>288</v>
      </c>
      <c r="G97" s="18">
        <v>0</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0</v>
      </c>
      <c r="G101" s="18">
        <v>0</v>
      </c>
      <c r="H101" s="18">
        <v>0</v>
      </c>
      <c r="I101" s="18">
        <v>0</v>
      </c>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v>0</v>
      </c>
      <c r="H102" s="18">
        <v>0</v>
      </c>
      <c r="I102" s="18">
        <v>0</v>
      </c>
      <c r="J102" s="18"/>
      <c r="K102" s="23" t="s">
        <v>288</v>
      </c>
      <c r="L102" s="23" t="s">
        <v>288</v>
      </c>
      <c r="M102" s="8"/>
      <c r="N102" s="165"/>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5161.2700000000004</v>
      </c>
      <c r="G109" s="18">
        <v>0</v>
      </c>
      <c r="H109" s="18">
        <v>0</v>
      </c>
      <c r="I109" s="18">
        <v>0</v>
      </c>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4143.08</v>
      </c>
      <c r="G110" s="18">
        <v>0</v>
      </c>
      <c r="H110" s="18">
        <v>0</v>
      </c>
      <c r="I110" s="18">
        <v>0</v>
      </c>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11646.880000000001</v>
      </c>
      <c r="G111" s="38">
        <f>SUM(G96:G110)</f>
        <v>0</v>
      </c>
      <c r="H111" s="38">
        <f>SUM(H96:H110)</f>
        <v>0</v>
      </c>
      <c r="I111" s="38">
        <f>SUM(I96:I110)</f>
        <v>0</v>
      </c>
      <c r="J111" s="38">
        <f>SUM(J96:J110)</f>
        <v>2435.6</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1224477.71</v>
      </c>
      <c r="G112" s="38">
        <f>G60+G111</f>
        <v>0</v>
      </c>
      <c r="H112" s="38">
        <f>H60+H79+H94+H111</f>
        <v>0</v>
      </c>
      <c r="I112" s="38">
        <f>I60+I111</f>
        <v>0</v>
      </c>
      <c r="J112" s="38">
        <f>J60+J111</f>
        <v>2435.6</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686042.58</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92219</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8773.98</v>
      </c>
      <c r="G120" s="18">
        <v>0</v>
      </c>
      <c r="H120" s="18">
        <v>0</v>
      </c>
      <c r="I120" s="18">
        <v>0</v>
      </c>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787035.55999999994</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5"/>
    </row>
    <row r="125" spans="1:14" s="3" customFormat="1" ht="12.2" customHeight="1" x14ac:dyDescent="0.15">
      <c r="A125" s="1" t="s">
        <v>895</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89480.31</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v>0</v>
      </c>
      <c r="G130" s="23" t="s">
        <v>288</v>
      </c>
      <c r="H130" s="18">
        <v>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0</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89480.31</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v>0</v>
      </c>
      <c r="G137" s="18"/>
      <c r="H137" s="18">
        <v>0</v>
      </c>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876515.86999999988</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v>18537</v>
      </c>
      <c r="I150" s="18">
        <v>0</v>
      </c>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30847.11</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0</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0</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17083.939999999999</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0</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928.5</v>
      </c>
      <c r="G161" s="18">
        <v>0</v>
      </c>
      <c r="H161" s="18">
        <v>0</v>
      </c>
      <c r="I161" s="18">
        <v>0</v>
      </c>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v>0</v>
      </c>
      <c r="G162" s="18">
        <v>0</v>
      </c>
      <c r="H162" s="18">
        <v>114999.23000000001</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928.5</v>
      </c>
      <c r="G163" s="38">
        <f>SUM(G150:G162)</f>
        <v>0</v>
      </c>
      <c r="H163" s="38">
        <f>SUM(H150:H162)</f>
        <v>181467.28000000003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928.5</v>
      </c>
      <c r="G170" s="38">
        <f>G147+G163+SUM(G164:G169)</f>
        <v>0</v>
      </c>
      <c r="H170" s="38">
        <f>H147+H163+SUM(H164:H169)</f>
        <v>181467.28000000003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18289.560000000001</v>
      </c>
      <c r="H180" s="18">
        <v>0</v>
      </c>
      <c r="I180" s="18">
        <v>0</v>
      </c>
      <c r="J180" s="18">
        <v>15000</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v>0</v>
      </c>
      <c r="I181" s="18">
        <v>0</v>
      </c>
      <c r="J181" s="18"/>
      <c r="K181" s="23" t="s">
        <v>288</v>
      </c>
      <c r="L181" s="23" t="s">
        <v>288</v>
      </c>
      <c r="M181" s="8"/>
      <c r="N181" s="165"/>
    </row>
    <row r="182" spans="1:14" s="3" customFormat="1" ht="12.2" customHeight="1" x14ac:dyDescent="0.15">
      <c r="A182" s="3" t="s">
        <v>526</v>
      </c>
      <c r="B182" s="2" t="s">
        <v>330</v>
      </c>
      <c r="C182" s="6">
        <v>8</v>
      </c>
      <c r="D182" s="2" t="s">
        <v>430</v>
      </c>
      <c r="E182" s="6">
        <v>5222</v>
      </c>
      <c r="F182" s="18">
        <v>0</v>
      </c>
      <c r="G182" s="18">
        <v>0</v>
      </c>
      <c r="H182" s="23" t="s">
        <v>288</v>
      </c>
      <c r="I182" s="18">
        <v>0</v>
      </c>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v>0</v>
      </c>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18289.560000000001</v>
      </c>
      <c r="H184" s="38">
        <f>SUM(H180:H183)</f>
        <v>0</v>
      </c>
      <c r="I184" s="38">
        <f>SUM(I180:I183)</f>
        <v>0</v>
      </c>
      <c r="J184" s="38">
        <f>SUM(J180:J183)</f>
        <v>15000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5"/>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18289.560000000001</v>
      </c>
      <c r="H193" s="38">
        <f>+H184+SUM(H189:H192)</f>
        <v>0</v>
      </c>
      <c r="I193" s="38">
        <f>I178+I184+SUM(I189:I192)</f>
        <v>0</v>
      </c>
      <c r="J193" s="38">
        <f>J184</f>
        <v>15000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2101922.08</v>
      </c>
      <c r="G194" s="38">
        <f>G112+G140+G170+G193</f>
        <v>18289.560000000001</v>
      </c>
      <c r="H194" s="38">
        <f>H112+H140+H170+H193</f>
        <v>181467.28000000003</v>
      </c>
      <c r="I194" s="38">
        <f>I112+I140+I170+I193</f>
        <v>0</v>
      </c>
      <c r="J194" s="38">
        <f>J112+J140+J193</f>
        <v>17435.599999999999</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241805.09</v>
      </c>
      <c r="G198" s="18">
        <v>172267.16</v>
      </c>
      <c r="H198" s="18">
        <v>29219.94</v>
      </c>
      <c r="I198" s="18">
        <v>11028.8</v>
      </c>
      <c r="J198" s="18">
        <v>14364.56</v>
      </c>
      <c r="K198" s="18">
        <v>0</v>
      </c>
      <c r="L198" s="13">
        <f>SUM(F198:K198)</f>
        <v>468685.55</v>
      </c>
      <c r="M198" s="8"/>
      <c r="N198" s="165"/>
    </row>
    <row r="199" spans="1:14" s="3" customFormat="1" ht="12.2" customHeight="1" x14ac:dyDescent="0.15">
      <c r="A199" s="1" t="s">
        <v>439</v>
      </c>
      <c r="B199" s="2" t="s">
        <v>341</v>
      </c>
      <c r="C199" s="2" t="s">
        <v>291</v>
      </c>
      <c r="D199" s="2" t="s">
        <v>431</v>
      </c>
      <c r="E199" s="6">
        <v>1200</v>
      </c>
      <c r="F199" s="18">
        <v>70183.62</v>
      </c>
      <c r="G199" s="18">
        <v>44289.34</v>
      </c>
      <c r="H199" s="18">
        <v>105554.48</v>
      </c>
      <c r="I199" s="18">
        <v>994.75</v>
      </c>
      <c r="J199" s="18">
        <v>0</v>
      </c>
      <c r="K199" s="18">
        <v>0</v>
      </c>
      <c r="L199" s="13">
        <f>SUM(F199:K199)</f>
        <v>221022.19</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9900.02</v>
      </c>
      <c r="G203" s="18">
        <v>798.98</v>
      </c>
      <c r="H203" s="18">
        <v>52428.929999999993</v>
      </c>
      <c r="I203" s="18">
        <v>556.33000000000004</v>
      </c>
      <c r="J203" s="18">
        <v>0</v>
      </c>
      <c r="K203" s="18">
        <v>0</v>
      </c>
      <c r="L203" s="13">
        <f t="shared" ref="L203:L209" si="0">SUM(F203:K203)</f>
        <v>63684.259999999995</v>
      </c>
      <c r="M203" s="8"/>
      <c r="N203" s="165"/>
    </row>
    <row r="204" spans="1:14" s="3" customFormat="1" ht="12.2" customHeight="1" x14ac:dyDescent="0.15">
      <c r="A204" s="1" t="s">
        <v>443</v>
      </c>
      <c r="B204" s="2" t="s">
        <v>341</v>
      </c>
      <c r="C204" s="2" t="s">
        <v>295</v>
      </c>
      <c r="D204" s="2" t="s">
        <v>431</v>
      </c>
      <c r="E204" s="6">
        <v>2200</v>
      </c>
      <c r="F204" s="18">
        <v>9482.56</v>
      </c>
      <c r="G204" s="18">
        <v>870.08999999999992</v>
      </c>
      <c r="H204" s="18">
        <v>1676.3400000000001</v>
      </c>
      <c r="I204" s="18">
        <v>0</v>
      </c>
      <c r="J204" s="18">
        <v>0</v>
      </c>
      <c r="K204" s="18">
        <v>0</v>
      </c>
      <c r="L204" s="13">
        <f t="shared" si="0"/>
        <v>12028.99</v>
      </c>
      <c r="M204" s="8"/>
      <c r="N204" s="165"/>
    </row>
    <row r="205" spans="1:14" s="3" customFormat="1" ht="12.2" customHeight="1" x14ac:dyDescent="0.15">
      <c r="A205" s="1" t="s">
        <v>444</v>
      </c>
      <c r="B205" s="2" t="s">
        <v>341</v>
      </c>
      <c r="C205" s="2" t="s">
        <v>296</v>
      </c>
      <c r="D205" s="2" t="s">
        <v>431</v>
      </c>
      <c r="E205" s="6">
        <v>2300</v>
      </c>
      <c r="F205" s="18">
        <v>4150</v>
      </c>
      <c r="G205" s="18">
        <v>6334.94</v>
      </c>
      <c r="H205" s="18">
        <v>83834.649999999994</v>
      </c>
      <c r="I205" s="18">
        <v>1299.6300000000001</v>
      </c>
      <c r="J205" s="18">
        <v>0</v>
      </c>
      <c r="K205" s="18">
        <v>0</v>
      </c>
      <c r="L205" s="13">
        <f t="shared" si="0"/>
        <v>95619.22</v>
      </c>
      <c r="M205" s="8"/>
      <c r="N205" s="165"/>
    </row>
    <row r="206" spans="1:14" s="3" customFormat="1" ht="12.2" customHeight="1" x14ac:dyDescent="0.15">
      <c r="A206" s="1" t="s">
        <v>445</v>
      </c>
      <c r="B206" s="2" t="s">
        <v>341</v>
      </c>
      <c r="C206" s="2" t="s">
        <v>297</v>
      </c>
      <c r="D206" s="2" t="s">
        <v>431</v>
      </c>
      <c r="E206" s="6">
        <v>2400</v>
      </c>
      <c r="F206" s="18">
        <v>106308.18</v>
      </c>
      <c r="G206" s="18">
        <v>49944.83</v>
      </c>
      <c r="H206" s="18">
        <v>9041.31</v>
      </c>
      <c r="I206" s="18">
        <v>3443.8399999999997</v>
      </c>
      <c r="J206" s="18">
        <v>0</v>
      </c>
      <c r="K206" s="18">
        <v>0</v>
      </c>
      <c r="L206" s="13">
        <f t="shared" si="0"/>
        <v>168738.16</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v>22467.599999999999</v>
      </c>
      <c r="G208" s="18">
        <v>2577.1</v>
      </c>
      <c r="H208" s="18">
        <v>121525.78000000001</v>
      </c>
      <c r="I208" s="18">
        <v>22813.18</v>
      </c>
      <c r="J208" s="18">
        <v>5276.52</v>
      </c>
      <c r="K208" s="18">
        <v>0</v>
      </c>
      <c r="L208" s="13">
        <f t="shared" si="0"/>
        <v>174660.18</v>
      </c>
      <c r="M208" s="8"/>
      <c r="N208" s="165"/>
    </row>
    <row r="209" spans="1:14" s="3" customFormat="1" ht="12.2" customHeight="1" x14ac:dyDescent="0.15">
      <c r="A209" s="1" t="s">
        <v>448</v>
      </c>
      <c r="B209" s="2" t="s">
        <v>341</v>
      </c>
      <c r="C209" s="2" t="s">
        <v>300</v>
      </c>
      <c r="D209" s="2" t="s">
        <v>431</v>
      </c>
      <c r="E209" s="6">
        <v>2700</v>
      </c>
      <c r="F209" s="18">
        <v>0</v>
      </c>
      <c r="G209" s="18">
        <v>0</v>
      </c>
      <c r="H209" s="18">
        <v>93462.2</v>
      </c>
      <c r="I209" s="18">
        <v>0</v>
      </c>
      <c r="J209" s="18">
        <v>0</v>
      </c>
      <c r="K209" s="18">
        <v>0</v>
      </c>
      <c r="L209" s="13">
        <f t="shared" si="0"/>
        <v>93462.2</v>
      </c>
      <c r="M209" s="8"/>
      <c r="N209" s="165"/>
    </row>
    <row r="210" spans="1:14" s="3" customFormat="1" ht="12.2" customHeight="1" x14ac:dyDescent="0.15">
      <c r="A210" s="1" t="s">
        <v>449</v>
      </c>
      <c r="B210" s="2" t="s">
        <v>341</v>
      </c>
      <c r="C210" s="2" t="s">
        <v>343</v>
      </c>
      <c r="D210" s="2" t="s">
        <v>431</v>
      </c>
      <c r="E210" s="6">
        <v>2800</v>
      </c>
      <c r="F210" s="18">
        <v>0</v>
      </c>
      <c r="G210" s="18">
        <v>36.08</v>
      </c>
      <c r="H210" s="18">
        <v>635.44000000000005</v>
      </c>
      <c r="I210" s="18">
        <v>0</v>
      </c>
      <c r="J210" s="18">
        <v>1427</v>
      </c>
      <c r="K210" s="18">
        <v>0</v>
      </c>
      <c r="L210" s="13">
        <f>SUM(F210:K210)</f>
        <v>2098.52</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464297.06999999995</v>
      </c>
      <c r="G212" s="38">
        <f t="shared" si="1"/>
        <v>277118.52</v>
      </c>
      <c r="H212" s="38">
        <f t="shared" si="1"/>
        <v>497379.07</v>
      </c>
      <c r="I212" s="38">
        <f t="shared" si="1"/>
        <v>40136.53</v>
      </c>
      <c r="J212" s="38">
        <f t="shared" si="1"/>
        <v>21068.080000000002</v>
      </c>
      <c r="K212" s="38">
        <f t="shared" si="1"/>
        <v>0</v>
      </c>
      <c r="L212" s="38">
        <f t="shared" si="1"/>
        <v>1299999.27</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0</v>
      </c>
      <c r="G216" s="18">
        <v>0</v>
      </c>
      <c r="H216" s="18">
        <v>133282.95000000001</v>
      </c>
      <c r="I216" s="18">
        <v>0</v>
      </c>
      <c r="J216" s="18">
        <v>0</v>
      </c>
      <c r="K216" s="18">
        <v>0</v>
      </c>
      <c r="L216" s="13">
        <f>SUM(F216:K216)</f>
        <v>133282.95000000001</v>
      </c>
      <c r="M216" s="8"/>
      <c r="N216" s="165"/>
    </row>
    <row r="217" spans="1:14" s="3" customFormat="1" ht="12.2" customHeight="1" x14ac:dyDescent="0.15">
      <c r="A217" s="1" t="s">
        <v>439</v>
      </c>
      <c r="B217" s="2" t="s">
        <v>346</v>
      </c>
      <c r="C217" s="2" t="s">
        <v>291</v>
      </c>
      <c r="D217" s="2" t="s">
        <v>431</v>
      </c>
      <c r="E217" s="6">
        <v>1200</v>
      </c>
      <c r="F217" s="18">
        <v>0</v>
      </c>
      <c r="G217" s="18">
        <v>0</v>
      </c>
      <c r="H217" s="18">
        <v>65444.04</v>
      </c>
      <c r="I217" s="18">
        <v>0</v>
      </c>
      <c r="J217" s="18">
        <v>0</v>
      </c>
      <c r="K217" s="18">
        <v>0</v>
      </c>
      <c r="L217" s="13">
        <f>SUM(F217:K217)</f>
        <v>65444.04</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3">
        <f t="shared" ref="L221:L227" si="2">SUM(F221:K221)</f>
        <v>0</v>
      </c>
      <c r="M221" s="8"/>
      <c r="N221" s="1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5"/>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3">
        <f t="shared" si="2"/>
        <v>0</v>
      </c>
      <c r="M223" s="8"/>
      <c r="N223" s="1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3">
        <f t="shared" si="2"/>
        <v>0</v>
      </c>
      <c r="M226" s="8"/>
      <c r="N226" s="165"/>
    </row>
    <row r="227" spans="1:14" s="3" customFormat="1" ht="12.2" customHeight="1" x14ac:dyDescent="0.15">
      <c r="A227" s="1" t="s">
        <v>448</v>
      </c>
      <c r="B227" s="2" t="s">
        <v>346</v>
      </c>
      <c r="C227" s="2" t="s">
        <v>300</v>
      </c>
      <c r="D227" s="2" t="s">
        <v>431</v>
      </c>
      <c r="E227" s="6">
        <v>2700</v>
      </c>
      <c r="F227" s="18">
        <v>0</v>
      </c>
      <c r="G227" s="18">
        <v>0</v>
      </c>
      <c r="H227" s="18">
        <v>13473.6</v>
      </c>
      <c r="I227" s="18">
        <v>0</v>
      </c>
      <c r="J227" s="18">
        <v>0</v>
      </c>
      <c r="K227" s="18">
        <v>0</v>
      </c>
      <c r="L227" s="13">
        <f t="shared" si="2"/>
        <v>13473.6</v>
      </c>
      <c r="M227" s="8"/>
      <c r="N227" s="1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212200.59000000003</v>
      </c>
      <c r="I230" s="38">
        <f>SUM(I216:I229)</f>
        <v>0</v>
      </c>
      <c r="J230" s="38">
        <f>SUM(J216:J229)</f>
        <v>0</v>
      </c>
      <c r="K230" s="38">
        <f t="shared" si="3"/>
        <v>0</v>
      </c>
      <c r="L230" s="38">
        <f t="shared" si="3"/>
        <v>212200.59000000003</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0</v>
      </c>
      <c r="G234" s="18">
        <v>0</v>
      </c>
      <c r="H234" s="18">
        <v>210168</v>
      </c>
      <c r="I234" s="18">
        <v>0</v>
      </c>
      <c r="J234" s="18">
        <v>0</v>
      </c>
      <c r="K234" s="18">
        <v>0</v>
      </c>
      <c r="L234" s="13">
        <f>SUM(F234:K234)</f>
        <v>210168</v>
      </c>
      <c r="M234" s="8"/>
      <c r="N234" s="165"/>
    </row>
    <row r="235" spans="1:14" s="3" customFormat="1" ht="12.2" customHeight="1" x14ac:dyDescent="0.15">
      <c r="A235" s="1" t="s">
        <v>439</v>
      </c>
      <c r="B235" s="2" t="s">
        <v>350</v>
      </c>
      <c r="C235" s="2" t="s">
        <v>291</v>
      </c>
      <c r="D235" s="2" t="s">
        <v>431</v>
      </c>
      <c r="E235" s="6">
        <v>1200</v>
      </c>
      <c r="F235" s="18">
        <v>0</v>
      </c>
      <c r="G235" s="18">
        <v>0</v>
      </c>
      <c r="H235" s="18">
        <v>264939.06</v>
      </c>
      <c r="I235" s="18">
        <v>0</v>
      </c>
      <c r="J235" s="18">
        <v>0</v>
      </c>
      <c r="K235" s="18">
        <v>0</v>
      </c>
      <c r="L235" s="13">
        <f>SUM(F235:K235)</f>
        <v>264939.06</v>
      </c>
      <c r="M235" s="8"/>
      <c r="N235" s="1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3">
        <f t="shared" ref="L239:L245" si="4">SUM(F239:K239)</f>
        <v>0</v>
      </c>
      <c r="M239" s="8"/>
      <c r="N239" s="1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5"/>
    </row>
    <row r="245" spans="1:14" s="3" customFormat="1" ht="12.2" customHeight="1" x14ac:dyDescent="0.15">
      <c r="A245" s="1" t="s">
        <v>448</v>
      </c>
      <c r="B245" s="2" t="s">
        <v>350</v>
      </c>
      <c r="C245" s="2" t="s">
        <v>300</v>
      </c>
      <c r="D245" s="2" t="s">
        <v>431</v>
      </c>
      <c r="E245" s="6">
        <v>2700</v>
      </c>
      <c r="F245" s="18">
        <v>0</v>
      </c>
      <c r="G245" s="18">
        <v>0</v>
      </c>
      <c r="H245" s="18">
        <v>64888.789999999994</v>
      </c>
      <c r="I245" s="18">
        <v>0</v>
      </c>
      <c r="J245" s="18">
        <v>0</v>
      </c>
      <c r="K245" s="18">
        <v>0</v>
      </c>
      <c r="L245" s="13">
        <f t="shared" si="4"/>
        <v>64888.789999999994</v>
      </c>
      <c r="M245" s="8"/>
      <c r="N245" s="1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539995.85</v>
      </c>
      <c r="I248" s="38">
        <f t="shared" si="5"/>
        <v>0</v>
      </c>
      <c r="J248" s="38">
        <f t="shared" si="5"/>
        <v>0</v>
      </c>
      <c r="K248" s="38">
        <f t="shared" si="5"/>
        <v>0</v>
      </c>
      <c r="L248" s="38">
        <f t="shared" si="5"/>
        <v>539995.85</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464297.06999999995</v>
      </c>
      <c r="G258" s="38">
        <f t="shared" si="8"/>
        <v>277118.52</v>
      </c>
      <c r="H258" s="38">
        <f t="shared" si="8"/>
        <v>1249575.51</v>
      </c>
      <c r="I258" s="38">
        <f t="shared" si="8"/>
        <v>40136.53</v>
      </c>
      <c r="J258" s="38">
        <f t="shared" si="8"/>
        <v>21068.080000000002</v>
      </c>
      <c r="K258" s="38">
        <f t="shared" si="8"/>
        <v>0</v>
      </c>
      <c r="L258" s="38">
        <f t="shared" si="8"/>
        <v>2052195.71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0</v>
      </c>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18289.560000000001</v>
      </c>
      <c r="L264" s="13">
        <f>SUM(F264:K264)</f>
        <v>18289.560000000001</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15000</v>
      </c>
      <c r="L267" s="13">
        <f t="shared" si="9"/>
        <v>15000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33289.56</v>
      </c>
      <c r="L271" s="38">
        <f t="shared" si="9"/>
        <v>33289.56</v>
      </c>
      <c r="M271" s="8"/>
      <c r="N271" s="165"/>
    </row>
    <row r="272" spans="1:14" s="33" customFormat="1" ht="12.2" customHeight="1" thickTop="1" x14ac:dyDescent="0.2">
      <c r="A272" s="40" t="s">
        <v>464</v>
      </c>
      <c r="B272" s="37">
        <v>10</v>
      </c>
      <c r="C272" s="37">
        <v>18</v>
      </c>
      <c r="D272" s="36" t="s">
        <v>431</v>
      </c>
      <c r="E272" s="37"/>
      <c r="F272" s="39">
        <f t="shared" ref="F272:L272" si="11">F258+F271</f>
        <v>464297.06999999995</v>
      </c>
      <c r="G272" s="39">
        <f t="shared" si="11"/>
        <v>277118.52</v>
      </c>
      <c r="H272" s="39">
        <f t="shared" si="11"/>
        <v>1249575.51</v>
      </c>
      <c r="I272" s="39">
        <f t="shared" si="11"/>
        <v>40136.53</v>
      </c>
      <c r="J272" s="39">
        <f t="shared" si="11"/>
        <v>21068.080000000002</v>
      </c>
      <c r="K272" s="39">
        <f t="shared" si="11"/>
        <v>33289.56</v>
      </c>
      <c r="L272" s="39">
        <f t="shared" si="11"/>
        <v>2085485.27</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9150.82</v>
      </c>
      <c r="G277" s="18">
        <v>5994.04</v>
      </c>
      <c r="H277" s="18">
        <v>0</v>
      </c>
      <c r="I277" s="18">
        <v>10985.36</v>
      </c>
      <c r="J277" s="18">
        <v>17882.7</v>
      </c>
      <c r="K277" s="18">
        <v>0</v>
      </c>
      <c r="L277" s="13">
        <f>SUM(F277:K277)</f>
        <v>44012.92</v>
      </c>
      <c r="M277" s="8"/>
      <c r="N277" s="165"/>
    </row>
    <row r="278" spans="1:14" s="3" customFormat="1" ht="12.2" customHeight="1" x14ac:dyDescent="0.15">
      <c r="A278" s="1" t="s">
        <v>439</v>
      </c>
      <c r="B278" s="2" t="s">
        <v>357</v>
      </c>
      <c r="C278" s="2" t="s">
        <v>291</v>
      </c>
      <c r="D278" s="2" t="s">
        <v>431</v>
      </c>
      <c r="E278" s="6">
        <v>1200</v>
      </c>
      <c r="F278" s="18">
        <v>10977.82</v>
      </c>
      <c r="G278" s="18">
        <v>919.68000000000006</v>
      </c>
      <c r="H278" s="18">
        <v>0</v>
      </c>
      <c r="I278" s="18">
        <v>1224.3</v>
      </c>
      <c r="J278" s="18">
        <v>932.43</v>
      </c>
      <c r="K278" s="18">
        <v>0</v>
      </c>
      <c r="L278" s="13">
        <f>SUM(F278:K278)</f>
        <v>14054.23</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0</v>
      </c>
      <c r="G282" s="18">
        <v>0</v>
      </c>
      <c r="H282" s="18">
        <v>2528</v>
      </c>
      <c r="I282" s="18">
        <v>0</v>
      </c>
      <c r="J282" s="18">
        <v>0</v>
      </c>
      <c r="K282" s="18">
        <v>143.19</v>
      </c>
      <c r="L282" s="13">
        <f t="shared" ref="L282:L288" si="12">SUM(F282:K282)</f>
        <v>2671.19</v>
      </c>
      <c r="M282" s="8"/>
      <c r="N282" s="165"/>
    </row>
    <row r="283" spans="1:14" s="3" customFormat="1" ht="12.2" customHeight="1" x14ac:dyDescent="0.15">
      <c r="A283" s="1" t="s">
        <v>443</v>
      </c>
      <c r="B283" s="2" t="s">
        <v>357</v>
      </c>
      <c r="C283" s="2" t="s">
        <v>295</v>
      </c>
      <c r="D283" s="2" t="s">
        <v>431</v>
      </c>
      <c r="E283" s="6">
        <v>2200</v>
      </c>
      <c r="F283" s="18">
        <v>0</v>
      </c>
      <c r="G283" s="18">
        <v>0</v>
      </c>
      <c r="H283" s="18">
        <v>636.04</v>
      </c>
      <c r="I283" s="18">
        <v>0</v>
      </c>
      <c r="J283" s="18">
        <v>0</v>
      </c>
      <c r="K283" s="18">
        <v>0</v>
      </c>
      <c r="L283" s="13">
        <f t="shared" si="12"/>
        <v>636.04</v>
      </c>
      <c r="M283" s="8"/>
      <c r="N283" s="165"/>
    </row>
    <row r="284" spans="1:14" s="3" customFormat="1" ht="12.2" customHeight="1" x14ac:dyDescent="0.15">
      <c r="A284" s="1" t="s">
        <v>444</v>
      </c>
      <c r="B284" s="2" t="s">
        <v>357</v>
      </c>
      <c r="C284" s="2" t="s">
        <v>296</v>
      </c>
      <c r="D284" s="2" t="s">
        <v>431</v>
      </c>
      <c r="E284" s="6">
        <v>2300</v>
      </c>
      <c r="F284" s="18">
        <v>0</v>
      </c>
      <c r="G284" s="18">
        <v>0</v>
      </c>
      <c r="H284" s="18">
        <v>2826.65</v>
      </c>
      <c r="I284" s="18">
        <v>0</v>
      </c>
      <c r="J284" s="18">
        <v>0</v>
      </c>
      <c r="K284" s="18">
        <v>0</v>
      </c>
      <c r="L284" s="13">
        <f t="shared" si="12"/>
        <v>2826.65</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5033.12</v>
      </c>
      <c r="L286" s="13">
        <f t="shared" si="12"/>
        <v>5033.12</v>
      </c>
      <c r="M286" s="8"/>
      <c r="N286" s="1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3">
        <f t="shared" si="12"/>
        <v>0</v>
      </c>
      <c r="M287" s="8"/>
      <c r="N287" s="1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20128.64</v>
      </c>
      <c r="G291" s="39">
        <f t="shared" si="13"/>
        <v>6913.72</v>
      </c>
      <c r="H291" s="39">
        <f t="shared" si="13"/>
        <v>5990.6900000000005</v>
      </c>
      <c r="I291" s="39">
        <f t="shared" si="13"/>
        <v>12209.66</v>
      </c>
      <c r="J291" s="39">
        <f t="shared" si="13"/>
        <v>18815.13</v>
      </c>
      <c r="K291" s="39">
        <f t="shared" si="13"/>
        <v>5176.3099999999995</v>
      </c>
      <c r="L291" s="38">
        <f t="shared" si="13"/>
        <v>69234.149999999994</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4"/>
        <v>0</v>
      </c>
      <c r="M302" s="8"/>
      <c r="N302" s="1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5"/>
    </row>
    <row r="337" spans="1:43" s="3" customFormat="1" ht="12.2" customHeight="1" thickBot="1" x14ac:dyDescent="0.2">
      <c r="A337" s="1" t="s">
        <v>584</v>
      </c>
      <c r="B337" s="6">
        <v>14</v>
      </c>
      <c r="C337" s="6">
        <v>5</v>
      </c>
      <c r="D337" s="2" t="s">
        <v>431</v>
      </c>
      <c r="E337" s="6">
        <v>4000</v>
      </c>
      <c r="F337" s="18">
        <v>0</v>
      </c>
      <c r="G337" s="18">
        <v>0</v>
      </c>
      <c r="H337" s="18">
        <v>1480</v>
      </c>
      <c r="I337" s="18">
        <v>0</v>
      </c>
      <c r="J337" s="18">
        <v>110753.13</v>
      </c>
      <c r="K337" s="18">
        <v>0</v>
      </c>
      <c r="L337" s="13">
        <f t="shared" si="18"/>
        <v>112233.13</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1480</v>
      </c>
      <c r="I338" s="38">
        <f t="shared" si="19"/>
        <v>0</v>
      </c>
      <c r="J338" s="38">
        <f t="shared" si="19"/>
        <v>110753.13</v>
      </c>
      <c r="K338" s="38">
        <f t="shared" si="19"/>
        <v>0</v>
      </c>
      <c r="L338" s="38">
        <f t="shared" si="18"/>
        <v>112233.13</v>
      </c>
      <c r="M338" s="8"/>
      <c r="N338" s="165"/>
    </row>
    <row r="339" spans="1:43" s="3" customFormat="1" ht="12.2" customHeight="1" thickTop="1" x14ac:dyDescent="0.15">
      <c r="A339" s="35" t="s">
        <v>468</v>
      </c>
      <c r="B339" s="37">
        <v>14</v>
      </c>
      <c r="C339" s="37">
        <v>7</v>
      </c>
      <c r="D339" s="36" t="s">
        <v>431</v>
      </c>
      <c r="E339" s="37"/>
      <c r="F339" s="38">
        <f t="shared" ref="F339:L339" si="20">F291+F310+F329+F338</f>
        <v>20128.64</v>
      </c>
      <c r="G339" s="38">
        <f t="shared" si="20"/>
        <v>6913.72</v>
      </c>
      <c r="H339" s="38">
        <f t="shared" si="20"/>
        <v>7470.6900000000005</v>
      </c>
      <c r="I339" s="38">
        <f t="shared" si="20"/>
        <v>12209.66</v>
      </c>
      <c r="J339" s="38">
        <f t="shared" si="20"/>
        <v>129568.26000000001</v>
      </c>
      <c r="K339" s="38">
        <f t="shared" si="20"/>
        <v>5176.3099999999995</v>
      </c>
      <c r="L339" s="38">
        <f t="shared" si="20"/>
        <v>181467.28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20128.64</v>
      </c>
      <c r="G353" s="38">
        <f>G339</f>
        <v>6913.72</v>
      </c>
      <c r="H353" s="38">
        <f>H339</f>
        <v>7470.6900000000005</v>
      </c>
      <c r="I353" s="38">
        <f>I339</f>
        <v>12209.66</v>
      </c>
      <c r="J353" s="38">
        <f>J339</f>
        <v>129568.26000000001</v>
      </c>
      <c r="K353" s="38">
        <f>K339+K352</f>
        <v>5176.3099999999995</v>
      </c>
      <c r="L353" s="38">
        <f>L339+L352</f>
        <v>181467.28</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12165.6</v>
      </c>
      <c r="G359" s="18">
        <v>1395.38</v>
      </c>
      <c r="H359" s="18">
        <v>2750</v>
      </c>
      <c r="I359" s="18">
        <v>1978.58</v>
      </c>
      <c r="J359" s="18">
        <v>0</v>
      </c>
      <c r="K359" s="18">
        <v>0</v>
      </c>
      <c r="L359" s="13">
        <f>SUM(F359:K359)</f>
        <v>18289.559999999998</v>
      </c>
      <c r="M359" s="8"/>
      <c r="N359" s="1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3">
        <f>SUM(F360:K360)</f>
        <v>0</v>
      </c>
      <c r="M360" s="8"/>
      <c r="N360" s="1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12165.6</v>
      </c>
      <c r="G363" s="38">
        <f t="shared" si="22"/>
        <v>1395.38</v>
      </c>
      <c r="H363" s="38">
        <f t="shared" si="22"/>
        <v>2750</v>
      </c>
      <c r="I363" s="38">
        <f t="shared" si="22"/>
        <v>1978.58</v>
      </c>
      <c r="J363" s="38">
        <f t="shared" si="22"/>
        <v>0</v>
      </c>
      <c r="K363" s="38">
        <f t="shared" si="22"/>
        <v>0</v>
      </c>
      <c r="L363" s="38">
        <f t="shared" si="22"/>
        <v>18289.559999999998</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0</v>
      </c>
      <c r="G368" s="18">
        <v>0</v>
      </c>
      <c r="H368" s="18">
        <v>0</v>
      </c>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1978.58</v>
      </c>
      <c r="G369" s="53">
        <v>0</v>
      </c>
      <c r="H369" s="53">
        <v>0</v>
      </c>
      <c r="I369" s="13">
        <f>SUM(F369:H369)</f>
        <v>1978.58</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1978.58</v>
      </c>
      <c r="G370" s="38">
        <f>SUM(G368:G369)</f>
        <v>0</v>
      </c>
      <c r="H370" s="38">
        <f>SUM(H368:H369)</f>
        <v>0</v>
      </c>
      <c r="I370" s="38">
        <f>SUM(I368:I369)</f>
        <v>1978.58</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v>10000</v>
      </c>
      <c r="H390" s="18">
        <v>601.16</v>
      </c>
      <c r="I390" s="18"/>
      <c r="J390" s="23" t="s">
        <v>288</v>
      </c>
      <c r="K390" s="23" t="s">
        <v>288</v>
      </c>
      <c r="L390" s="13">
        <f t="shared" si="25"/>
        <v>10601.16</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10000</v>
      </c>
      <c r="H394" s="97">
        <f>SUM(H388:H393)</f>
        <v>601.16</v>
      </c>
      <c r="I394" s="54">
        <f>SUM(I388:I393)</f>
        <v>0</v>
      </c>
      <c r="J394" s="42" t="s">
        <v>288</v>
      </c>
      <c r="K394" s="42" t="s">
        <v>288</v>
      </c>
      <c r="L394" s="38">
        <f>SUM(L388:L393)</f>
        <v>10601.16</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v>5000</v>
      </c>
      <c r="H398" s="18">
        <v>1834.44</v>
      </c>
      <c r="I398" s="18"/>
      <c r="J398" s="23" t="s">
        <v>288</v>
      </c>
      <c r="K398" s="23" t="s">
        <v>288</v>
      </c>
      <c r="L398" s="13">
        <f t="shared" si="26"/>
        <v>6834.4400000000005</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v>0</v>
      </c>
      <c r="H401" s="18">
        <v>0</v>
      </c>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5000</v>
      </c>
      <c r="H402" s="38">
        <f>SUM(H396:H401)</f>
        <v>1834.44</v>
      </c>
      <c r="I402" s="38">
        <f>SUM(I396:I401)</f>
        <v>0</v>
      </c>
      <c r="J402" s="42" t="s">
        <v>288</v>
      </c>
      <c r="K402" s="42" t="s">
        <v>288</v>
      </c>
      <c r="L402" s="38">
        <f>SUM(L396:L401)</f>
        <v>6834.4400000000005</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15000</v>
      </c>
      <c r="H409" s="38">
        <f>H394+H402+H408</f>
        <v>2435.6</v>
      </c>
      <c r="I409" s="38">
        <f>I394+I402+I408</f>
        <v>0</v>
      </c>
      <c r="J409" s="23" t="s">
        <v>288</v>
      </c>
      <c r="K409" s="23" t="s">
        <v>288</v>
      </c>
      <c r="L409" s="38">
        <f>L394+L402+L408</f>
        <v>17435.599999999999</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v>210.87</v>
      </c>
      <c r="L423" s="13">
        <f t="shared" si="29"/>
        <v>210.87</v>
      </c>
      <c r="M423" s="8"/>
      <c r="N423" s="165"/>
    </row>
    <row r="424" spans="1:21" s="3" customFormat="1" ht="12.2" customHeight="1" x14ac:dyDescent="0.15">
      <c r="A424" s="62" t="s">
        <v>515</v>
      </c>
      <c r="B424" s="6">
        <v>17</v>
      </c>
      <c r="C424" s="6">
        <v>10</v>
      </c>
      <c r="D424" s="2" t="s">
        <v>432</v>
      </c>
      <c r="E424" s="6"/>
      <c r="F424" s="18"/>
      <c r="G424" s="18"/>
      <c r="H424" s="18"/>
      <c r="I424" s="18"/>
      <c r="J424" s="18"/>
      <c r="K424" s="18">
        <v>715.43</v>
      </c>
      <c r="L424" s="13">
        <f t="shared" si="29"/>
        <v>715.43</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926.3</v>
      </c>
      <c r="L428" s="38">
        <f t="shared" si="30"/>
        <v>926.3</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926.3</v>
      </c>
      <c r="L435" s="38">
        <f t="shared" si="32"/>
        <v>926.3</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66006.52</v>
      </c>
      <c r="G440" s="18">
        <v>194817.07</v>
      </c>
      <c r="H440" s="18"/>
      <c r="I440" s="13">
        <f t="shared" ref="I440:I446" si="33">SUM(F440:H440)</f>
        <v>260823.59000000003</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66006.52</v>
      </c>
      <c r="G447" s="13">
        <f>SUM(G440:G446)</f>
        <v>194817.07</v>
      </c>
      <c r="H447" s="13">
        <f>SUM(H440:H446)</f>
        <v>0</v>
      </c>
      <c r="I447" s="13">
        <f>SUM(I440:I446)</f>
        <v>260823.59000000003</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66006.52</v>
      </c>
      <c r="G460" s="18">
        <v>194817.07</v>
      </c>
      <c r="H460" s="18"/>
      <c r="I460" s="13">
        <f t="shared" si="34"/>
        <v>260823.59000000003</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66006.52</v>
      </c>
      <c r="G461" s="65">
        <f>SUM(G455:G460)</f>
        <v>194817.07</v>
      </c>
      <c r="H461" s="65">
        <f>SUM(H455:H460)</f>
        <v>0</v>
      </c>
      <c r="I461" s="65">
        <f>SUM(I455:I460)</f>
        <v>260823.59000000003</v>
      </c>
      <c r="J461" s="23" t="s">
        <v>288</v>
      </c>
      <c r="K461" s="23" t="s">
        <v>288</v>
      </c>
      <c r="L461" s="23" t="s">
        <v>288</v>
      </c>
      <c r="N461" s="131"/>
    </row>
    <row r="462" spans="1:86" ht="12.2" customHeight="1" thickTop="1" x14ac:dyDescent="0.2">
      <c r="A462" s="40" t="s">
        <v>424</v>
      </c>
      <c r="B462" s="41">
        <v>18</v>
      </c>
      <c r="C462" s="64">
        <v>21</v>
      </c>
      <c r="D462" s="114" t="s">
        <v>432</v>
      </c>
      <c r="E462" s="64"/>
      <c r="F462" s="39">
        <f>F453+F461</f>
        <v>66006.52</v>
      </c>
      <c r="G462" s="39">
        <f>G453+G461</f>
        <v>194817.07</v>
      </c>
      <c r="H462" s="39">
        <f>H453+H461</f>
        <v>0</v>
      </c>
      <c r="I462" s="39">
        <f>I453+I461</f>
        <v>260823.59000000003</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271860.05</v>
      </c>
      <c r="G466" s="18">
        <v>0</v>
      </c>
      <c r="H466" s="18">
        <v>743</v>
      </c>
      <c r="I466" s="18">
        <v>0</v>
      </c>
      <c r="J466" s="18">
        <v>244314.29</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2101922.08</v>
      </c>
      <c r="G469" s="18">
        <v>18289.560000000001</v>
      </c>
      <c r="H469" s="18">
        <v>181467.28000000003</v>
      </c>
      <c r="I469" s="18">
        <v>0</v>
      </c>
      <c r="J469" s="18">
        <v>17435.599999999999</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2101922.08</v>
      </c>
      <c r="G471" s="19">
        <f>SUM(G469:G470)</f>
        <v>18289.560000000001</v>
      </c>
      <c r="H471" s="19">
        <f>SUM(H469:H470)</f>
        <v>181467.28000000003</v>
      </c>
      <c r="I471" s="19">
        <f>SUM(I469:I470)</f>
        <v>0</v>
      </c>
      <c r="J471" s="19">
        <f>SUM(J469:J470)</f>
        <v>17435.599999999999</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2085485.2699999998</v>
      </c>
      <c r="G473" s="18">
        <v>18289.559999999998</v>
      </c>
      <c r="H473" s="18">
        <v>181467.28</v>
      </c>
      <c r="I473" s="18">
        <v>0</v>
      </c>
      <c r="J473" s="18">
        <v>926.3</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2085485.2699999998</v>
      </c>
      <c r="G475" s="19">
        <f>SUM(G473:G474)</f>
        <v>18289.559999999998</v>
      </c>
      <c r="H475" s="19">
        <f>SUM(H473:H474)</f>
        <v>181467.28</v>
      </c>
      <c r="I475" s="19">
        <f>SUM(I473:I474)</f>
        <v>0</v>
      </c>
      <c r="J475" s="19">
        <f>SUM(J473:J474)</f>
        <v>926.3</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288296.8600000001</v>
      </c>
      <c r="G477" s="19">
        <f>(G466+G471)- G475</f>
        <v>0</v>
      </c>
      <c r="H477" s="19">
        <f>(H466+H471)- H475</f>
        <v>743.0000000000291</v>
      </c>
      <c r="I477" s="19">
        <f>(I466+I471)- I475</f>
        <v>0</v>
      </c>
      <c r="J477" s="19">
        <f>(J466+J471)- J475</f>
        <v>260823.59000000003</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81161.440000000002</v>
      </c>
      <c r="G522" s="18">
        <v>45209.02</v>
      </c>
      <c r="H522" s="18">
        <v>105554.48</v>
      </c>
      <c r="I522" s="18">
        <v>2219.0500000000002</v>
      </c>
      <c r="J522" s="18">
        <v>932.43</v>
      </c>
      <c r="K522" s="18">
        <v>0</v>
      </c>
      <c r="L522" s="69">
        <f>SUM(F522:K522)</f>
        <v>235076.41999999998</v>
      </c>
      <c r="N522" s="131"/>
    </row>
    <row r="523" spans="1:14" ht="12.2" customHeight="1" x14ac:dyDescent="0.2">
      <c r="A523" s="21" t="s">
        <v>634</v>
      </c>
      <c r="B523" s="22">
        <v>21</v>
      </c>
      <c r="C523" s="22">
        <v>2</v>
      </c>
      <c r="D523" s="2" t="s">
        <v>432</v>
      </c>
      <c r="E523" s="22"/>
      <c r="F523" s="18">
        <v>0</v>
      </c>
      <c r="G523" s="18">
        <v>0</v>
      </c>
      <c r="H523" s="18">
        <v>65444.04</v>
      </c>
      <c r="I523" s="18">
        <v>0</v>
      </c>
      <c r="J523" s="18">
        <v>0</v>
      </c>
      <c r="K523" s="18">
        <v>0</v>
      </c>
      <c r="L523" s="69">
        <f>SUM(F523:K523)</f>
        <v>65444.04</v>
      </c>
      <c r="N523" s="131"/>
    </row>
    <row r="524" spans="1:14" ht="12.2" customHeight="1" thickBot="1" x14ac:dyDescent="0.25">
      <c r="A524" s="21" t="s">
        <v>635</v>
      </c>
      <c r="B524" s="22">
        <v>21</v>
      </c>
      <c r="C524" s="22">
        <v>3</v>
      </c>
      <c r="D524" s="2" t="s">
        <v>432</v>
      </c>
      <c r="E524" s="22"/>
      <c r="F524" s="18">
        <v>0</v>
      </c>
      <c r="G524" s="18">
        <v>0</v>
      </c>
      <c r="H524" s="18">
        <v>264939.06</v>
      </c>
      <c r="I524" s="18">
        <v>0</v>
      </c>
      <c r="J524" s="18">
        <v>0</v>
      </c>
      <c r="K524" s="18">
        <v>0</v>
      </c>
      <c r="L524" s="69">
        <f>SUM(F524:K524)</f>
        <v>264939.06</v>
      </c>
      <c r="N524" s="131"/>
    </row>
    <row r="525" spans="1:14" ht="12.2" customHeight="1" thickTop="1" x14ac:dyDescent="0.2">
      <c r="A525" s="97" t="s">
        <v>63</v>
      </c>
      <c r="B525" s="41">
        <v>21</v>
      </c>
      <c r="C525" s="41">
        <v>4</v>
      </c>
      <c r="D525" s="115" t="s">
        <v>432</v>
      </c>
      <c r="E525" s="41"/>
      <c r="F525" s="81">
        <f>SUM(F522:F524)</f>
        <v>81161.440000000002</v>
      </c>
      <c r="G525" s="81">
        <f t="shared" ref="G525:L525" si="36">SUM(G522:G524)</f>
        <v>45209.02</v>
      </c>
      <c r="H525" s="81">
        <f t="shared" si="36"/>
        <v>435937.57999999996</v>
      </c>
      <c r="I525" s="81">
        <f t="shared" si="36"/>
        <v>2219.0500000000002</v>
      </c>
      <c r="J525" s="81">
        <f t="shared" si="36"/>
        <v>932.43</v>
      </c>
      <c r="K525" s="81">
        <f t="shared" si="36"/>
        <v>0</v>
      </c>
      <c r="L525" s="70">
        <f t="shared" si="36"/>
        <v>565459.52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0</v>
      </c>
      <c r="G527" s="18">
        <v>0</v>
      </c>
      <c r="H527" s="18">
        <v>38626.01</v>
      </c>
      <c r="I527" s="18">
        <v>90.86</v>
      </c>
      <c r="J527" s="18">
        <v>0</v>
      </c>
      <c r="K527" s="18">
        <v>0</v>
      </c>
      <c r="L527" s="69">
        <f>SUM(F527:K527)</f>
        <v>38716.870000000003</v>
      </c>
      <c r="M527" s="8"/>
      <c r="N527" s="165"/>
    </row>
    <row r="528" spans="1:14" s="3" customFormat="1" ht="12.2" customHeight="1" x14ac:dyDescent="0.15">
      <c r="A528" s="21" t="s">
        <v>634</v>
      </c>
      <c r="B528" s="22">
        <v>21</v>
      </c>
      <c r="C528" s="22">
        <v>6</v>
      </c>
      <c r="D528" s="2" t="s">
        <v>432</v>
      </c>
      <c r="E528" s="22"/>
      <c r="F528" s="18">
        <v>0</v>
      </c>
      <c r="G528" s="18">
        <v>0</v>
      </c>
      <c r="H528" s="18">
        <v>0</v>
      </c>
      <c r="I528" s="18">
        <v>0</v>
      </c>
      <c r="J528" s="18">
        <v>0</v>
      </c>
      <c r="K528" s="18">
        <v>0</v>
      </c>
      <c r="L528" s="69">
        <f>SUM(F528:K528)</f>
        <v>0</v>
      </c>
      <c r="M528" s="8"/>
      <c r="N528" s="165"/>
    </row>
    <row r="529" spans="1:14" s="3" customFormat="1" ht="12.2" customHeight="1" thickBot="1" x14ac:dyDescent="0.2">
      <c r="A529" s="21" t="s">
        <v>635</v>
      </c>
      <c r="B529" s="22">
        <v>21</v>
      </c>
      <c r="C529" s="22">
        <v>7</v>
      </c>
      <c r="D529" s="2" t="s">
        <v>432</v>
      </c>
      <c r="E529" s="22"/>
      <c r="F529" s="18">
        <v>0</v>
      </c>
      <c r="G529" s="18">
        <v>0</v>
      </c>
      <c r="H529" s="18">
        <v>0</v>
      </c>
      <c r="I529" s="18">
        <v>0</v>
      </c>
      <c r="J529" s="18">
        <v>0</v>
      </c>
      <c r="K529" s="18">
        <v>0</v>
      </c>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38626.01</v>
      </c>
      <c r="I530" s="70">
        <f t="shared" si="37"/>
        <v>90.86</v>
      </c>
      <c r="J530" s="70">
        <f t="shared" si="37"/>
        <v>0</v>
      </c>
      <c r="K530" s="70">
        <f t="shared" si="37"/>
        <v>0</v>
      </c>
      <c r="L530" s="70">
        <f t="shared" si="37"/>
        <v>38716.870000000003</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0</v>
      </c>
      <c r="G532" s="18">
        <v>0</v>
      </c>
      <c r="H532" s="18">
        <v>7640</v>
      </c>
      <c r="I532" s="18">
        <v>0</v>
      </c>
      <c r="J532" s="18">
        <v>0</v>
      </c>
      <c r="K532" s="18">
        <v>501.71</v>
      </c>
      <c r="L532" s="69">
        <f>SUM(F532:K532)</f>
        <v>8141.71</v>
      </c>
      <c r="M532" s="8"/>
      <c r="N532" s="165"/>
    </row>
    <row r="533" spans="1:14" s="3" customFormat="1" ht="12.2" customHeight="1" x14ac:dyDescent="0.15">
      <c r="A533" s="21" t="s">
        <v>634</v>
      </c>
      <c r="B533" s="22">
        <v>21</v>
      </c>
      <c r="C533" s="22">
        <v>10</v>
      </c>
      <c r="D533" s="2" t="s">
        <v>432</v>
      </c>
      <c r="E533" s="22"/>
      <c r="F533" s="18">
        <v>0</v>
      </c>
      <c r="G533" s="18">
        <v>0</v>
      </c>
      <c r="H533" s="18">
        <v>0</v>
      </c>
      <c r="I533" s="18">
        <v>0</v>
      </c>
      <c r="J533" s="18">
        <v>0</v>
      </c>
      <c r="K533" s="18">
        <v>0</v>
      </c>
      <c r="L533" s="69">
        <f>SUM(F533:K533)</f>
        <v>0</v>
      </c>
      <c r="M533" s="8"/>
      <c r="N533" s="165"/>
    </row>
    <row r="534" spans="1:14" s="3" customFormat="1" ht="12.2" customHeight="1" thickBot="1" x14ac:dyDescent="0.2">
      <c r="A534" s="21" t="s">
        <v>635</v>
      </c>
      <c r="B534" s="22">
        <v>21</v>
      </c>
      <c r="C534" s="22">
        <v>11</v>
      </c>
      <c r="D534" s="2" t="s">
        <v>432</v>
      </c>
      <c r="E534" s="22"/>
      <c r="F534" s="18">
        <v>0</v>
      </c>
      <c r="G534" s="18">
        <v>0</v>
      </c>
      <c r="H534" s="18">
        <v>0</v>
      </c>
      <c r="I534" s="18">
        <v>0</v>
      </c>
      <c r="J534" s="18">
        <v>0</v>
      </c>
      <c r="K534" s="18">
        <v>0</v>
      </c>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7640</v>
      </c>
      <c r="I535" s="70">
        <f t="shared" si="38"/>
        <v>0</v>
      </c>
      <c r="J535" s="70">
        <f t="shared" si="38"/>
        <v>0</v>
      </c>
      <c r="K535" s="70">
        <f t="shared" si="38"/>
        <v>501.71</v>
      </c>
      <c r="L535" s="70">
        <f t="shared" si="38"/>
        <v>8141.71</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v>0</v>
      </c>
      <c r="I537" s="18">
        <v>0</v>
      </c>
      <c r="J537" s="18">
        <v>0</v>
      </c>
      <c r="K537" s="18">
        <v>0</v>
      </c>
      <c r="L537" s="69">
        <f>SUM(F537:K537)</f>
        <v>0</v>
      </c>
      <c r="M537" s="8"/>
      <c r="N537" s="165"/>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5"/>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0</v>
      </c>
      <c r="G542" s="18">
        <v>0</v>
      </c>
      <c r="H542" s="18">
        <v>42924.05</v>
      </c>
      <c r="I542" s="18">
        <v>0</v>
      </c>
      <c r="J542" s="18">
        <v>0</v>
      </c>
      <c r="K542" s="18">
        <v>0</v>
      </c>
      <c r="L542" s="69">
        <f>SUM(F542:K542)</f>
        <v>42924.05</v>
      </c>
      <c r="M542" s="8"/>
      <c r="N542" s="165"/>
    </row>
    <row r="543" spans="1:14" s="3" customFormat="1" ht="12.2" customHeight="1" x14ac:dyDescent="0.15">
      <c r="A543" s="21" t="s">
        <v>634</v>
      </c>
      <c r="B543" s="22">
        <v>21</v>
      </c>
      <c r="C543" s="22">
        <v>18</v>
      </c>
      <c r="D543" s="2" t="s">
        <v>432</v>
      </c>
      <c r="E543" s="22"/>
      <c r="F543" s="18">
        <v>0</v>
      </c>
      <c r="G543" s="18">
        <v>0</v>
      </c>
      <c r="H543" s="18">
        <v>0</v>
      </c>
      <c r="I543" s="18">
        <v>0</v>
      </c>
      <c r="J543" s="18">
        <v>0</v>
      </c>
      <c r="K543" s="18">
        <v>0</v>
      </c>
      <c r="L543" s="69">
        <f>SUM(F543:K543)</f>
        <v>0</v>
      </c>
      <c r="M543" s="8"/>
      <c r="N543" s="165"/>
    </row>
    <row r="544" spans="1:14" s="3" customFormat="1" ht="12.2" customHeight="1" thickBot="1" x14ac:dyDescent="0.2">
      <c r="A544" s="21" t="s">
        <v>635</v>
      </c>
      <c r="B544" s="22">
        <v>21</v>
      </c>
      <c r="C544" s="22">
        <v>19</v>
      </c>
      <c r="D544" s="2" t="s">
        <v>432</v>
      </c>
      <c r="E544" s="22"/>
      <c r="F544" s="18">
        <v>0</v>
      </c>
      <c r="G544" s="18">
        <v>0</v>
      </c>
      <c r="H544" s="18">
        <v>37941.599999999999</v>
      </c>
      <c r="I544" s="18">
        <v>0</v>
      </c>
      <c r="J544" s="18">
        <v>0</v>
      </c>
      <c r="K544" s="18">
        <v>0</v>
      </c>
      <c r="L544" s="69">
        <f>SUM(F544:K544)</f>
        <v>37941.599999999999</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80865.649999999994</v>
      </c>
      <c r="I545" s="141">
        <f t="shared" si="40"/>
        <v>0</v>
      </c>
      <c r="J545" s="141">
        <f t="shared" si="40"/>
        <v>0</v>
      </c>
      <c r="K545" s="141">
        <f t="shared" si="40"/>
        <v>0</v>
      </c>
      <c r="L545" s="141">
        <f t="shared" si="40"/>
        <v>80865.649999999994</v>
      </c>
      <c r="M545" s="8"/>
      <c r="N545" s="165"/>
    </row>
    <row r="546" spans="1:14" s="3" customFormat="1" ht="12.2" customHeight="1" thickTop="1" x14ac:dyDescent="0.15">
      <c r="A546" s="75" t="s">
        <v>72</v>
      </c>
      <c r="B546" s="41">
        <v>21</v>
      </c>
      <c r="C546" s="41">
        <v>21</v>
      </c>
      <c r="D546" s="115" t="s">
        <v>432</v>
      </c>
      <c r="E546" s="41"/>
      <c r="F546" s="70">
        <f>F525+F530+F535+F540+F545</f>
        <v>81161.440000000002</v>
      </c>
      <c r="G546" s="70">
        <f t="shared" ref="G546:L546" si="41">G525+G530+G535+G540+G545</f>
        <v>45209.02</v>
      </c>
      <c r="H546" s="70">
        <f t="shared" si="41"/>
        <v>563069.24</v>
      </c>
      <c r="I546" s="70">
        <f t="shared" si="41"/>
        <v>2309.9100000000003</v>
      </c>
      <c r="J546" s="70">
        <f t="shared" si="41"/>
        <v>932.43</v>
      </c>
      <c r="K546" s="70">
        <f t="shared" si="41"/>
        <v>501.71</v>
      </c>
      <c r="L546" s="70">
        <f t="shared" si="41"/>
        <v>693183.75</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235076.41999999998</v>
      </c>
      <c r="G550" s="69">
        <f>L527</f>
        <v>38716.870000000003</v>
      </c>
      <c r="H550" s="69">
        <f>L532</f>
        <v>8141.71</v>
      </c>
      <c r="I550" s="69">
        <f>L537</f>
        <v>0</v>
      </c>
      <c r="J550" s="69">
        <f>L542</f>
        <v>42924.05</v>
      </c>
      <c r="K550" s="69">
        <f>SUM(F550:J550)</f>
        <v>324859.05</v>
      </c>
      <c r="L550" s="23" t="s">
        <v>288</v>
      </c>
      <c r="M550" s="8"/>
      <c r="N550" s="165"/>
    </row>
    <row r="551" spans="1:14" s="3" customFormat="1" ht="12.2" customHeight="1" x14ac:dyDescent="0.15">
      <c r="A551" s="21" t="s">
        <v>634</v>
      </c>
      <c r="B551" s="22">
        <v>21</v>
      </c>
      <c r="C551" s="22">
        <v>23</v>
      </c>
      <c r="D551" s="2" t="s">
        <v>432</v>
      </c>
      <c r="E551" s="22"/>
      <c r="F551" s="69">
        <f>L523</f>
        <v>65444.04</v>
      </c>
      <c r="G551" s="69">
        <f>L528</f>
        <v>0</v>
      </c>
      <c r="H551" s="69">
        <f>L533</f>
        <v>0</v>
      </c>
      <c r="I551" s="69">
        <f>L538</f>
        <v>0</v>
      </c>
      <c r="J551" s="69">
        <f>L543</f>
        <v>0</v>
      </c>
      <c r="K551" s="69">
        <f>SUM(F551:J551)</f>
        <v>65444.04</v>
      </c>
      <c r="L551" s="23" t="s">
        <v>288</v>
      </c>
      <c r="M551" s="8"/>
      <c r="N551" s="165"/>
    </row>
    <row r="552" spans="1:14" s="3" customFormat="1" ht="12.2" customHeight="1" thickBot="1" x14ac:dyDescent="0.2">
      <c r="A552" s="21" t="s">
        <v>635</v>
      </c>
      <c r="B552" s="22">
        <v>21</v>
      </c>
      <c r="C552" s="22">
        <v>24</v>
      </c>
      <c r="D552" s="2" t="s">
        <v>432</v>
      </c>
      <c r="E552" s="22"/>
      <c r="F552" s="69">
        <f>L524</f>
        <v>264939.06</v>
      </c>
      <c r="G552" s="69">
        <f>L529</f>
        <v>0</v>
      </c>
      <c r="H552" s="69">
        <f>L534</f>
        <v>0</v>
      </c>
      <c r="I552" s="69">
        <f>L539</f>
        <v>0</v>
      </c>
      <c r="J552" s="69">
        <f>L544</f>
        <v>37941.599999999999</v>
      </c>
      <c r="K552" s="69">
        <f>SUM(F552:J552)</f>
        <v>302880.65999999997</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565459.52</v>
      </c>
      <c r="G553" s="70">
        <f t="shared" si="42"/>
        <v>38716.870000000003</v>
      </c>
      <c r="H553" s="70">
        <f t="shared" si="42"/>
        <v>8141.71</v>
      </c>
      <c r="I553" s="70">
        <f t="shared" si="42"/>
        <v>0</v>
      </c>
      <c r="J553" s="70">
        <f t="shared" si="42"/>
        <v>80865.649999999994</v>
      </c>
      <c r="K553" s="70">
        <f t="shared" si="42"/>
        <v>693183.75</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5"/>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5"/>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5"/>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0</v>
      </c>
      <c r="G576" s="18">
        <v>133282.95000000001</v>
      </c>
      <c r="H576" s="18">
        <v>210168</v>
      </c>
      <c r="I576" s="69">
        <f>SUM(F576:H576)</f>
        <v>343450.95</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0</v>
      </c>
      <c r="G580" s="18">
        <v>65444.04</v>
      </c>
      <c r="H580" s="18">
        <v>135565.65</v>
      </c>
      <c r="I580" s="69">
        <f t="shared" si="47"/>
        <v>201009.69</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96776</v>
      </c>
      <c r="G583" s="18">
        <v>0</v>
      </c>
      <c r="H583" s="18">
        <v>125715.41</v>
      </c>
      <c r="I583" s="69">
        <f t="shared" si="47"/>
        <v>222491.41</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v>0</v>
      </c>
      <c r="G588" s="18">
        <v>0</v>
      </c>
      <c r="H588" s="18">
        <v>0</v>
      </c>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49403.51</v>
      </c>
      <c r="I592" s="18">
        <v>13473.6</v>
      </c>
      <c r="J592" s="18">
        <v>26947.19</v>
      </c>
      <c r="K592" s="80">
        <f t="shared" ref="K592:K598" si="48">SUM(H592:J592)</f>
        <v>89824.3</v>
      </c>
      <c r="L592" s="23" t="s">
        <v>288</v>
      </c>
      <c r="M592" s="8"/>
      <c r="N592" s="165"/>
    </row>
    <row r="593" spans="1:14" s="3" customFormat="1" ht="12.2" customHeight="1" x14ac:dyDescent="0.15">
      <c r="A593" s="3" t="s">
        <v>638</v>
      </c>
      <c r="B593" s="22">
        <v>23</v>
      </c>
      <c r="C593" s="22">
        <v>2</v>
      </c>
      <c r="D593" s="2" t="s">
        <v>432</v>
      </c>
      <c r="E593" s="22"/>
      <c r="F593" s="78">
        <v>2722</v>
      </c>
      <c r="G593" s="79" t="s">
        <v>97</v>
      </c>
      <c r="H593" s="18">
        <v>42924.05</v>
      </c>
      <c r="I593" s="18">
        <v>0</v>
      </c>
      <c r="J593" s="18">
        <v>37941.599999999999</v>
      </c>
      <c r="K593" s="80">
        <f t="shared" si="48"/>
        <v>80865.649999999994</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0</v>
      </c>
      <c r="J595" s="18">
        <v>0</v>
      </c>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1134.6400000000001</v>
      </c>
      <c r="I596" s="18">
        <v>0</v>
      </c>
      <c r="J596" s="18">
        <v>0</v>
      </c>
      <c r="K596" s="80">
        <f t="shared" si="48"/>
        <v>1134.6400000000001</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93462.2</v>
      </c>
      <c r="I599" s="81">
        <f>SUM(I592:I598)</f>
        <v>13473.6</v>
      </c>
      <c r="J599" s="81">
        <f>SUM(J592:J598)</f>
        <v>64888.789999999994</v>
      </c>
      <c r="K599" s="81">
        <f>SUM(K592:K598)</f>
        <v>171824.59000000003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39883.210000000006</v>
      </c>
      <c r="I605" s="18">
        <v>0</v>
      </c>
      <c r="J605" s="18">
        <v>0</v>
      </c>
      <c r="K605" s="80">
        <f>SUM(H605:J605)</f>
        <v>39883.210000000006</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39883.210000000006</v>
      </c>
      <c r="I606" s="81">
        <f>SUM(I603:I605)</f>
        <v>0</v>
      </c>
      <c r="J606" s="81">
        <f>SUM(J603:J605)</f>
        <v>0</v>
      </c>
      <c r="K606" s="81">
        <f>SUM(K603:K605)</f>
        <v>39883.210000000006</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0</v>
      </c>
      <c r="G612" s="18">
        <v>0</v>
      </c>
      <c r="H612" s="18">
        <v>0</v>
      </c>
      <c r="I612" s="18">
        <v>0</v>
      </c>
      <c r="J612" s="18">
        <v>0</v>
      </c>
      <c r="K612" s="18">
        <v>0</v>
      </c>
      <c r="L612" s="69">
        <f>SUM(F612:K612)</f>
        <v>0</v>
      </c>
      <c r="M612" s="8"/>
      <c r="N612" s="165"/>
    </row>
    <row r="613" spans="1:14" s="3" customFormat="1" ht="12.2" customHeight="1" x14ac:dyDescent="0.15">
      <c r="A613" s="21" t="s">
        <v>634</v>
      </c>
      <c r="B613" s="22">
        <v>23</v>
      </c>
      <c r="C613" s="22">
        <v>14</v>
      </c>
      <c r="D613" s="2" t="s">
        <v>432</v>
      </c>
      <c r="E613" s="22"/>
      <c r="F613" s="18">
        <v>0</v>
      </c>
      <c r="G613" s="18">
        <v>0</v>
      </c>
      <c r="H613" s="18">
        <v>0</v>
      </c>
      <c r="I613" s="18">
        <v>0</v>
      </c>
      <c r="J613" s="18">
        <v>0</v>
      </c>
      <c r="K613" s="18">
        <v>0</v>
      </c>
      <c r="L613" s="69">
        <f>SUM(F613:K613)</f>
        <v>0</v>
      </c>
      <c r="M613" s="8"/>
      <c r="N613" s="165"/>
    </row>
    <row r="614" spans="1:14" s="3" customFormat="1" ht="12.2" customHeight="1" thickBot="1" x14ac:dyDescent="0.2">
      <c r="A614" s="21" t="s">
        <v>645</v>
      </c>
      <c r="B614" s="22">
        <v>23</v>
      </c>
      <c r="C614" s="22">
        <v>15</v>
      </c>
      <c r="D614" s="2" t="s">
        <v>432</v>
      </c>
      <c r="E614" s="22"/>
      <c r="F614" s="18">
        <v>0</v>
      </c>
      <c r="G614" s="18">
        <v>0</v>
      </c>
      <c r="H614" s="18">
        <v>0</v>
      </c>
      <c r="I614" s="18">
        <v>0</v>
      </c>
      <c r="J614" s="18">
        <v>0</v>
      </c>
      <c r="K614" s="18">
        <v>0</v>
      </c>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323992.46000000002</v>
      </c>
      <c r="H618" s="80">
        <f>SUM(F52)</f>
        <v>323992.45999999996</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11130.19</v>
      </c>
      <c r="H620" s="80">
        <f>SUM(H52)</f>
        <v>11130.189999999999</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260823.59000000003</v>
      </c>
      <c r="H622" s="80">
        <f>SUM(J52)</f>
        <v>260823.59000000003</v>
      </c>
      <c r="I622" s="87" t="s">
        <v>878</v>
      </c>
      <c r="J622" s="80">
        <f>G622-H622</f>
        <v>0</v>
      </c>
      <c r="K622" s="80"/>
      <c r="L622" s="80"/>
      <c r="M622" s="8"/>
    </row>
    <row r="623" spans="1:14" s="3" customFormat="1" ht="12.2" customHeight="1" x14ac:dyDescent="0.15">
      <c r="A623" s="74"/>
      <c r="B623" s="22"/>
      <c r="C623" s="22"/>
      <c r="D623" s="22"/>
      <c r="E623" s="22"/>
      <c r="F623" s="87" t="s">
        <v>864</v>
      </c>
      <c r="G623" s="80">
        <f>F51</f>
        <v>288296.86</v>
      </c>
      <c r="H623" s="80">
        <f>F477</f>
        <v>288296.8600000001</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743</v>
      </c>
      <c r="H625" s="80">
        <f>H477</f>
        <v>743.0000000000291</v>
      </c>
      <c r="I625" s="87" t="s">
        <v>103</v>
      </c>
      <c r="J625" s="80">
        <f t="shared" si="50"/>
        <v>-2.9103830456733704E-11</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260823.59000000003</v>
      </c>
      <c r="H627" s="80">
        <f>J477</f>
        <v>260823.59000000003</v>
      </c>
      <c r="I627" s="87" t="s">
        <v>105</v>
      </c>
      <c r="J627" s="80">
        <f t="shared" si="50"/>
        <v>0</v>
      </c>
      <c r="K627" s="67"/>
      <c r="L627" s="69"/>
      <c r="M627" s="8"/>
    </row>
    <row r="628" spans="1:13" s="3" customFormat="1" ht="12.2" customHeight="1" x14ac:dyDescent="0.15">
      <c r="A628" s="21"/>
      <c r="B628" s="22"/>
      <c r="C628" s="22"/>
      <c r="D628" s="22"/>
      <c r="E628" s="22"/>
      <c r="F628" s="86" t="s">
        <v>658</v>
      </c>
      <c r="G628" s="80">
        <f>F194</f>
        <v>2101922.08</v>
      </c>
      <c r="H628" s="80">
        <f>SUM(F469)</f>
        <v>2101922.08</v>
      </c>
      <c r="I628" s="87" t="s">
        <v>106</v>
      </c>
      <c r="J628" s="80">
        <f>G628-H628</f>
        <v>0</v>
      </c>
      <c r="K628" s="67"/>
      <c r="L628" s="69"/>
      <c r="M628" s="8"/>
    </row>
    <row r="629" spans="1:13" s="3" customFormat="1" ht="12.2" customHeight="1" x14ac:dyDescent="0.15">
      <c r="A629" s="21"/>
      <c r="B629" s="22"/>
      <c r="C629" s="22"/>
      <c r="D629" s="22"/>
      <c r="E629" s="22"/>
      <c r="F629" s="86" t="s">
        <v>659</v>
      </c>
      <c r="G629" s="80">
        <f>G194</f>
        <v>18289.560000000001</v>
      </c>
      <c r="H629" s="80">
        <f>SUM(G469)</f>
        <v>18289.560000000001</v>
      </c>
      <c r="I629" s="87" t="s">
        <v>107</v>
      </c>
      <c r="J629" s="80">
        <f>G629-H629</f>
        <v>0</v>
      </c>
      <c r="K629" s="67"/>
      <c r="L629" s="69"/>
      <c r="M629" s="8"/>
    </row>
    <row r="630" spans="1:13" s="3" customFormat="1" ht="12.2" customHeight="1" x14ac:dyDescent="0.15">
      <c r="A630" s="21"/>
      <c r="B630" s="22"/>
      <c r="C630" s="22"/>
      <c r="D630" s="22"/>
      <c r="E630" s="22"/>
      <c r="F630" s="86" t="s">
        <v>660</v>
      </c>
      <c r="G630" s="80">
        <f>H194</f>
        <v>181467.28000000003</v>
      </c>
      <c r="H630" s="80">
        <f>SUM(H469)</f>
        <v>181467.28000000003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17435.599999999999</v>
      </c>
      <c r="H632" s="80">
        <f>SUM(J469)</f>
        <v>17435.599999999999</v>
      </c>
      <c r="I632" s="87" t="s">
        <v>110</v>
      </c>
      <c r="J632" s="80">
        <f>G632-H632</f>
        <v>0</v>
      </c>
      <c r="K632" s="67"/>
      <c r="L632" s="69"/>
      <c r="M632" s="8"/>
    </row>
    <row r="633" spans="1:13" s="3" customFormat="1" ht="12.2" customHeight="1" x14ac:dyDescent="0.15">
      <c r="A633" s="21"/>
      <c r="B633" s="22"/>
      <c r="C633" s="22"/>
      <c r="D633" s="22"/>
      <c r="E633" s="22"/>
      <c r="F633" s="86" t="s">
        <v>394</v>
      </c>
      <c r="G633" s="80">
        <f>SUM(L272)</f>
        <v>2085485.27</v>
      </c>
      <c r="H633" s="80">
        <f>SUM(F473)</f>
        <v>2085485.2699999998</v>
      </c>
      <c r="I633" s="87" t="s">
        <v>111</v>
      </c>
      <c r="J633" s="80">
        <f t="shared" si="50"/>
        <v>0</v>
      </c>
      <c r="K633" s="67"/>
      <c r="L633" s="69"/>
      <c r="M633" s="8"/>
    </row>
    <row r="634" spans="1:13" s="3" customFormat="1" ht="12.2" customHeight="1" x14ac:dyDescent="0.15">
      <c r="A634" s="21"/>
      <c r="B634" s="22"/>
      <c r="C634" s="22"/>
      <c r="D634" s="22"/>
      <c r="E634" s="22"/>
      <c r="F634" s="86" t="s">
        <v>395</v>
      </c>
      <c r="G634" s="80">
        <f>SUM(L353)</f>
        <v>181467.28</v>
      </c>
      <c r="H634" s="80">
        <f>SUM(H473)</f>
        <v>181467.28</v>
      </c>
      <c r="I634" s="87" t="s">
        <v>112</v>
      </c>
      <c r="J634" s="80">
        <f>G634-H634</f>
        <v>0</v>
      </c>
      <c r="K634" s="67"/>
      <c r="L634" s="69"/>
      <c r="M634" s="8"/>
    </row>
    <row r="635" spans="1:13" s="124" customFormat="1" ht="12.2" customHeight="1" x14ac:dyDescent="0.15">
      <c r="A635" s="21"/>
      <c r="B635" s="22"/>
      <c r="C635" s="22"/>
      <c r="D635" s="22"/>
      <c r="E635" s="22"/>
      <c r="F635" s="99" t="s">
        <v>247</v>
      </c>
      <c r="G635" s="80">
        <f>I363</f>
        <v>1978.58</v>
      </c>
      <c r="H635" s="80">
        <f>I370</f>
        <v>1978.58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18289.559999999998</v>
      </c>
      <c r="H636" s="80">
        <f>SUM(G473)</f>
        <v>18289.559999999998</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17435.599999999999</v>
      </c>
      <c r="H638" s="108">
        <f>SUM(J469)</f>
        <v>17435.599999999999</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926.3</v>
      </c>
      <c r="H639" s="108">
        <f>SUM(J473)</f>
        <v>926.3</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66006.52</v>
      </c>
      <c r="H640" s="80">
        <f>SUM(F462)</f>
        <v>66006.52</v>
      </c>
      <c r="I640" s="87" t="s">
        <v>840</v>
      </c>
      <c r="J640" s="80">
        <f t="shared" si="50"/>
        <v>0</v>
      </c>
      <c r="K640" s="67"/>
      <c r="L640" s="69"/>
      <c r="M640" s="8"/>
    </row>
    <row r="641" spans="1:13" s="3" customFormat="1" ht="12.2" customHeight="1" x14ac:dyDescent="0.15">
      <c r="A641" s="21"/>
      <c r="B641" s="22"/>
      <c r="C641" s="22"/>
      <c r="D641" s="22"/>
      <c r="E641" s="22"/>
      <c r="F641" s="86" t="s">
        <v>119</v>
      </c>
      <c r="G641" s="80">
        <f>SUM(G447)</f>
        <v>194817.07</v>
      </c>
      <c r="H641" s="80">
        <f>SUM(G462)</f>
        <v>194817.07</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260823.59000000003</v>
      </c>
      <c r="H643" s="80">
        <f>SUM(I462)</f>
        <v>260823.59000000003</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2435.6</v>
      </c>
      <c r="H645" s="80">
        <f>H409</f>
        <v>2435.6</v>
      </c>
      <c r="I645" s="87" t="s">
        <v>480</v>
      </c>
      <c r="J645" s="80">
        <f t="shared" si="50"/>
        <v>0</v>
      </c>
      <c r="K645" s="67"/>
      <c r="L645" s="69"/>
      <c r="M645" s="8"/>
    </row>
    <row r="646" spans="1:13" s="3" customFormat="1" ht="12.2" customHeight="1" x14ac:dyDescent="0.15">
      <c r="A646" s="21"/>
      <c r="B646" s="22"/>
      <c r="C646" s="22"/>
      <c r="D646" s="22"/>
      <c r="E646" s="22"/>
      <c r="F646" s="86" t="s">
        <v>664</v>
      </c>
      <c r="G646" s="80">
        <f>J184</f>
        <v>15000</v>
      </c>
      <c r="H646" s="80">
        <f>G409</f>
        <v>15000</v>
      </c>
      <c r="I646" s="87" t="s">
        <v>481</v>
      </c>
      <c r="J646" s="80">
        <f t="shared" si="50"/>
        <v>0</v>
      </c>
      <c r="K646" s="67"/>
      <c r="L646" s="69"/>
      <c r="M646" s="8"/>
    </row>
    <row r="647" spans="1:13" s="3" customFormat="1" ht="12.2" customHeight="1" x14ac:dyDescent="0.15">
      <c r="A647" s="21"/>
      <c r="B647" s="22"/>
      <c r="C647" s="22"/>
      <c r="D647" s="22"/>
      <c r="E647" s="22"/>
      <c r="F647" s="86" t="s">
        <v>662</v>
      </c>
      <c r="G647" s="80">
        <f>J194</f>
        <v>17435.599999999999</v>
      </c>
      <c r="H647" s="80">
        <f>L409</f>
        <v>17435.599999999999</v>
      </c>
      <c r="I647" s="87" t="s">
        <v>477</v>
      </c>
      <c r="J647" s="80">
        <f t="shared" si="50"/>
        <v>0</v>
      </c>
      <c r="K647" s="67"/>
      <c r="L647" s="69"/>
      <c r="M647" s="8"/>
    </row>
    <row r="648" spans="1:13" s="3" customFormat="1" ht="12.2" customHeight="1" x14ac:dyDescent="0.15">
      <c r="A648" s="21"/>
      <c r="B648" s="22"/>
      <c r="C648" s="22"/>
      <c r="D648" s="22"/>
      <c r="E648" s="22"/>
      <c r="F648" s="86" t="s">
        <v>51</v>
      </c>
      <c r="G648" s="80">
        <f>K599</f>
        <v>171824.59000000003</v>
      </c>
      <c r="H648" s="80">
        <f>L209+L227+L245</f>
        <v>171824.59</v>
      </c>
      <c r="I648" s="87" t="s">
        <v>396</v>
      </c>
      <c r="J648" s="80">
        <f t="shared" si="50"/>
        <v>0</v>
      </c>
      <c r="K648" s="67"/>
      <c r="L648" s="69"/>
      <c r="M648" s="8"/>
    </row>
    <row r="649" spans="1:13" s="3" customFormat="1" ht="12.2" customHeight="1" x14ac:dyDescent="0.15">
      <c r="A649" s="21"/>
      <c r="B649" s="22"/>
      <c r="C649" s="22"/>
      <c r="D649" s="22"/>
      <c r="E649" s="22"/>
      <c r="F649" s="86" t="s">
        <v>52</v>
      </c>
      <c r="G649" s="80">
        <f>K606</f>
        <v>39883.210000000006</v>
      </c>
      <c r="H649" s="80">
        <f>(J258+J339)-(J256+J337)</f>
        <v>39883.210000000021</v>
      </c>
      <c r="I649" s="87" t="s">
        <v>699</v>
      </c>
      <c r="J649" s="80">
        <f t="shared" si="50"/>
        <v>0</v>
      </c>
      <c r="K649" s="67"/>
      <c r="L649" s="69"/>
      <c r="M649" s="8"/>
    </row>
    <row r="650" spans="1:13" s="3" customFormat="1" ht="12.2" customHeight="1" x14ac:dyDescent="0.15">
      <c r="A650" s="21"/>
      <c r="B650" s="22"/>
      <c r="C650" s="22"/>
      <c r="D650" s="22"/>
      <c r="E650" s="22"/>
      <c r="F650" s="86" t="s">
        <v>387</v>
      </c>
      <c r="G650" s="80">
        <f>L209</f>
        <v>93462.2</v>
      </c>
      <c r="H650" s="80">
        <f>H599</f>
        <v>93462.2</v>
      </c>
      <c r="I650" s="87" t="s">
        <v>388</v>
      </c>
      <c r="J650" s="80">
        <f t="shared" si="50"/>
        <v>0</v>
      </c>
      <c r="K650" s="67"/>
      <c r="L650" s="69"/>
      <c r="M650" s="8"/>
    </row>
    <row r="651" spans="1:13" s="3" customFormat="1" ht="12.2" customHeight="1" x14ac:dyDescent="0.15">
      <c r="A651" s="21"/>
      <c r="B651" s="22"/>
      <c r="C651" s="22"/>
      <c r="D651" s="22"/>
      <c r="E651" s="22"/>
      <c r="F651" s="86" t="s">
        <v>392</v>
      </c>
      <c r="G651" s="80">
        <f>L227</f>
        <v>13473.6</v>
      </c>
      <c r="H651" s="80">
        <f>I599</f>
        <v>13473.6</v>
      </c>
      <c r="I651" s="87" t="s">
        <v>389</v>
      </c>
      <c r="J651" s="80">
        <f t="shared" si="50"/>
        <v>0</v>
      </c>
      <c r="K651" s="67"/>
      <c r="L651" s="69"/>
      <c r="M651" s="8"/>
    </row>
    <row r="652" spans="1:13" s="3" customFormat="1" ht="12.2" customHeight="1" x14ac:dyDescent="0.15">
      <c r="A652" s="21"/>
      <c r="B652" s="22"/>
      <c r="C652" s="22"/>
      <c r="D652" s="22"/>
      <c r="E652" s="22"/>
      <c r="F652" s="86" t="s">
        <v>393</v>
      </c>
      <c r="G652" s="80">
        <f>L245</f>
        <v>64888.789999999994</v>
      </c>
      <c r="H652" s="80">
        <f>J599</f>
        <v>64888.789999999994</v>
      </c>
      <c r="I652" s="87" t="s">
        <v>390</v>
      </c>
      <c r="J652" s="80">
        <f t="shared" si="50"/>
        <v>0</v>
      </c>
      <c r="K652" s="67"/>
      <c r="L652" s="69"/>
      <c r="M652" s="8"/>
    </row>
    <row r="653" spans="1:13" s="3" customFormat="1" ht="12.2" customHeight="1" x14ac:dyDescent="0.15">
      <c r="A653" s="21"/>
      <c r="B653" s="22"/>
      <c r="C653" s="22"/>
      <c r="D653" s="22"/>
      <c r="E653" s="22"/>
      <c r="F653" s="86" t="s">
        <v>665</v>
      </c>
      <c r="G653" s="80">
        <f>G180+G182</f>
        <v>18289.560000000001</v>
      </c>
      <c r="H653" s="80">
        <f>K264+K346</f>
        <v>18289.560000000001</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15000</v>
      </c>
      <c r="H656" s="80">
        <f>K267+K348</f>
        <v>15000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1387522.98</v>
      </c>
      <c r="G661" s="13">
        <f>(L230+L310+L360)</f>
        <v>212200.59000000003</v>
      </c>
      <c r="H661" s="13">
        <f>(L248+L329+L361)</f>
        <v>539995.85</v>
      </c>
      <c r="I661" s="13">
        <f>SUM(F661:H661)</f>
        <v>2139719.42</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93462.2</v>
      </c>
      <c r="G663" s="13">
        <f>(L227+L307)-(J227+J307)</f>
        <v>13473.6</v>
      </c>
      <c r="H663" s="13">
        <f>(L245+L326)-(J245+J326)</f>
        <v>64888.789999999994</v>
      </c>
      <c r="I663" s="13">
        <f>SUM(F663:H663)</f>
        <v>171824.59</v>
      </c>
      <c r="J663"/>
      <c r="K663" s="13"/>
      <c r="L663" s="13"/>
      <c r="M663" s="9"/>
    </row>
    <row r="664" spans="1:13" s="3" customFormat="1" ht="12.2" customHeight="1" x14ac:dyDescent="0.15">
      <c r="A664" s="142" t="s">
        <v>129</v>
      </c>
      <c r="B664" s="124"/>
      <c r="C664" s="124"/>
      <c r="D664" s="124"/>
      <c r="E664" s="124"/>
      <c r="F664" s="143">
        <f>SUM(F576:F588)+SUM(H603:H605)+SUM(L612)</f>
        <v>136659.21000000002</v>
      </c>
      <c r="G664" s="143">
        <f>SUM(G576:G588)+SUM(I603:I605)+L613</f>
        <v>198726.99000000002</v>
      </c>
      <c r="H664" s="143">
        <f>SUM(H576:H588)+SUM(J603:J605)+L614</f>
        <v>471449.06000000006</v>
      </c>
      <c r="I664" s="13">
        <f>SUM(F664:H664)</f>
        <v>806835.26000000013</v>
      </c>
      <c r="J664" s="13"/>
      <c r="K664" s="13"/>
      <c r="L664" s="13"/>
      <c r="M664" s="9"/>
    </row>
    <row r="665" spans="1:13" s="3" customFormat="1" ht="12.2" customHeight="1" x14ac:dyDescent="0.15">
      <c r="A665" s="1" t="s">
        <v>130</v>
      </c>
      <c r="F665" s="13">
        <f>F661-SUM(F662:F664)</f>
        <v>1157401.5699999998</v>
      </c>
      <c r="G665" s="13">
        <f>G661-SUM(G662:G664)</f>
        <v>0</v>
      </c>
      <c r="H665" s="13">
        <f>H661-SUM(H662:H664)</f>
        <v>3657.9999999998836</v>
      </c>
      <c r="I665" s="13">
        <f>I661-SUM(I662:I664)</f>
        <v>1161059.5699999998</v>
      </c>
      <c r="J665" s="13"/>
      <c r="K665" s="13"/>
      <c r="L665" s="13"/>
      <c r="M665" s="8"/>
    </row>
    <row r="666" spans="1:13" s="3" customFormat="1" ht="12.2" customHeight="1" x14ac:dyDescent="0.2">
      <c r="A666" s="1" t="s">
        <v>131</v>
      </c>
      <c r="F666" s="183">
        <v>56.56</v>
      </c>
      <c r="G666" s="184"/>
      <c r="H666" s="184"/>
      <c r="I666" s="13">
        <f>SUM(F666:H666)</f>
        <v>56.56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20463.25</v>
      </c>
      <c r="G668" s="13" t="e">
        <f>ROUND(G665/G666,2)</f>
        <v>#DIV/0!</v>
      </c>
      <c r="H668" s="13" t="e">
        <f>ROUND(H665/H666,2)</f>
        <v>#DIV/0!</v>
      </c>
      <c r="I668" s="13">
        <f>ROUND(I665/I666,2)</f>
        <v>20527.93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f t="shared" si="51"/>
        <v>-3657.9999999998836</v>
      </c>
      <c r="I670" s="13">
        <f>SUM(F670:H670)</f>
        <v>-3657.9999999998836</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20463.25</v>
      </c>
      <c r="G673" s="13" t="e">
        <f>ROUND((G665+G670)/(G666+G671),2)</f>
        <v>#DIV/0!</v>
      </c>
      <c r="H673" s="13" t="e">
        <f>ROUND((H665+H670)/(H666+H671),2)</f>
        <v>#DIV/0!</v>
      </c>
      <c r="I673" s="13">
        <f>ROUND((I665+I670)/(I666+I671),2)</f>
        <v>20463.25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9" sqref="E9"/>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0</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0</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v>0</v>
      </c>
      <c r="F13" s="272" t="s">
        <v>1629</v>
      </c>
    </row>
    <row r="14" spans="2:8" x14ac:dyDescent="0.25">
      <c r="B14" s="271"/>
      <c r="C14" s="271"/>
      <c r="D14" s="272"/>
      <c r="E14" s="271"/>
      <c r="F14" s="271"/>
    </row>
    <row r="15" spans="2:8" x14ac:dyDescent="0.25">
      <c r="B15" s="271"/>
      <c r="C15" s="272" t="s">
        <v>1623</v>
      </c>
      <c r="D15" s="272" t="s">
        <v>1636</v>
      </c>
      <c r="E15" s="260">
        <v>0</v>
      </c>
      <c r="F15" s="272" t="s">
        <v>1630</v>
      </c>
    </row>
    <row r="16" spans="2:8" x14ac:dyDescent="0.25">
      <c r="B16" s="271"/>
      <c r="C16" s="271"/>
      <c r="D16" s="271"/>
      <c r="E16" s="271"/>
      <c r="F16" s="271"/>
    </row>
    <row r="17" spans="2:8" x14ac:dyDescent="0.25">
      <c r="B17" s="271"/>
      <c r="C17" s="272" t="s">
        <v>1622</v>
      </c>
      <c r="D17" s="272" t="s">
        <v>1637</v>
      </c>
      <c r="E17" s="260">
        <v>0</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18537</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Marlow</v>
      </c>
      <c r="C5" s="317"/>
      <c r="D5" s="317"/>
      <c r="E5" s="317"/>
      <c r="F5" s="317"/>
    </row>
    <row r="8" spans="1:9" ht="18" x14ac:dyDescent="0.25">
      <c r="A8" s="240" t="s">
        <v>1560</v>
      </c>
      <c r="F8" s="247" t="s">
        <v>1578</v>
      </c>
    </row>
    <row r="9" spans="1:9" ht="15" x14ac:dyDescent="0.2">
      <c r="A9" s="238" t="s">
        <v>1561</v>
      </c>
      <c r="B9" s="241">
        <f>'DOE25'!G97</f>
        <v>0</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0</v>
      </c>
    </row>
    <row r="16" spans="1:9" ht="18" x14ac:dyDescent="0.25">
      <c r="A16" s="240" t="s">
        <v>786</v>
      </c>
      <c r="F16" s="247" t="s">
        <v>1579</v>
      </c>
    </row>
    <row r="17" spans="1:6" ht="15" x14ac:dyDescent="0.2">
      <c r="A17" s="238" t="s">
        <v>1566</v>
      </c>
      <c r="B17" s="241">
        <f>'DOE25'!L363-'DOE25'!L362</f>
        <v>18289.559999999998</v>
      </c>
      <c r="F17" s="238" t="s">
        <v>1580</v>
      </c>
    </row>
    <row r="18" spans="1:6" ht="15" x14ac:dyDescent="0.2">
      <c r="A18" s="238" t="s">
        <v>1567</v>
      </c>
      <c r="B18" s="251"/>
      <c r="F18" s="247" t="s">
        <v>1604</v>
      </c>
    </row>
    <row r="19" spans="1:6" ht="18" x14ac:dyDescent="0.25">
      <c r="A19" s="240" t="s">
        <v>725</v>
      </c>
      <c r="B19" s="242">
        <f>SUM(B17:B18)</f>
        <v>18289.559999999998</v>
      </c>
    </row>
    <row r="21" spans="1:6" ht="18.75" thickBot="1" x14ac:dyDescent="0.3">
      <c r="A21" s="240" t="s">
        <v>1568</v>
      </c>
    </row>
    <row r="22" spans="1:6" ht="18.75" thickTop="1" x14ac:dyDescent="0.25">
      <c r="A22" s="240" t="s">
        <v>1569</v>
      </c>
      <c r="B22" s="246">
        <f>B14-B19</f>
        <v>-18289.559999999998</v>
      </c>
      <c r="F22" s="238" t="s">
        <v>1581</v>
      </c>
    </row>
    <row r="26" spans="1:6" ht="18" x14ac:dyDescent="0.25">
      <c r="A26" s="240" t="s">
        <v>186</v>
      </c>
    </row>
    <row r="27" spans="1:6" ht="15" x14ac:dyDescent="0.2">
      <c r="A27" s="238" t="s">
        <v>1570</v>
      </c>
      <c r="B27" s="241">
        <f>'DOE25'!G180</f>
        <v>18289.560000000001</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J26" sqref="J26"/>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Marlow</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250955.91</v>
      </c>
      <c r="C9" s="167">
        <f>'DOE25'!G198+'DOE25'!G216+'DOE25'!G234+'DOE25'!G277+'DOE25'!G296+'DOE25'!G315</f>
        <v>178261.2</v>
      </c>
    </row>
    <row r="10" spans="1:3" x14ac:dyDescent="0.2">
      <c r="A10" t="s">
        <v>775</v>
      </c>
      <c r="B10" s="177">
        <v>248205.79</v>
      </c>
      <c r="C10" s="177">
        <v>178261.2</v>
      </c>
    </row>
    <row r="11" spans="1:3" x14ac:dyDescent="0.2">
      <c r="A11" t="s">
        <v>776</v>
      </c>
      <c r="B11" s="177">
        <v>535.5</v>
      </c>
      <c r="C11" s="177"/>
    </row>
    <row r="12" spans="1:3" x14ac:dyDescent="0.2">
      <c r="A12" t="s">
        <v>777</v>
      </c>
      <c r="B12" s="177">
        <v>2214.62</v>
      </c>
      <c r="C12" s="177"/>
    </row>
    <row r="13" spans="1:3" x14ac:dyDescent="0.2">
      <c r="A13" t="str">
        <f>IF(B9=B13,IF(C9=C13,"Check Total OK","Check Total Error"),"Check Total Error")</f>
        <v>Check Total OK</v>
      </c>
      <c r="B13" s="169">
        <f>SUM(B10:B12)</f>
        <v>250955.91</v>
      </c>
      <c r="C13" s="169">
        <f>SUM(C10:C12)</f>
        <v>178261.2</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81161.440000000002</v>
      </c>
      <c r="C18" s="167">
        <f>'DOE25'!G199+'DOE25'!G217+'DOE25'!G235+'DOE25'!G278+'DOE25'!G297+'DOE25'!G316</f>
        <v>45209.02</v>
      </c>
    </row>
    <row r="19" spans="1:3" x14ac:dyDescent="0.2">
      <c r="A19" t="s">
        <v>775</v>
      </c>
      <c r="B19" s="177">
        <v>44649.96</v>
      </c>
      <c r="C19" s="177">
        <v>45209.02</v>
      </c>
    </row>
    <row r="20" spans="1:3" x14ac:dyDescent="0.2">
      <c r="A20" t="s">
        <v>776</v>
      </c>
      <c r="B20" s="177">
        <v>36511.480000000003</v>
      </c>
      <c r="C20" s="177"/>
    </row>
    <row r="21" spans="1:3" x14ac:dyDescent="0.2">
      <c r="A21" t="s">
        <v>777</v>
      </c>
      <c r="B21" s="177"/>
      <c r="C21" s="177"/>
    </row>
    <row r="22" spans="1:3" x14ac:dyDescent="0.2">
      <c r="A22" t="str">
        <f>IF(B18=B22,IF(C18=C22,"Check Total OK","Check Total Error"),"Check Total Error")</f>
        <v>Check Total OK</v>
      </c>
      <c r="B22" s="169">
        <f>SUM(B19:B21)</f>
        <v>81161.440000000002</v>
      </c>
      <c r="C22" s="169">
        <f>SUM(C19:C21)</f>
        <v>45209.02</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90" zoomScaleNormal="90" workbookViewId="0">
      <pane ySplit="4" topLeftCell="A5" activePane="bottomLeft" state="frozen"/>
      <selection activeCell="F46" sqref="F46"/>
      <selection pane="bottomLeft" activeCell="P14" sqref="P1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Marlow</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1363541.79</v>
      </c>
      <c r="D5" s="19">
        <f>SUM('DOE25'!L198:L201)+SUM('DOE25'!L216:L219)+SUM('DOE25'!L234:L237)-F5-G5-H5</f>
        <v>1349177.23</v>
      </c>
      <c r="E5" s="180"/>
      <c r="F5" s="181"/>
      <c r="G5" s="19">
        <f>SUM('DOE25'!J198:J201)+SUM('DOE25'!J216:J219)+SUM('DOE25'!J234:J237)</f>
        <v>14364.56</v>
      </c>
      <c r="H5" s="19">
        <f>SUM('DOE25'!K198:K201)+SUM('DOE25'!K216:K219)+SUM('DOE25'!K234:K237)</f>
        <v>0</v>
      </c>
      <c r="I5" s="192"/>
    </row>
    <row r="6" spans="1:9" x14ac:dyDescent="0.2">
      <c r="A6" s="31">
        <v>2100</v>
      </c>
      <c r="B6" t="s">
        <v>796</v>
      </c>
      <c r="C6" s="206">
        <f t="shared" si="0"/>
        <v>63684.259999999995</v>
      </c>
      <c r="D6" s="19">
        <f>'DOE25'!L203+'DOE25'!L221+'DOE25'!L239-F6-G6-H6</f>
        <v>63684.259999999995</v>
      </c>
      <c r="E6" s="180"/>
      <c r="F6" s="181"/>
      <c r="G6" s="19">
        <f>'DOE25'!J203+'DOE25'!J221+'DOE25'!J239</f>
        <v>0</v>
      </c>
      <c r="H6" s="19">
        <f>'DOE25'!K203+'DOE25'!K221+'DOE25'!K239</f>
        <v>0</v>
      </c>
      <c r="I6" s="192"/>
    </row>
    <row r="7" spans="1:9" x14ac:dyDescent="0.2">
      <c r="A7" s="31">
        <v>2200</v>
      </c>
      <c r="B7" t="s">
        <v>820</v>
      </c>
      <c r="C7" s="206">
        <f t="shared" si="0"/>
        <v>12028.99</v>
      </c>
      <c r="D7" s="19">
        <f>'DOE25'!L204+'DOE25'!L222+'DOE25'!L240-F7-G7-H7</f>
        <v>12028.99</v>
      </c>
      <c r="E7" s="180"/>
      <c r="F7" s="181"/>
      <c r="G7" s="19">
        <f>'DOE25'!J204+'DOE25'!J222+'DOE25'!J240</f>
        <v>0</v>
      </c>
      <c r="H7" s="19">
        <f>'DOE25'!K204+'DOE25'!K222+'DOE25'!K240</f>
        <v>0</v>
      </c>
      <c r="I7" s="192"/>
    </row>
    <row r="8" spans="1:9" x14ac:dyDescent="0.2">
      <c r="A8" s="31">
        <v>2300</v>
      </c>
      <c r="B8" t="s">
        <v>797</v>
      </c>
      <c r="C8" s="206">
        <f t="shared" si="0"/>
        <v>91514.74</v>
      </c>
      <c r="D8" s="180"/>
      <c r="E8" s="19">
        <f>'DOE25'!L205+'DOE25'!L223+'DOE25'!L241-F8-G8-H8-D9-D11</f>
        <v>91514.74</v>
      </c>
      <c r="F8" s="181"/>
      <c r="G8" s="19">
        <f>'DOE25'!J205+'DOE25'!J223+'DOE25'!J241</f>
        <v>0</v>
      </c>
      <c r="H8" s="19">
        <f>'DOE25'!K205+'DOE25'!K223+'DOE25'!K241</f>
        <v>0</v>
      </c>
      <c r="I8" s="192"/>
    </row>
    <row r="9" spans="1:9" ht="14.25" x14ac:dyDescent="0.2">
      <c r="A9" s="31">
        <v>2310</v>
      </c>
      <c r="B9" s="71" t="s">
        <v>887</v>
      </c>
      <c r="C9" s="206">
        <f t="shared" si="0"/>
        <v>4104.4799999999996</v>
      </c>
      <c r="D9" s="181">
        <v>4104.4799999999996</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168738.16</v>
      </c>
      <c r="D12" s="19">
        <f>'DOE25'!L206+'DOE25'!L224+'DOE25'!L242-F12-G12-H12</f>
        <v>168738.16</v>
      </c>
      <c r="E12" s="180"/>
      <c r="F12" s="181"/>
      <c r="G12" s="19">
        <f>'DOE25'!J206+'DOE25'!J224+'DOE25'!J242</f>
        <v>0</v>
      </c>
      <c r="H12" s="19">
        <f>'DOE25'!K206+'DOE25'!K224+'DOE25'!K242</f>
        <v>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174660.17999999996</v>
      </c>
      <c r="D14" s="19">
        <f>'DOE25'!L208+'DOE25'!L226+'DOE25'!L244-F14-G14-H14</f>
        <v>94507.659999999989</v>
      </c>
      <c r="E14" s="180"/>
      <c r="F14" s="181">
        <v>74876</v>
      </c>
      <c r="G14" s="19">
        <f>'DOE25'!J208+'DOE25'!J226+'DOE25'!J244</f>
        <v>5276.52</v>
      </c>
      <c r="H14" s="19">
        <f>'DOE25'!K208+'DOE25'!K226+'DOE25'!K244</f>
        <v>0</v>
      </c>
      <c r="I14" s="192"/>
    </row>
    <row r="15" spans="1:9" x14ac:dyDescent="0.2">
      <c r="A15" s="31">
        <v>2700</v>
      </c>
      <c r="B15" t="s">
        <v>799</v>
      </c>
      <c r="C15" s="206">
        <f t="shared" si="0"/>
        <v>171824.59</v>
      </c>
      <c r="D15" s="19">
        <f>'DOE25'!L209+'DOE25'!L227+'DOE25'!L245-F15-G15-H15</f>
        <v>0</v>
      </c>
      <c r="E15" s="180"/>
      <c r="F15" s="181">
        <v>171824.59</v>
      </c>
      <c r="G15" s="19">
        <f>'DOE25'!J209+'DOE25'!J227+'DOE25'!J245</f>
        <v>0</v>
      </c>
      <c r="H15" s="19">
        <f>'DOE25'!K209+'DOE25'!K227+'DOE25'!K245</f>
        <v>0</v>
      </c>
      <c r="I15" s="192"/>
    </row>
    <row r="16" spans="1:9" x14ac:dyDescent="0.2">
      <c r="A16" s="31">
        <v>2800</v>
      </c>
      <c r="B16" t="s">
        <v>800</v>
      </c>
      <c r="C16" s="206">
        <f t="shared" si="0"/>
        <v>2098.52</v>
      </c>
      <c r="D16" s="180"/>
      <c r="E16" s="19">
        <f>'DOE25'!L210+'DOE25'!L228+'DOE25'!L246-F16-G16-H16</f>
        <v>671.52</v>
      </c>
      <c r="F16" s="181"/>
      <c r="G16" s="19">
        <f>'DOE25'!J210+'DOE25'!J228+'DOE25'!J246</f>
        <v>1427</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112233.13</v>
      </c>
      <c r="D22" s="180"/>
      <c r="E22" s="180"/>
      <c r="F22" s="180"/>
      <c r="G22" s="19">
        <f>'DOE25'!L256+'DOE25'!L337</f>
        <v>112233.13</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18289.559999999998</v>
      </c>
      <c r="D29" s="212">
        <f>'DOE25'!L359+'DOE25'!L360+'DOE25'!L361-'DOE25'!I368-F29-G29-H29-F39</f>
        <v>18289.559999999998</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69234.149999999994</v>
      </c>
      <c r="D31" s="19">
        <f>'DOE25'!L291+'DOE25'!L310+'DOE25'!L329+'DOE25'!L334+'DOE25'!L335+'DOE25'!L336-F31-G31-H31</f>
        <v>45242.709999999992</v>
      </c>
      <c r="E31" s="180"/>
      <c r="F31" s="181"/>
      <c r="G31" s="19">
        <f>'DOE25'!J291+'DOE25'!J310+'DOE25'!J329+'DOE25'!J334+'DOE25'!J335+'DOE25'!J336</f>
        <v>18815.13</v>
      </c>
      <c r="H31" s="19">
        <f>'DOE25'!K291+'DOE25'!K310+'DOE25'!K329+'DOE25'!K334+'DOE25'!K335+'DOE25'!K336</f>
        <v>5176.3099999999995</v>
      </c>
      <c r="I31" s="192"/>
    </row>
    <row r="32" spans="1:9" ht="12" thickBot="1" x14ac:dyDescent="0.25">
      <c r="C32" s="207"/>
      <c r="G32" s="188"/>
      <c r="H32" s="188"/>
      <c r="I32" s="194"/>
    </row>
    <row r="33" spans="1:9" ht="12" thickTop="1" x14ac:dyDescent="0.2">
      <c r="B33" t="s">
        <v>809</v>
      </c>
      <c r="D33" s="182">
        <f t="shared" ref="D33:I33" si="1">SUM(D5:D31)</f>
        <v>1755773.0499999998</v>
      </c>
      <c r="E33" s="182">
        <f t="shared" si="1"/>
        <v>92186.260000000009</v>
      </c>
      <c r="F33" s="182">
        <f t="shared" si="1"/>
        <v>246700.59</v>
      </c>
      <c r="G33" s="182">
        <f t="shared" si="1"/>
        <v>152116.34000000003</v>
      </c>
      <c r="H33" s="182">
        <f t="shared" si="1"/>
        <v>5176.3099999999995</v>
      </c>
      <c r="I33" s="182">
        <f t="shared" si="1"/>
        <v>0</v>
      </c>
    </row>
    <row r="34" spans="1:9" ht="12" thickBot="1" x14ac:dyDescent="0.25"/>
    <row r="35" spans="1:9" ht="12" thickBot="1" x14ac:dyDescent="0.25">
      <c r="B35" s="188" t="s">
        <v>830</v>
      </c>
      <c r="D35" s="189">
        <f>E33</f>
        <v>92186.260000000009</v>
      </c>
      <c r="E35" s="185"/>
      <c r="F35" s="295" t="s">
        <v>1608</v>
      </c>
      <c r="G35" s="296"/>
      <c r="H35" s="296"/>
      <c r="I35" s="297"/>
    </row>
    <row r="36" spans="1:9" ht="12" thickTop="1" x14ac:dyDescent="0.2">
      <c r="B36" t="s">
        <v>810</v>
      </c>
      <c r="D36" s="19">
        <f>D33</f>
        <v>1755773.0499999998</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workbookViewId="0">
      <selection activeCell="D11" sqref="D1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Marlow</v>
      </c>
      <c r="B2">
        <f>'DOE25'!B2</f>
        <v>341</v>
      </c>
      <c r="J2" s="224" t="s">
        <v>1808</v>
      </c>
      <c r="K2" s="309">
        <f>SUM('DOE25'!L198:L201)+SUM('DOE25'!L216:L219)+SUM('DOE25'!L234:L237)+SUM('DOE25'!L277:L280)+SUM('DOE25'!L296:L299)+SUM('DOE25'!L315:L318)</f>
        <v>1421608.94</v>
      </c>
      <c r="L2" s="309">
        <f>'DOE25'!L203+'DOE25'!L221+'DOE25'!L239+'DOE25'!L282+'DOE25'!L301+'DOE25'!L320</f>
        <v>66355.45</v>
      </c>
      <c r="M2" s="309">
        <f>'DOE25'!L204+'DOE25'!L222+'DOE25'!L240+'DOE25'!L283+'DOE25'!L302+'DOE25'!L321</f>
        <v>12665.029999999999</v>
      </c>
      <c r="N2" s="309">
        <f>'DOE25'!L206+'DOE25'!L224+'DOE25'!L242+'DOE25'!L285+'DOE25'!L304+'DOE25'!L323</f>
        <v>168738.16</v>
      </c>
      <c r="O2" s="309">
        <f>'Salaries-Benefits'!B10+'Salaries-Benefits'!B12+'Salaries-Benefits'!B19+'Salaries-Benefits'!B21+'Salaries-Benefits'!B28+'Salaries-Benefits'!B30+'Salaries-Benefits'!B37+'Salaries-Benefits'!B39</f>
        <v>295070.37</v>
      </c>
      <c r="P2" s="309">
        <f>'Salaries-Benefits'!B11+'Salaries-Benefits'!B20+'Salaries-Benefits'!B29+'Salaries-Benefits'!B38</f>
        <v>37046.980000000003</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-1421608.94</v>
      </c>
      <c r="L3" s="311">
        <f t="shared" ref="L3:P3" si="0">L21+L33+L43-L2</f>
        <v>-66355.45</v>
      </c>
      <c r="M3" s="311">
        <f t="shared" si="0"/>
        <v>-12665.029999999999</v>
      </c>
      <c r="N3" s="311">
        <f t="shared" si="0"/>
        <v>-168738.16</v>
      </c>
      <c r="O3" s="311">
        <f t="shared" si="0"/>
        <v>-295070.37</v>
      </c>
      <c r="P3" s="311">
        <f t="shared" si="0"/>
        <v>-37046.980000000003</v>
      </c>
      <c r="Q3" s="310"/>
      <c r="R3" s="306"/>
      <c r="S3" s="215"/>
      <c r="T3" s="215"/>
      <c r="U3" s="216"/>
    </row>
    <row r="4" spans="1:21" ht="55.5" customHeight="1" thickBot="1" x14ac:dyDescent="0.25">
      <c r="A4" s="224" t="s">
        <v>1522</v>
      </c>
      <c r="B4" s="224" t="s">
        <v>1523</v>
      </c>
      <c r="C4" s="224" t="s">
        <v>896</v>
      </c>
      <c r="D4" s="224" t="s">
        <v>786</v>
      </c>
      <c r="E4" s="224" t="s">
        <v>786</v>
      </c>
      <c r="F4" s="228">
        <f>SUM(F5:F20)</f>
        <v>1369233.42</v>
      </c>
      <c r="G4" s="229">
        <f>'DOE25'!L212+'DOE25'!L291</f>
        <v>1369233.42</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John D. Perkins Academy</v>
      </c>
      <c r="B6" s="230">
        <f>IFERROR(VLOOKUP(A6,'School Tables'!$C$3:$D$365,2,FALSE),"")</f>
        <v>23000</v>
      </c>
      <c r="C6" s="223" t="str">
        <f>IFERROR(INDEX('School Tables'!$B$3:$B$365,MATCH('School Level Expenditures'!B6,'School Tables'!$D$3:$D$365,0)),"")</f>
        <v>Marlow</v>
      </c>
      <c r="D6" s="220">
        <v>1299999.27</v>
      </c>
      <c r="E6" s="220">
        <v>69234.149999999994</v>
      </c>
      <c r="F6" s="232">
        <f t="shared" ref="F6:F20" si="1">D6+E6</f>
        <v>1369233.42</v>
      </c>
      <c r="G6" s="223"/>
      <c r="H6" s="223"/>
      <c r="J6" t="str">
        <f>A6</f>
        <v>John D. Perkins Academy</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1299999.27</v>
      </c>
      <c r="E21" s="262">
        <f>SUM(E5:E20)</f>
        <v>69234.149999999994</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212200.59</v>
      </c>
      <c r="G24" s="229">
        <f>'DOE25'!L230+'DOE25'!L310</f>
        <v>212200.59000000003</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212200.59</v>
      </c>
      <c r="E25" s="220"/>
      <c r="F25" s="232">
        <f>D25+E25</f>
        <v>212200.59</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212200.59</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539995.85</v>
      </c>
      <c r="G36" s="229">
        <f>'DOE25'!L248+'DOE25'!L329</f>
        <v>539995.85</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539995.85</v>
      </c>
      <c r="E37" s="220"/>
      <c r="F37" s="232">
        <f t="shared" ref="F37:F42" si="7">D37+E37</f>
        <v>539995.85</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539995.85</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Marlow</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315033.53000000003</v>
      </c>
      <c r="D8" s="73">
        <f>'DOE25'!G9</f>
        <v>0</v>
      </c>
      <c r="E8" s="73">
        <f>'DOE25'!H9</f>
        <v>743</v>
      </c>
      <c r="F8" s="73">
        <f>'DOE25'!I9</f>
        <v>0</v>
      </c>
      <c r="G8" s="73">
        <f>'DOE25'!J9</f>
        <v>260823.59000000003</v>
      </c>
      <c r="H8" s="13">
        <f>SUM(C8:G8)</f>
        <v>576600.12000000011</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8864.1299999999992</v>
      </c>
      <c r="D11" s="73">
        <f>'DOE25'!G12</f>
        <v>0</v>
      </c>
      <c r="E11" s="73">
        <f>'DOE25'!H12</f>
        <v>0</v>
      </c>
      <c r="F11" s="73">
        <f>'DOE25'!I12</f>
        <v>0</v>
      </c>
      <c r="G11" s="73">
        <f>'DOE25'!J12</f>
        <v>0</v>
      </c>
      <c r="H11" s="13">
        <f t="shared" si="0"/>
        <v>8864.1299999999992</v>
      </c>
      <c r="I11" s="90"/>
    </row>
    <row r="12" spans="1:9" x14ac:dyDescent="0.2">
      <c r="A12" s="1" t="s">
        <v>143</v>
      </c>
      <c r="B12" s="6">
        <v>140</v>
      </c>
      <c r="C12" s="73">
        <f>'DOE25'!F13</f>
        <v>94.8</v>
      </c>
      <c r="D12" s="73">
        <f>'DOE25'!G13</f>
        <v>0</v>
      </c>
      <c r="E12" s="73">
        <f>'DOE25'!H13</f>
        <v>10387.19</v>
      </c>
      <c r="F12" s="73">
        <f>'DOE25'!I13</f>
        <v>0</v>
      </c>
      <c r="G12" s="73">
        <f>'DOE25'!J13</f>
        <v>0</v>
      </c>
      <c r="H12" s="13">
        <f t="shared" si="0"/>
        <v>10481.99</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323992.46000000002</v>
      </c>
      <c r="D18" s="38">
        <f>SUM(D8:D17)</f>
        <v>0</v>
      </c>
      <c r="E18" s="38">
        <f>SUM(E8:E17)</f>
        <v>11130.19</v>
      </c>
      <c r="F18" s="38">
        <f>SUM(F8:F17)</f>
        <v>0</v>
      </c>
      <c r="G18" s="38">
        <f>SUM(G8:G17)</f>
        <v>260823.59000000003</v>
      </c>
      <c r="H18" s="38">
        <f t="shared" si="0"/>
        <v>595946.23999999999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8864.1299999999992</v>
      </c>
      <c r="F21" s="73">
        <f>'DOE25'!I22</f>
        <v>0</v>
      </c>
      <c r="G21" s="73">
        <f>'DOE25'!J22</f>
        <v>0</v>
      </c>
      <c r="H21" s="13">
        <f t="shared" ref="H21:H31" si="1">SUM(C21:G21)</f>
        <v>8864.1299999999992</v>
      </c>
      <c r="I21" s="90"/>
    </row>
    <row r="22" spans="1:9" x14ac:dyDescent="0.2">
      <c r="A22" s="1" t="s">
        <v>151</v>
      </c>
      <c r="B22" s="6">
        <v>410</v>
      </c>
      <c r="C22" s="73">
        <f>'DOE25'!F23</f>
        <v>11.46</v>
      </c>
      <c r="D22" s="73">
        <f>'DOE25'!G23</f>
        <v>0</v>
      </c>
      <c r="E22" s="73">
        <f>'DOE25'!H23</f>
        <v>38.299999999999997</v>
      </c>
      <c r="F22" s="73">
        <f>'DOE25'!I23</f>
        <v>0</v>
      </c>
      <c r="G22" s="73">
        <f>'DOE25'!J23</f>
        <v>0</v>
      </c>
      <c r="H22" s="13">
        <f t="shared" si="1"/>
        <v>49.76</v>
      </c>
      <c r="I22" s="90"/>
    </row>
    <row r="23" spans="1:9" x14ac:dyDescent="0.2">
      <c r="A23" s="1" t="s">
        <v>152</v>
      </c>
      <c r="B23" s="6">
        <v>420</v>
      </c>
      <c r="C23" s="73">
        <f>'DOE25'!F24</f>
        <v>15535.27</v>
      </c>
      <c r="D23" s="73">
        <f>'DOE25'!G24</f>
        <v>0</v>
      </c>
      <c r="E23" s="73">
        <f>'DOE25'!H24</f>
        <v>1484.76</v>
      </c>
      <c r="F23" s="73">
        <f>'DOE25'!I24</f>
        <v>0</v>
      </c>
      <c r="G23" s="73">
        <f>'DOE25'!J24</f>
        <v>0</v>
      </c>
      <c r="H23" s="13">
        <f t="shared" si="1"/>
        <v>17020.03</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20148.87</v>
      </c>
      <c r="D28" s="73">
        <f>'DOE25'!G29</f>
        <v>0</v>
      </c>
      <c r="E28" s="73">
        <f>'DOE25'!H29</f>
        <v>0</v>
      </c>
      <c r="F28" s="73">
        <f>'DOE25'!I29</f>
        <v>0</v>
      </c>
      <c r="G28" s="23" t="s">
        <v>288</v>
      </c>
      <c r="H28" s="13">
        <f t="shared" si="1"/>
        <v>20148.87</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35695.599999999999</v>
      </c>
      <c r="D31" s="38">
        <f>SUM(D21:D30)</f>
        <v>0</v>
      </c>
      <c r="E31" s="38">
        <f>SUM(E21:E30)</f>
        <v>10387.189999999999</v>
      </c>
      <c r="F31" s="38">
        <f>SUM(F21:F30)</f>
        <v>0</v>
      </c>
      <c r="G31" s="38">
        <f>SUM(G21:G30)</f>
        <v>0</v>
      </c>
      <c r="H31" s="38">
        <f t="shared" si="1"/>
        <v>46082.789999999994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743</v>
      </c>
      <c r="F36" s="73">
        <f>'DOE25'!I37</f>
        <v>0</v>
      </c>
      <c r="G36" s="73">
        <f>'DOE25'!J37</f>
        <v>0</v>
      </c>
      <c r="H36" s="13">
        <f t="shared" si="2"/>
        <v>743</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35000</v>
      </c>
      <c r="D43" s="73">
        <f>'DOE25'!G44</f>
        <v>0</v>
      </c>
      <c r="E43" s="73">
        <f>'DOE25'!H44</f>
        <v>0</v>
      </c>
      <c r="F43" s="73">
        <f>'DOE25'!I44</f>
        <v>0</v>
      </c>
      <c r="G43" s="23" t="s">
        <v>288</v>
      </c>
      <c r="H43" s="13">
        <f t="shared" si="2"/>
        <v>35000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260823.59000000003</v>
      </c>
      <c r="H47" s="13">
        <f t="shared" si="2"/>
        <v>260823.59000000003</v>
      </c>
      <c r="I47" s="90"/>
    </row>
    <row r="48" spans="1:9" x14ac:dyDescent="0.2">
      <c r="A48" s="1" t="s">
        <v>881</v>
      </c>
      <c r="B48" s="6">
        <v>753</v>
      </c>
      <c r="C48" s="73">
        <f>'DOE25'!F49</f>
        <v>37746.67</v>
      </c>
      <c r="D48" s="73">
        <f>'DOE25'!G49</f>
        <v>0</v>
      </c>
      <c r="E48" s="73">
        <f>'DOE25'!H49</f>
        <v>0</v>
      </c>
      <c r="F48" s="73">
        <f>'DOE25'!I49</f>
        <v>0</v>
      </c>
      <c r="G48" s="73">
        <f>'DOE25'!J49</f>
        <v>0</v>
      </c>
      <c r="H48" s="13">
        <f t="shared" si="2"/>
        <v>37746.67</v>
      </c>
      <c r="I48" s="90"/>
    </row>
    <row r="49" spans="1:9" ht="12" thickBot="1" x14ac:dyDescent="0.25">
      <c r="A49" s="28" t="s">
        <v>882</v>
      </c>
      <c r="B49" s="56">
        <v>770</v>
      </c>
      <c r="C49" s="73">
        <f>'DOE25'!F50</f>
        <v>215550.19</v>
      </c>
      <c r="D49" s="23" t="s">
        <v>288</v>
      </c>
      <c r="E49" s="23" t="s">
        <v>288</v>
      </c>
      <c r="F49" s="23" t="s">
        <v>288</v>
      </c>
      <c r="G49" s="23" t="s">
        <v>288</v>
      </c>
      <c r="H49" s="13">
        <f t="shared" si="2"/>
        <v>215550.19</v>
      </c>
      <c r="I49" s="90"/>
    </row>
    <row r="50" spans="1:9" ht="12.75" thickTop="1" thickBot="1" x14ac:dyDescent="0.25">
      <c r="A50" s="35" t="s">
        <v>883</v>
      </c>
      <c r="B50" s="44"/>
      <c r="C50" s="38">
        <f>SUM(C34:C49)</f>
        <v>288296.86</v>
      </c>
      <c r="D50" s="38">
        <f>SUM(D34:D49)</f>
        <v>0</v>
      </c>
      <c r="E50" s="38">
        <f>SUM(E34:E49)</f>
        <v>743</v>
      </c>
      <c r="F50" s="38">
        <f>SUM(F34:F49)</f>
        <v>0</v>
      </c>
      <c r="G50" s="38">
        <f>SUM(G34:G49)</f>
        <v>260823.59000000003</v>
      </c>
      <c r="H50" s="38">
        <f t="shared" si="2"/>
        <v>549863.44999999995</v>
      </c>
      <c r="I50" s="90"/>
    </row>
    <row r="51" spans="1:9" ht="12" thickTop="1" x14ac:dyDescent="0.2">
      <c r="A51" s="35" t="s">
        <v>884</v>
      </c>
      <c r="B51" s="2"/>
      <c r="C51" s="38">
        <f>C50+C31</f>
        <v>323992.45999999996</v>
      </c>
      <c r="D51" s="38">
        <f>D50+D31</f>
        <v>0</v>
      </c>
      <c r="E51" s="38">
        <f>E50+E31</f>
        <v>11130.189999999999</v>
      </c>
      <c r="F51" s="38">
        <f>F50+F31</f>
        <v>0</v>
      </c>
      <c r="G51" s="38">
        <f>G50+G31</f>
        <v>260823.59000000003</v>
      </c>
      <c r="H51" s="38">
        <f t="shared" si="2"/>
        <v>595946.23999999999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1187863</v>
      </c>
      <c r="D56" s="73">
        <f>'DOE25'!G60</f>
        <v>0</v>
      </c>
      <c r="E56" s="73">
        <f>'DOE25'!H60</f>
        <v>0</v>
      </c>
      <c r="F56" s="73">
        <f>'DOE25'!I60</f>
        <v>0</v>
      </c>
      <c r="G56" s="73">
        <f>'DOE25'!J60</f>
        <v>0</v>
      </c>
      <c r="H56" s="13">
        <f t="shared" ref="H56:H63" si="3">SUM(C56:G56)</f>
        <v>1187863</v>
      </c>
      <c r="I56"/>
    </row>
    <row r="57" spans="1:9" x14ac:dyDescent="0.2">
      <c r="A57" s="1" t="s">
        <v>164</v>
      </c>
      <c r="B57" s="6" t="s">
        <v>165</v>
      </c>
      <c r="C57" s="73">
        <f>'DOE25'!F79</f>
        <v>24967.83</v>
      </c>
      <c r="D57" s="23" t="s">
        <v>288</v>
      </c>
      <c r="E57" s="73">
        <f>'DOE25'!H79</f>
        <v>0</v>
      </c>
      <c r="F57" s="23" t="s">
        <v>288</v>
      </c>
      <c r="G57" s="23" t="s">
        <v>288</v>
      </c>
      <c r="H57" s="13">
        <f t="shared" si="3"/>
        <v>24967.83</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2342.5300000000002</v>
      </c>
      <c r="D59" s="73">
        <f>'DOE25'!G96</f>
        <v>0</v>
      </c>
      <c r="E59" s="73">
        <f>'DOE25'!H96</f>
        <v>0</v>
      </c>
      <c r="F59" s="73">
        <f>'DOE25'!I96</f>
        <v>0</v>
      </c>
      <c r="G59" s="73">
        <f>'DOE25'!J96</f>
        <v>2435.6</v>
      </c>
      <c r="H59" s="13">
        <f t="shared" si="3"/>
        <v>4778.13</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9304.35</v>
      </c>
      <c r="D61" s="73">
        <f>SUM('DOE25'!G98:G110)</f>
        <v>0</v>
      </c>
      <c r="E61" s="73">
        <f>SUM('DOE25'!H98:H110)</f>
        <v>0</v>
      </c>
      <c r="F61" s="73">
        <f>SUM('DOE25'!I98:I110)</f>
        <v>0</v>
      </c>
      <c r="G61" s="73">
        <f>SUM('DOE25'!J98:J110)</f>
        <v>0</v>
      </c>
      <c r="H61" s="13">
        <f t="shared" si="3"/>
        <v>9304.35</v>
      </c>
      <c r="I61"/>
    </row>
    <row r="62" spans="1:9" ht="12.75" thickTop="1" thickBot="1" x14ac:dyDescent="0.25">
      <c r="A62" s="28" t="s">
        <v>174</v>
      </c>
      <c r="B62" s="6"/>
      <c r="C62" s="93">
        <f>SUM(C57:C61)</f>
        <v>36614.71</v>
      </c>
      <c r="D62" s="93">
        <f>SUM(D57:D61)</f>
        <v>0</v>
      </c>
      <c r="E62" s="93">
        <f>SUM(E57:E61)</f>
        <v>0</v>
      </c>
      <c r="F62" s="93">
        <f>SUM(F57:F61)</f>
        <v>0</v>
      </c>
      <c r="G62" s="93">
        <f>SUM(G57:G61)</f>
        <v>2435.6</v>
      </c>
      <c r="H62" s="13">
        <f t="shared" si="3"/>
        <v>39050.31</v>
      </c>
      <c r="I62"/>
    </row>
    <row r="63" spans="1:9" ht="12" thickTop="1" x14ac:dyDescent="0.2">
      <c r="A63" s="28" t="s">
        <v>175</v>
      </c>
      <c r="B63" s="6"/>
      <c r="C63" s="21">
        <f>C56+C62</f>
        <v>1224477.71</v>
      </c>
      <c r="D63" s="21">
        <f>D56+D62</f>
        <v>0</v>
      </c>
      <c r="E63" s="21">
        <f>E56+E62</f>
        <v>0</v>
      </c>
      <c r="F63" s="21">
        <f>F56+F62</f>
        <v>0</v>
      </c>
      <c r="G63" s="21">
        <f>G56+G62</f>
        <v>2435.6</v>
      </c>
      <c r="H63" s="13">
        <f t="shared" si="3"/>
        <v>1226913.31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686042.58</v>
      </c>
      <c r="D66" s="23" t="s">
        <v>288</v>
      </c>
      <c r="E66" s="23" t="s">
        <v>288</v>
      </c>
      <c r="F66" s="23" t="s">
        <v>288</v>
      </c>
      <c r="G66" s="23" t="s">
        <v>288</v>
      </c>
      <c r="H66" s="13">
        <f t="shared" ref="H66:H81" si="4">SUM(C66:G66)</f>
        <v>686042.58</v>
      </c>
      <c r="I66"/>
    </row>
    <row r="67" spans="1:9" x14ac:dyDescent="0.2">
      <c r="A67" s="1" t="s">
        <v>770</v>
      </c>
      <c r="B67" s="6">
        <v>3112</v>
      </c>
      <c r="C67" s="73">
        <f>'DOE25'!F118</f>
        <v>92219</v>
      </c>
      <c r="D67" s="23"/>
      <c r="E67" s="23"/>
      <c r="F67" s="23"/>
      <c r="G67" s="23"/>
      <c r="H67" s="13">
        <f t="shared" si="4"/>
        <v>92219</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8773.98</v>
      </c>
      <c r="D69" s="73">
        <f>'DOE25'!G120</f>
        <v>0</v>
      </c>
      <c r="E69" s="73">
        <f>'DOE25'!H120</f>
        <v>0</v>
      </c>
      <c r="F69" s="73">
        <f>'DOE25'!I120</f>
        <v>0</v>
      </c>
      <c r="G69" s="73">
        <f>'DOE25'!J120</f>
        <v>0</v>
      </c>
      <c r="H69" s="13">
        <f t="shared" si="4"/>
        <v>8773.98</v>
      </c>
      <c r="I69"/>
    </row>
    <row r="70" spans="1:9" ht="12" thickTop="1" x14ac:dyDescent="0.2">
      <c r="A70" s="28" t="s">
        <v>252</v>
      </c>
      <c r="B70" s="2"/>
      <c r="C70" s="97">
        <f>SUM(C66:C69)</f>
        <v>787035.55999999994</v>
      </c>
      <c r="D70" s="97">
        <f>D69</f>
        <v>0</v>
      </c>
      <c r="E70" s="97">
        <f>E69</f>
        <v>0</v>
      </c>
      <c r="F70" s="97">
        <f>F69</f>
        <v>0</v>
      </c>
      <c r="G70" s="97">
        <f>G69</f>
        <v>0</v>
      </c>
      <c r="H70" s="13">
        <f t="shared" si="4"/>
        <v>787035.55999999994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89480.31</v>
      </c>
      <c r="D75" s="23" t="s">
        <v>288</v>
      </c>
      <c r="E75" s="23" t="s">
        <v>288</v>
      </c>
      <c r="F75" s="23" t="s">
        <v>288</v>
      </c>
      <c r="G75" s="23" t="s">
        <v>288</v>
      </c>
      <c r="H75" s="13">
        <f t="shared" si="4"/>
        <v>89480.31</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89480.31</v>
      </c>
      <c r="D78" s="93">
        <f>SUM(D72:D77)</f>
        <v>0</v>
      </c>
      <c r="E78" s="93">
        <f>SUM(E72:E77)</f>
        <v>0</v>
      </c>
      <c r="F78" s="93">
        <f>SUM(F72:F77)</f>
        <v>0</v>
      </c>
      <c r="G78" s="93">
        <f>SUM(G72:G77)</f>
        <v>0</v>
      </c>
      <c r="H78" s="13">
        <f t="shared" si="4"/>
        <v>89480.31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876515.86999999988</v>
      </c>
      <c r="D81" s="93">
        <f>SUM(D79:D80)+D78+D70</f>
        <v>0</v>
      </c>
      <c r="E81" s="93">
        <f>SUM(E79:E80)+E78+E70</f>
        <v>0</v>
      </c>
      <c r="F81" s="93">
        <f>SUM(F79:F80)+F78+F70</f>
        <v>0</v>
      </c>
      <c r="G81" s="93">
        <f>SUM(G79:G80)+G78+G70</f>
        <v>0</v>
      </c>
      <c r="H81" s="93">
        <f t="shared" si="4"/>
        <v>876515.86999999988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18537</v>
      </c>
      <c r="F87" s="73">
        <f>SUM('DOE25'!I149:I152)</f>
        <v>0</v>
      </c>
      <c r="G87" s="23" t="s">
        <v>288</v>
      </c>
      <c r="H87" s="13">
        <f t="shared" si="5"/>
        <v>18537</v>
      </c>
    </row>
    <row r="88" spans="1:9" x14ac:dyDescent="0.2">
      <c r="A88" s="217" t="s">
        <v>747</v>
      </c>
      <c r="B88" s="231" t="s">
        <v>184</v>
      </c>
      <c r="C88" s="253">
        <f>SUM('DOE25'!F153:F162)</f>
        <v>928.5</v>
      </c>
      <c r="D88" s="253">
        <f>SUM('DOE25'!G153:G162)</f>
        <v>0</v>
      </c>
      <c r="E88" s="253">
        <f>SUM('DOE25'!H153:H162)</f>
        <v>162930.28000000003</v>
      </c>
      <c r="F88" s="253">
        <f>SUM('DOE25'!I153:I162)</f>
        <v>0</v>
      </c>
      <c r="G88" s="23" t="s">
        <v>288</v>
      </c>
      <c r="H88" s="13">
        <f t="shared" si="5"/>
        <v>163858.78000000003</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928.5</v>
      </c>
      <c r="D91" s="94">
        <f>SUM(D85:D90)</f>
        <v>0</v>
      </c>
      <c r="E91" s="94">
        <f>SUM(E85:E90)</f>
        <v>181467.28000000003</v>
      </c>
      <c r="F91" s="94">
        <f>SUM(F85:F90)</f>
        <v>0</v>
      </c>
      <c r="G91" s="23" t="s">
        <v>288</v>
      </c>
      <c r="H91" s="13">
        <f t="shared" si="5"/>
        <v>182395.78000000003</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18289.560000000001</v>
      </c>
      <c r="E96" s="73">
        <f>'DOE25'!H180</f>
        <v>0</v>
      </c>
      <c r="F96" s="73">
        <f>'DOE25'!I180</f>
        <v>0</v>
      </c>
      <c r="G96" s="73">
        <f>'DOE25'!J180</f>
        <v>15000</v>
      </c>
      <c r="H96" s="13">
        <f t="shared" si="5"/>
        <v>33289.56</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18289.560000000001</v>
      </c>
      <c r="E103" s="68">
        <f>SUM(E93:E102)</f>
        <v>0</v>
      </c>
      <c r="F103" s="68">
        <f>SUM(F93:F102)</f>
        <v>0</v>
      </c>
      <c r="G103" s="68">
        <f>SUM(G93:G102)</f>
        <v>15000</v>
      </c>
      <c r="H103" s="68">
        <f t="shared" si="5"/>
        <v>33289.56</v>
      </c>
    </row>
    <row r="104" spans="1:8" ht="12.75" thickTop="1" thickBot="1" x14ac:dyDescent="0.25">
      <c r="A104" s="32" t="s">
        <v>761</v>
      </c>
      <c r="C104" s="68">
        <f>C63+C81+C91+C103</f>
        <v>2101922.08</v>
      </c>
      <c r="D104" s="68">
        <f>D63+D81+D91+D103</f>
        <v>18289.560000000001</v>
      </c>
      <c r="E104" s="68">
        <f>E63+E81+E91+E103</f>
        <v>181467.28000000003</v>
      </c>
      <c r="F104" s="68">
        <f>F63+F81+F91+F103</f>
        <v>0</v>
      </c>
      <c r="G104" s="68">
        <f>G63+G81+G103</f>
        <v>17435.599999999999</v>
      </c>
      <c r="H104" s="68">
        <f t="shared" si="5"/>
        <v>2319114.52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812136.5</v>
      </c>
      <c r="D109" s="23" t="s">
        <v>288</v>
      </c>
      <c r="E109" s="73">
        <f>('DOE25'!L277)+('DOE25'!L296)+('DOE25'!L315)</f>
        <v>44012.92</v>
      </c>
      <c r="F109" s="23" t="s">
        <v>288</v>
      </c>
      <c r="G109" s="23" t="s">
        <v>288</v>
      </c>
      <c r="H109" s="13">
        <f t="shared" ref="H109:H115" si="6">SUM(C109:G109)</f>
        <v>856149.42</v>
      </c>
    </row>
    <row r="110" spans="1:8" x14ac:dyDescent="0.2">
      <c r="A110" t="s">
        <v>198</v>
      </c>
      <c r="B110" s="31" t="s">
        <v>199</v>
      </c>
      <c r="C110" s="73">
        <f>('DOE25'!L199)+('DOE25'!L217)+('DOE25'!L235)</f>
        <v>551405.29</v>
      </c>
      <c r="D110" s="23" t="s">
        <v>288</v>
      </c>
      <c r="E110" s="73">
        <f>('DOE25'!L278)+('DOE25'!L297)+('DOE25'!L316)</f>
        <v>14054.23</v>
      </c>
      <c r="F110" s="23" t="s">
        <v>288</v>
      </c>
      <c r="G110" s="23" t="s">
        <v>288</v>
      </c>
      <c r="H110" s="13">
        <f t="shared" si="6"/>
        <v>565459.52</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1363541.79</v>
      </c>
      <c r="D115" s="68">
        <f>SUM(D109:D114)</f>
        <v>0</v>
      </c>
      <c r="E115" s="68">
        <f>SUM(E109:E114)</f>
        <v>58067.149999999994</v>
      </c>
      <c r="F115" s="68">
        <f>SUM(F109:F114)</f>
        <v>0</v>
      </c>
      <c r="G115" s="68">
        <f>SUM(G109:G114)</f>
        <v>0</v>
      </c>
      <c r="H115" s="68">
        <f t="shared" si="6"/>
        <v>1421608.94</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63684.259999999995</v>
      </c>
      <c r="D118" s="23" t="s">
        <v>288</v>
      </c>
      <c r="E118" s="73">
        <f>+('DOE25'!L282)+('DOE25'!L301)+('DOE25'!L320)</f>
        <v>2671.19</v>
      </c>
      <c r="F118" s="23" t="s">
        <v>288</v>
      </c>
      <c r="G118" s="23" t="s">
        <v>288</v>
      </c>
      <c r="H118" s="13">
        <f t="shared" ref="H118:H145" si="7">SUM(C118:G118)</f>
        <v>66355.45</v>
      </c>
    </row>
    <row r="119" spans="1:8" x14ac:dyDescent="0.2">
      <c r="A119" t="s">
        <v>208</v>
      </c>
      <c r="B119" s="31" t="s">
        <v>209</v>
      </c>
      <c r="C119" s="73">
        <f>('DOE25'!L204)+('DOE25'!L222)+('DOE25'!L240)</f>
        <v>12028.99</v>
      </c>
      <c r="D119" s="23" t="s">
        <v>288</v>
      </c>
      <c r="E119" s="73">
        <f>+('DOE25'!L283)+('DOE25'!L302)+('DOE25'!L321)</f>
        <v>636.04</v>
      </c>
      <c r="F119" s="23" t="s">
        <v>288</v>
      </c>
      <c r="G119" s="23" t="s">
        <v>288</v>
      </c>
      <c r="H119" s="13">
        <f t="shared" si="7"/>
        <v>12665.029999999999</v>
      </c>
    </row>
    <row r="120" spans="1:8" x14ac:dyDescent="0.2">
      <c r="A120" t="s">
        <v>210</v>
      </c>
      <c r="B120" s="31" t="s">
        <v>211</v>
      </c>
      <c r="C120" s="73">
        <f>('DOE25'!L205)+('DOE25'!L223)+('DOE25'!L241)</f>
        <v>95619.22</v>
      </c>
      <c r="D120" s="23" t="s">
        <v>288</v>
      </c>
      <c r="E120" s="73">
        <f>+('DOE25'!L284)+('DOE25'!L303)+('DOE25'!L322)</f>
        <v>2826.65</v>
      </c>
      <c r="F120" s="23" t="s">
        <v>288</v>
      </c>
      <c r="G120" s="23" t="s">
        <v>288</v>
      </c>
      <c r="H120" s="13">
        <f t="shared" si="7"/>
        <v>98445.87</v>
      </c>
    </row>
    <row r="121" spans="1:8" x14ac:dyDescent="0.2">
      <c r="A121" t="s">
        <v>212</v>
      </c>
      <c r="B121" s="31" t="s">
        <v>213</v>
      </c>
      <c r="C121" s="73">
        <f>('DOE25'!L206)+('DOE25'!L224)+('DOE25'!L242)</f>
        <v>168738.16</v>
      </c>
      <c r="D121" s="23" t="s">
        <v>288</v>
      </c>
      <c r="E121" s="73">
        <f>+('DOE25'!L285)+('DOE25'!L304)+('DOE25'!L323)</f>
        <v>0</v>
      </c>
      <c r="F121" s="23" t="s">
        <v>288</v>
      </c>
      <c r="G121" s="23" t="s">
        <v>288</v>
      </c>
      <c r="H121" s="13">
        <f t="shared" si="7"/>
        <v>168738.16</v>
      </c>
    </row>
    <row r="122" spans="1:8" x14ac:dyDescent="0.2">
      <c r="A122" t="s">
        <v>214</v>
      </c>
      <c r="B122" s="31" t="s">
        <v>215</v>
      </c>
      <c r="C122" s="73">
        <f>('DOE25'!L207)+('DOE25'!L225)+('DOE25'!L243)</f>
        <v>0</v>
      </c>
      <c r="D122" s="23" t="s">
        <v>288</v>
      </c>
      <c r="E122" s="73">
        <f>+('DOE25'!L286)+('DOE25'!L305)+('DOE25'!L324)</f>
        <v>5033.12</v>
      </c>
      <c r="F122" s="23" t="s">
        <v>288</v>
      </c>
      <c r="G122" s="23" t="s">
        <v>288</v>
      </c>
      <c r="H122" s="13">
        <f t="shared" si="7"/>
        <v>5033.12</v>
      </c>
    </row>
    <row r="123" spans="1:8" x14ac:dyDescent="0.2">
      <c r="A123" t="s">
        <v>216</v>
      </c>
      <c r="B123" s="31" t="s">
        <v>217</v>
      </c>
      <c r="C123" s="73">
        <f>('DOE25'!L208)+('DOE25'!L226)+('DOE25'!L244)</f>
        <v>174660.18</v>
      </c>
      <c r="D123" s="23" t="s">
        <v>288</v>
      </c>
      <c r="E123" s="73">
        <f>+('DOE25'!L287)+('DOE25'!L306)+('DOE25'!L325)</f>
        <v>0</v>
      </c>
      <c r="F123" s="23" t="s">
        <v>288</v>
      </c>
      <c r="G123" s="23" t="s">
        <v>288</v>
      </c>
      <c r="H123" s="13">
        <f t="shared" si="7"/>
        <v>174660.18</v>
      </c>
    </row>
    <row r="124" spans="1:8" x14ac:dyDescent="0.2">
      <c r="A124" t="s">
        <v>218</v>
      </c>
      <c r="B124" s="31" t="s">
        <v>219</v>
      </c>
      <c r="C124" s="73">
        <f>('DOE25'!L209)+('DOE25'!L227)+('DOE25'!L245+'DOE25'!L255)</f>
        <v>171824.59</v>
      </c>
      <c r="D124" s="23" t="s">
        <v>288</v>
      </c>
      <c r="E124" s="73">
        <f>+('DOE25'!L288)+('DOE25'!L307)+('DOE25'!L326)</f>
        <v>0</v>
      </c>
      <c r="F124" s="23" t="s">
        <v>288</v>
      </c>
      <c r="G124" s="23" t="s">
        <v>288</v>
      </c>
      <c r="H124" s="13">
        <f t="shared" si="7"/>
        <v>171824.59</v>
      </c>
    </row>
    <row r="125" spans="1:8" x14ac:dyDescent="0.2">
      <c r="A125" t="s">
        <v>220</v>
      </c>
      <c r="B125" s="31" t="s">
        <v>221</v>
      </c>
      <c r="C125" s="73">
        <f>('DOE25'!L210)+('DOE25'!L228)+('DOE25'!L246)</f>
        <v>2098.52</v>
      </c>
      <c r="D125" s="23" t="s">
        <v>288</v>
      </c>
      <c r="E125" s="73">
        <f>+('DOE25'!L289)+('DOE25'!L308)+('DOE25'!L327)</f>
        <v>0</v>
      </c>
      <c r="F125" s="23" t="s">
        <v>288</v>
      </c>
      <c r="G125" s="23" t="s">
        <v>288</v>
      </c>
      <c r="H125" s="13">
        <f t="shared" si="7"/>
        <v>2098.52</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18289.559999999998</v>
      </c>
      <c r="E127" s="23" t="s">
        <v>288</v>
      </c>
      <c r="F127" s="23" t="s">
        <v>288</v>
      </c>
      <c r="G127" s="23" t="s">
        <v>288</v>
      </c>
      <c r="H127" s="13">
        <f t="shared" si="7"/>
        <v>18289.559999999998</v>
      </c>
    </row>
    <row r="128" spans="1:8" ht="12.75" thickTop="1" thickBot="1" x14ac:dyDescent="0.25">
      <c r="A128" s="32" t="s">
        <v>226</v>
      </c>
      <c r="C128" s="68">
        <f>SUM(C118:C127)</f>
        <v>688653.92</v>
      </c>
      <c r="D128" s="68">
        <f>SUM(D118:D127)</f>
        <v>18289.559999999998</v>
      </c>
      <c r="E128" s="68">
        <f>SUM(E118:E127)</f>
        <v>11167</v>
      </c>
      <c r="F128" s="68">
        <f>SUM(F118:F127)</f>
        <v>0</v>
      </c>
      <c r="G128" s="68">
        <f>SUM(G118:G127)</f>
        <v>0</v>
      </c>
      <c r="H128" s="68">
        <f t="shared" si="7"/>
        <v>718110.48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112233.13</v>
      </c>
      <c r="F130" s="92">
        <f>SUM('DOE25'!L375:'DOE25'!L381)</f>
        <v>0</v>
      </c>
      <c r="G130" s="23" t="s">
        <v>288</v>
      </c>
      <c r="H130" s="13">
        <f t="shared" si="7"/>
        <v>112233.13</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926.3</v>
      </c>
      <c r="H134" s="13">
        <f t="shared" si="7"/>
        <v>926.3</v>
      </c>
    </row>
    <row r="135" spans="1:8" x14ac:dyDescent="0.2">
      <c r="A135" t="s">
        <v>233</v>
      </c>
      <c r="B135" s="31" t="s">
        <v>234</v>
      </c>
      <c r="C135" s="73">
        <f>'DOE25'!L264</f>
        <v>18289.560000000001</v>
      </c>
      <c r="D135" s="23" t="s">
        <v>288</v>
      </c>
      <c r="E135" s="92">
        <f>'DOE25'!L346</f>
        <v>0</v>
      </c>
      <c r="F135" s="23" t="s">
        <v>288</v>
      </c>
      <c r="G135" s="23" t="s">
        <v>288</v>
      </c>
      <c r="H135" s="13">
        <f t="shared" si="7"/>
        <v>18289.560000000001</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10601.16</v>
      </c>
      <c r="D138" s="23" t="s">
        <v>288</v>
      </c>
      <c r="E138" s="23" t="s">
        <v>288</v>
      </c>
      <c r="F138" s="23" t="s">
        <v>288</v>
      </c>
      <c r="G138" s="23" t="s">
        <v>288</v>
      </c>
      <c r="H138" s="13">
        <f t="shared" si="7"/>
        <v>10601.16</v>
      </c>
    </row>
    <row r="139" spans="1:8" x14ac:dyDescent="0.2">
      <c r="A139" t="s">
        <v>239</v>
      </c>
      <c r="B139" s="31">
        <v>5252</v>
      </c>
      <c r="C139" s="73">
        <f>'DOE25'!L402</f>
        <v>6834.4400000000005</v>
      </c>
      <c r="D139" s="23" t="s">
        <v>288</v>
      </c>
      <c r="E139" s="23" t="s">
        <v>288</v>
      </c>
      <c r="F139" s="23" t="s">
        <v>288</v>
      </c>
      <c r="G139" s="23" t="s">
        <v>288</v>
      </c>
      <c r="H139" s="13">
        <f t="shared" si="7"/>
        <v>6834.4400000000005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-2435.5999999999985</v>
      </c>
      <c r="D141" s="23" t="s">
        <v>288</v>
      </c>
      <c r="E141" s="23" t="s">
        <v>288</v>
      </c>
      <c r="F141" s="23" t="s">
        <v>288</v>
      </c>
      <c r="G141" s="23" t="s">
        <v>288</v>
      </c>
      <c r="H141" s="13">
        <f t="shared" si="7"/>
        <v>-2435.5999999999985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33289.560000000005</v>
      </c>
      <c r="D144" s="98">
        <f>SUM(D130:D143)</f>
        <v>0</v>
      </c>
      <c r="E144" s="98">
        <f>SUM(E130:E143)</f>
        <v>112233.13</v>
      </c>
      <c r="F144" s="98">
        <f>SUM(F130:F143)</f>
        <v>0</v>
      </c>
      <c r="G144" s="98">
        <f>SUM(G130:G143)</f>
        <v>926.3</v>
      </c>
      <c r="H144" s="98">
        <f t="shared" si="7"/>
        <v>146448.99</v>
      </c>
    </row>
    <row r="145" spans="1:9" ht="12.75" thickTop="1" thickBot="1" x14ac:dyDescent="0.25">
      <c r="A145" s="32" t="s">
        <v>244</v>
      </c>
      <c r="C145" s="68">
        <f>(C115+C128+C144)</f>
        <v>2085485.27</v>
      </c>
      <c r="D145" s="68">
        <f>(D115+D128+D144)</f>
        <v>18289.559999999998</v>
      </c>
      <c r="E145" s="68">
        <f>(E115+E128+E144)</f>
        <v>181467.28</v>
      </c>
      <c r="F145" s="68">
        <f>(F115+F128+F144)</f>
        <v>0</v>
      </c>
      <c r="G145" s="68">
        <f>(G115+G128+G144)</f>
        <v>926.3</v>
      </c>
      <c r="H145" s="68">
        <f t="shared" si="7"/>
        <v>2286168.4099999997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Marlow</v>
      </c>
    </row>
    <row r="3" spans="1:4" x14ac:dyDescent="0.2">
      <c r="B3" s="137" t="s">
        <v>1799</v>
      </c>
    </row>
    <row r="4" spans="1:4" x14ac:dyDescent="0.2">
      <c r="B4" t="s">
        <v>61</v>
      </c>
      <c r="C4" s="129">
        <f>IF('DOE25'!F666+'DOE25'!F671=0,0,ROUND('DOE25'!F673,0))</f>
        <v>20463</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20463</v>
      </c>
    </row>
    <row r="9" spans="1:4" x14ac:dyDescent="0.2">
      <c r="A9" s="136" t="s">
        <v>94</v>
      </c>
      <c r="B9" s="137" t="s">
        <v>1800</v>
      </c>
      <c r="C9" s="131" t="s">
        <v>720</v>
      </c>
      <c r="D9" s="131" t="s">
        <v>721</v>
      </c>
    </row>
    <row r="10" spans="1:4" x14ac:dyDescent="0.2">
      <c r="A10">
        <v>1100</v>
      </c>
      <c r="B10" t="s">
        <v>702</v>
      </c>
      <c r="C10" s="129">
        <f>ROUND('DOE25'!L198+'DOE25'!L216+'DOE25'!L234+'DOE25'!L277+'DOE25'!L296+'DOE25'!L315,0)</f>
        <v>856149</v>
      </c>
      <c r="D10" s="132">
        <f>ROUND((C10/$C$28)*100,1)</f>
        <v>40</v>
      </c>
    </row>
    <row r="11" spans="1:4" x14ac:dyDescent="0.2">
      <c r="A11">
        <v>1200</v>
      </c>
      <c r="B11" t="s">
        <v>703</v>
      </c>
      <c r="C11" s="129">
        <f>ROUND('DOE25'!L199+'DOE25'!L217+'DOE25'!L235+'DOE25'!L278+'DOE25'!L297+'DOE25'!L316,0)</f>
        <v>565460</v>
      </c>
      <c r="D11" s="132">
        <f>ROUND((C11/$C$28)*100,1)</f>
        <v>26.4</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0</v>
      </c>
      <c r="D13" s="132">
        <f>ROUND((C13/$C$28)*100,1)</f>
        <v>0</v>
      </c>
    </row>
    <row r="14" spans="1:4" x14ac:dyDescent="0.2">
      <c r="D14" s="132"/>
    </row>
    <row r="15" spans="1:4" x14ac:dyDescent="0.2">
      <c r="A15">
        <v>2100</v>
      </c>
      <c r="B15" t="s">
        <v>706</v>
      </c>
      <c r="C15" s="129">
        <f>ROUND('DOE25'!L203+'DOE25'!L221+'DOE25'!L239+'DOE25'!L282+'DOE25'!L301+'DOE25'!L320,0)</f>
        <v>66355</v>
      </c>
      <c r="D15" s="132">
        <f t="shared" ref="D15:D27" si="0">ROUND((C15/$C$28)*100,1)</f>
        <v>3.1</v>
      </c>
    </row>
    <row r="16" spans="1:4" x14ac:dyDescent="0.2">
      <c r="A16">
        <v>2200</v>
      </c>
      <c r="B16" t="s">
        <v>707</v>
      </c>
      <c r="C16" s="129">
        <f>ROUND('DOE25'!L204+'DOE25'!L222+'DOE25'!L240+'DOE25'!L283+'DOE25'!L302+'DOE25'!L321,0)</f>
        <v>12665</v>
      </c>
      <c r="D16" s="132">
        <f t="shared" si="0"/>
        <v>0.6</v>
      </c>
    </row>
    <row r="17" spans="1:4" x14ac:dyDescent="0.2">
      <c r="A17" s="133" t="s">
        <v>723</v>
      </c>
      <c r="B17" t="s">
        <v>738</v>
      </c>
      <c r="C17" s="129">
        <f>ROUND('DOE25'!L205+'DOE25'!L210+'DOE25'!L223+'DOE25'!L228+'DOE25'!L241+'DOE25'!L246+'DOE25'!L284+'DOE25'!L289+'DOE25'!L303+'DOE25'!L308+'DOE25'!L322+'DOE25'!L327,0)</f>
        <v>100544</v>
      </c>
      <c r="D17" s="132">
        <f t="shared" si="0"/>
        <v>4.7</v>
      </c>
    </row>
    <row r="18" spans="1:4" x14ac:dyDescent="0.2">
      <c r="A18">
        <v>2400</v>
      </c>
      <c r="B18" t="s">
        <v>711</v>
      </c>
      <c r="C18" s="129">
        <f>ROUND('DOE25'!L206+'DOE25'!L224+'DOE25'!L242+'DOE25'!L285+'DOE25'!L304+'DOE25'!L323,0)</f>
        <v>168738</v>
      </c>
      <c r="D18" s="132">
        <f t="shared" si="0"/>
        <v>7.9</v>
      </c>
    </row>
    <row r="19" spans="1:4" x14ac:dyDescent="0.2">
      <c r="A19">
        <v>2500</v>
      </c>
      <c r="B19" t="s">
        <v>708</v>
      </c>
      <c r="C19" s="129">
        <f>ROUND('DOE25'!L207+'DOE25'!L225+'DOE25'!L243+'DOE25'!L286+'DOE25'!L305+'DOE25'!L324,0)</f>
        <v>5033</v>
      </c>
      <c r="D19" s="132">
        <f t="shared" si="0"/>
        <v>0.2</v>
      </c>
    </row>
    <row r="20" spans="1:4" x14ac:dyDescent="0.2">
      <c r="A20">
        <v>2600</v>
      </c>
      <c r="B20" t="s">
        <v>709</v>
      </c>
      <c r="C20" s="129">
        <f>ROUND('DOE25'!L208+'DOE25'!L226+'DOE25'!L244+'DOE25'!L287+'DOE25'!L306+'DOE25'!L325,0)</f>
        <v>174660</v>
      </c>
      <c r="D20" s="132">
        <f t="shared" si="0"/>
        <v>8.1999999999999993</v>
      </c>
    </row>
    <row r="21" spans="1:4" x14ac:dyDescent="0.2">
      <c r="A21">
        <v>2700</v>
      </c>
      <c r="B21" t="s">
        <v>710</v>
      </c>
      <c r="C21" s="129">
        <f>ROUND('DOE25'!L209+'DOE25'!L227+'DOE25'!L245+'DOE25'!L288+'DOE25'!L307+'DOE25'!L326,0)</f>
        <v>171825</v>
      </c>
      <c r="D21" s="132">
        <f t="shared" si="0"/>
        <v>8</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18290</v>
      </c>
      <c r="D27" s="132">
        <f t="shared" si="0"/>
        <v>0.9</v>
      </c>
    </row>
    <row r="28" spans="1:4" x14ac:dyDescent="0.2">
      <c r="B28" s="136" t="s">
        <v>719</v>
      </c>
      <c r="C28" s="130">
        <f>SUM(C10:C27)</f>
        <v>2139719</v>
      </c>
      <c r="D28" s="134">
        <f>ROUND(SUM(D10:D27),0)</f>
        <v>100</v>
      </c>
    </row>
    <row r="29" spans="1:4" x14ac:dyDescent="0.2">
      <c r="A29">
        <v>4000</v>
      </c>
      <c r="B29" t="s">
        <v>724</v>
      </c>
      <c r="C29" s="129">
        <f>ROUND('DOE25'!L256+'DOE25'!L337+'DOE25'!L375+'DOE25'!L376+'DOE25'!L377+'DOE25'!L378+'DOE25'!L379+'DOE25'!L380+'DOE25'!L381,0)</f>
        <v>112233</v>
      </c>
    </row>
    <row r="30" spans="1:4" x14ac:dyDescent="0.2">
      <c r="B30" s="136" t="s">
        <v>725</v>
      </c>
      <c r="C30" s="130">
        <f>SUM(C28:C29)</f>
        <v>2251952</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1187863</v>
      </c>
      <c r="D35" s="132">
        <f t="shared" ref="D35:D40" si="1">ROUND((C35/$C$41)*100,1)</f>
        <v>52</v>
      </c>
    </row>
    <row r="36" spans="1:4" x14ac:dyDescent="0.2">
      <c r="B36" s="71" t="s">
        <v>739</v>
      </c>
      <c r="C36" s="129">
        <f>SUM('DOE25'!F112:J112)-SUM('DOE25'!G97:G110)+('DOE25'!F175+'DOE25'!F176+'DOE25'!I175+'DOE25'!I176)-C35</f>
        <v>39050.310000000056</v>
      </c>
      <c r="D36" s="132">
        <f t="shared" si="1"/>
        <v>1.7</v>
      </c>
    </row>
    <row r="37" spans="1:4" x14ac:dyDescent="0.2">
      <c r="A37" s="133" t="s">
        <v>834</v>
      </c>
      <c r="B37" s="71" t="s">
        <v>728</v>
      </c>
      <c r="C37" s="129">
        <f>ROUND('DOE25'!F117+'DOE25'!F118,0)</f>
        <v>778262</v>
      </c>
      <c r="D37" s="132">
        <f t="shared" si="1"/>
        <v>34</v>
      </c>
    </row>
    <row r="38" spans="1:4" x14ac:dyDescent="0.2">
      <c r="A38" s="133" t="s">
        <v>734</v>
      </c>
      <c r="B38" s="71" t="s">
        <v>729</v>
      </c>
      <c r="C38" s="129">
        <f>ROUND(SUM('DOE25'!F140:J140)-SUM('DOE25'!F117:F119),0)</f>
        <v>98254</v>
      </c>
      <c r="D38" s="132">
        <f t="shared" si="1"/>
        <v>4.3</v>
      </c>
    </row>
    <row r="39" spans="1:4" x14ac:dyDescent="0.2">
      <c r="A39">
        <v>4000</v>
      </c>
      <c r="B39" s="71" t="s">
        <v>730</v>
      </c>
      <c r="C39" s="129">
        <f>ROUND('DOE25'!F170+'DOE25'!G170+'DOE25'!H170+'DOE25'!I170,0)</f>
        <v>182396</v>
      </c>
      <c r="D39" s="132">
        <f t="shared" si="1"/>
        <v>8</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2285825.31</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Marlow</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v>3</v>
      </c>
      <c r="B4" s="150">
        <v>3</v>
      </c>
      <c r="C4" s="327" t="s">
        <v>1812</v>
      </c>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145</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f>IF('School Level Expenditures'!$B$2=A148,'School Tables'!H148,"")</f>
        <v>145</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2023-10-12T19:01:51Z</dcterms:modified>
</cp:coreProperties>
</file>