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97F34DFD-4608-424A-AE5A-694C0764A0E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0" i="1" l="1"/>
  <c r="F12" i="1" l="1"/>
  <c r="H236" i="1"/>
  <c r="E13" i="17" l="1"/>
  <c r="E9" i="17"/>
  <c r="H155" i="1" l="1"/>
  <c r="H161" i="1"/>
  <c r="H162" i="1"/>
  <c r="H159" i="1"/>
  <c r="F6" i="13" l="1"/>
  <c r="F14" i="13"/>
  <c r="D10" i="14" l="1"/>
  <c r="D9" i="14"/>
  <c r="D8" i="14"/>
  <c r="D7" i="14"/>
  <c r="D6" i="14"/>
  <c r="E10" i="14"/>
  <c r="E9" i="14"/>
  <c r="E8" i="14"/>
  <c r="E7" i="14"/>
  <c r="E6" i="14"/>
  <c r="D26" i="14"/>
  <c r="E26" i="14"/>
  <c r="F15" i="13"/>
  <c r="C37" i="12" l="1"/>
  <c r="C19" i="12"/>
  <c r="H28" i="1" l="1"/>
  <c r="G13" i="1"/>
  <c r="H154" i="1"/>
  <c r="G97" i="1"/>
  <c r="F96" i="1"/>
  <c r="H12" i="1"/>
  <c r="H14" i="1"/>
  <c r="H22" i="1"/>
  <c r="H30" i="1"/>
  <c r="H13" i="1"/>
  <c r="F28" i="1"/>
  <c r="F13" i="1"/>
  <c r="F10" i="1"/>
  <c r="H539" i="1"/>
  <c r="H538" i="1"/>
  <c r="H537" i="1"/>
  <c r="I533" i="1"/>
  <c r="F534" i="1"/>
  <c r="F533" i="1"/>
  <c r="F528" i="1"/>
  <c r="F527" i="1"/>
  <c r="J524" i="1"/>
  <c r="J523" i="1"/>
  <c r="I524" i="1"/>
  <c r="I523" i="1"/>
  <c r="I522" i="1"/>
  <c r="H524" i="1"/>
  <c r="H523" i="1"/>
  <c r="H522" i="1"/>
  <c r="F524" i="1"/>
  <c r="F523" i="1"/>
  <c r="F522" i="1"/>
  <c r="J605" i="1" l="1"/>
  <c r="I605" i="1"/>
  <c r="H605" i="1"/>
  <c r="H596" i="1"/>
  <c r="J596" i="1"/>
  <c r="I596" i="1"/>
  <c r="J594" i="1"/>
  <c r="H593" i="1"/>
  <c r="H592" i="1"/>
  <c r="H580" i="1"/>
  <c r="G580" i="1"/>
  <c r="F580" i="1"/>
  <c r="I327" i="1"/>
  <c r="I308" i="1"/>
  <c r="I289" i="1"/>
  <c r="G327" i="1"/>
  <c r="G308" i="1"/>
  <c r="G289" i="1"/>
  <c r="F327" i="1"/>
  <c r="F308" i="1"/>
  <c r="F289" i="1"/>
  <c r="I361" i="1"/>
  <c r="I360" i="1"/>
  <c r="H369" i="1"/>
  <c r="G369" i="1"/>
  <c r="F369" i="1"/>
  <c r="I359" i="1"/>
  <c r="F361" i="1"/>
  <c r="F360" i="1"/>
  <c r="F359" i="1"/>
  <c r="H235" i="1"/>
  <c r="H217" i="1"/>
  <c r="H199" i="1"/>
  <c r="H209" i="1" l="1"/>
  <c r="F245" i="1"/>
  <c r="F227" i="1"/>
  <c r="F209" i="1"/>
  <c r="I244" i="1"/>
  <c r="I226" i="1"/>
  <c r="I208" i="1"/>
  <c r="H244" i="1"/>
  <c r="H241" i="1"/>
  <c r="H226" i="1"/>
  <c r="H208" i="1"/>
  <c r="F244" i="1"/>
  <c r="F226" i="1"/>
  <c r="F208" i="1"/>
  <c r="H223" i="1"/>
  <c r="H205" i="1"/>
  <c r="J240" i="1"/>
  <c r="J222" i="1"/>
  <c r="I240" i="1"/>
  <c r="I222" i="1"/>
  <c r="I204" i="1"/>
  <c r="F240" i="1"/>
  <c r="F222" i="1"/>
  <c r="F204" i="1"/>
  <c r="J221" i="1"/>
  <c r="I239" i="1"/>
  <c r="I221" i="1"/>
  <c r="I203" i="1"/>
  <c r="H239" i="1"/>
  <c r="H221" i="1"/>
  <c r="H203" i="1"/>
  <c r="F239" i="1"/>
  <c r="F221" i="1"/>
  <c r="F203" i="1"/>
  <c r="K237" i="1"/>
  <c r="H237" i="1"/>
  <c r="J235" i="1"/>
  <c r="J217" i="1"/>
  <c r="I235" i="1"/>
  <c r="I217" i="1"/>
  <c r="I199" i="1"/>
  <c r="F235" i="1"/>
  <c r="F217" i="1"/>
  <c r="F199" i="1"/>
  <c r="I234" i="1"/>
  <c r="I216" i="1"/>
  <c r="I198" i="1"/>
  <c r="F234" i="1"/>
  <c r="F216" i="1"/>
  <c r="F198" i="1"/>
  <c r="P2" i="14"/>
  <c r="O2" i="14"/>
  <c r="Q43" i="14"/>
  <c r="P43" i="14"/>
  <c r="O43" i="14"/>
  <c r="N43" i="14"/>
  <c r="M43" i="14"/>
  <c r="L43" i="14"/>
  <c r="K43" i="14"/>
  <c r="Q33" i="14"/>
  <c r="P33" i="14"/>
  <c r="O33" i="14"/>
  <c r="N33" i="14"/>
  <c r="M33" i="14"/>
  <c r="L33" i="14"/>
  <c r="K33" i="14"/>
  <c r="Q21" i="14"/>
  <c r="P21" i="14"/>
  <c r="O21" i="14"/>
  <c r="N21" i="14"/>
  <c r="M21" i="14"/>
  <c r="L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G36" i="13" l="1"/>
  <c r="G29" i="13"/>
  <c r="B22" i="12" l="1"/>
  <c r="B5" i="14" l="1"/>
  <c r="C5" i="14" s="1"/>
  <c r="F88" i="2" l="1"/>
  <c r="E88" i="2"/>
  <c r="D88" i="2"/>
  <c r="C88" i="2"/>
  <c r="I163" i="1"/>
  <c r="H163" i="1"/>
  <c r="G163" i="1"/>
  <c r="F163" i="1"/>
  <c r="H88" i="2" l="1"/>
  <c r="B31" i="16"/>
  <c r="B27" i="16"/>
  <c r="B9" i="16"/>
  <c r="B5" i="16"/>
  <c r="F42" i="14" l="1"/>
  <c r="F38" i="14" l="1"/>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F24" i="14" l="1"/>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H80" i="2" s="1"/>
  <c r="E80" i="2"/>
  <c r="C85" i="2"/>
  <c r="C87" i="2"/>
  <c r="E87" i="2"/>
  <c r="F87" i="2"/>
  <c r="C89" i="2"/>
  <c r="H89" i="2" s="1"/>
  <c r="D89" i="2"/>
  <c r="E89" i="2"/>
  <c r="F89" i="2"/>
  <c r="C90" i="2"/>
  <c r="H90" i="2" s="1"/>
  <c r="C93" i="2"/>
  <c r="F93" i="2"/>
  <c r="C94" i="2"/>
  <c r="H94" i="2" s="1"/>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C12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44" i="1"/>
  <c r="G645" i="1"/>
  <c r="H653" i="1"/>
  <c r="G654" i="1"/>
  <c r="H654" i="1"/>
  <c r="H655" i="1"/>
  <c r="H656" i="1"/>
  <c r="H101" i="2" l="1"/>
  <c r="H97" i="2"/>
  <c r="H93" i="2"/>
  <c r="H87" i="2"/>
  <c r="H61" i="2"/>
  <c r="H35" i="2"/>
  <c r="H13" i="2"/>
  <c r="H9" i="2"/>
  <c r="H38" i="2"/>
  <c r="H43" i="2"/>
  <c r="F85" i="2"/>
  <c r="H30" i="2"/>
  <c r="H28" i="2"/>
  <c r="H17" i="2"/>
  <c r="H15" i="2"/>
  <c r="H12" i="2"/>
  <c r="H143" i="2"/>
  <c r="H58" i="2"/>
  <c r="H22" i="2"/>
  <c r="H69" i="2"/>
  <c r="D144" i="2"/>
  <c r="H134" i="2"/>
  <c r="H76" i="2"/>
  <c r="H26" i="2"/>
  <c r="H102" i="2"/>
  <c r="H100" i="2"/>
  <c r="H98" i="2"/>
  <c r="C32" i="10"/>
  <c r="D18" i="13"/>
  <c r="C18" i="13" s="1"/>
  <c r="H48" i="2"/>
  <c r="H79" i="2"/>
  <c r="E13" i="13"/>
  <c r="C13" i="13" s="1"/>
  <c r="H34" i="2"/>
  <c r="H132" i="2"/>
  <c r="H36" i="2"/>
  <c r="H42" i="2"/>
  <c r="H44" i="2"/>
  <c r="H99" i="2"/>
  <c r="E121" i="2"/>
  <c r="D78" i="2"/>
  <c r="H77" i="2"/>
  <c r="H29" i="2"/>
  <c r="H21" i="2"/>
  <c r="H11" i="2"/>
  <c r="H27" i="2"/>
  <c r="H23" i="2"/>
  <c r="H8" i="2"/>
  <c r="H59" i="2"/>
  <c r="G646" i="1"/>
  <c r="J652" i="1"/>
  <c r="E125" i="2"/>
  <c r="H125" i="2" s="1"/>
  <c r="E124" i="2"/>
  <c r="G663" i="1"/>
  <c r="E112" i="2"/>
  <c r="D29" i="13"/>
  <c r="C29" i="13" s="1"/>
  <c r="G662" i="1"/>
  <c r="G651" i="1"/>
  <c r="C119" i="2"/>
  <c r="C12" i="10"/>
  <c r="D15" i="13"/>
  <c r="C15" i="13" s="1"/>
  <c r="N2" i="14"/>
  <c r="N3" i="14" s="1"/>
  <c r="M2" i="14"/>
  <c r="M3" i="14" s="1"/>
  <c r="A40" i="12"/>
  <c r="C13" i="10"/>
  <c r="C121" i="2"/>
  <c r="C112" i="2"/>
  <c r="C110" i="2"/>
  <c r="D6" i="13"/>
  <c r="C6" i="13" s="1"/>
  <c r="L2" i="14"/>
  <c r="L3" i="14" s="1"/>
  <c r="K6" i="14"/>
  <c r="K21" i="14" s="1"/>
  <c r="C120" i="2"/>
  <c r="H120" i="2" s="1"/>
  <c r="K2" i="14"/>
  <c r="E119" i="2"/>
  <c r="H409" i="1"/>
  <c r="H645" i="1" s="1"/>
  <c r="G339" i="1"/>
  <c r="G353" i="1" s="1"/>
  <c r="J258" i="1"/>
  <c r="J272" i="1" s="1"/>
  <c r="E123" i="2"/>
  <c r="E110" i="2"/>
  <c r="K339" i="1"/>
  <c r="K353" i="1" s="1"/>
  <c r="J656" i="1"/>
  <c r="J572" i="1"/>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E21" i="14" s="1"/>
  <c r="L615" i="1"/>
  <c r="K599" i="1"/>
  <c r="G648" i="1" s="1"/>
  <c r="K572" i="1"/>
  <c r="L571" i="1"/>
  <c r="H572" i="1"/>
  <c r="L566" i="1"/>
  <c r="I572" i="1"/>
  <c r="K546" i="1"/>
  <c r="C114" i="2"/>
  <c r="H114" i="2" s="1"/>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G42" i="2"/>
  <c r="G50" i="2" s="1"/>
  <c r="J51" i="1"/>
  <c r="G16" i="2"/>
  <c r="G18" i="2" s="1"/>
  <c r="J19" i="1"/>
  <c r="G622" i="1" s="1"/>
  <c r="F546" i="1"/>
  <c r="H435" i="1"/>
  <c r="D103" i="2"/>
  <c r="I140" i="1"/>
  <c r="A22" i="12"/>
  <c r="J653" i="1"/>
  <c r="G572" i="1"/>
  <c r="I435" i="1"/>
  <c r="G435" i="1"/>
  <c r="I664" i="1"/>
  <c r="G637" i="1" l="1"/>
  <c r="I473" i="1"/>
  <c r="L572" i="1"/>
  <c r="H121" i="2"/>
  <c r="H85" i="2"/>
  <c r="H122" i="2"/>
  <c r="B17" i="16"/>
  <c r="B19" i="16" s="1"/>
  <c r="G473" i="1"/>
  <c r="H57" i="2"/>
  <c r="H103" i="2"/>
  <c r="E144" i="2"/>
  <c r="H16" i="2"/>
  <c r="H62" i="2"/>
  <c r="H31" i="2"/>
  <c r="H18" i="2"/>
  <c r="H123" i="2"/>
  <c r="H119" i="2"/>
  <c r="E128" i="2"/>
  <c r="H118" i="2"/>
  <c r="H112" i="2"/>
  <c r="G24" i="14"/>
  <c r="H24" i="14" s="1"/>
  <c r="I24" i="14" s="1"/>
  <c r="I662" i="1"/>
  <c r="D128" i="2"/>
  <c r="D145" i="2" s="1"/>
  <c r="H127" i="2"/>
  <c r="H110" i="2"/>
  <c r="D43" i="14"/>
  <c r="F37" i="14"/>
  <c r="F36" i="14" s="1"/>
  <c r="K3" i="14"/>
  <c r="D21" i="14"/>
  <c r="F5" i="14"/>
  <c r="F4" i="14" s="1"/>
  <c r="F194" i="1"/>
  <c r="H91" i="2"/>
  <c r="C81" i="2"/>
  <c r="H81" i="2" s="1"/>
  <c r="F661" i="1"/>
  <c r="F665" i="1" s="1"/>
  <c r="F670" i="1" s="1"/>
  <c r="E115" i="2"/>
  <c r="H109" i="2"/>
  <c r="F144" i="2"/>
  <c r="H130" i="2"/>
  <c r="H661" i="1"/>
  <c r="H665" i="1" s="1"/>
  <c r="H194" i="1"/>
  <c r="H649" i="1"/>
  <c r="J649" i="1" s="1"/>
  <c r="C141" i="2"/>
  <c r="F51" i="2"/>
  <c r="G36" i="14"/>
  <c r="E104" i="2"/>
  <c r="C36" i="10"/>
  <c r="L435" i="1"/>
  <c r="G104" i="2"/>
  <c r="L339" i="1"/>
  <c r="L353" i="1" s="1"/>
  <c r="I194" i="1"/>
  <c r="G636" i="1"/>
  <c r="G51" i="2"/>
  <c r="D104" i="2"/>
  <c r="L409" i="1"/>
  <c r="J469" i="1" s="1"/>
  <c r="C27" i="10"/>
  <c r="C28" i="10" s="1"/>
  <c r="D23" i="10" s="1"/>
  <c r="G4" i="14"/>
  <c r="L546" i="1"/>
  <c r="F104" i="2"/>
  <c r="B14" i="16"/>
  <c r="E33" i="13"/>
  <c r="D35" i="13" s="1"/>
  <c r="J648" i="1"/>
  <c r="L258" i="1"/>
  <c r="L272" i="1" s="1"/>
  <c r="C115" i="2"/>
  <c r="C63" i="2"/>
  <c r="C39" i="10"/>
  <c r="G33" i="13"/>
  <c r="C128" i="2"/>
  <c r="D31" i="13"/>
  <c r="C31" i="13" s="1"/>
  <c r="I462" i="1"/>
  <c r="H643" i="1" s="1"/>
  <c r="J643" i="1" s="1"/>
  <c r="G661" i="1"/>
  <c r="G665" i="1" s="1"/>
  <c r="C25" i="13"/>
  <c r="I33" i="13"/>
  <c r="K553" i="1"/>
  <c r="G632" i="1"/>
  <c r="G194" i="1"/>
  <c r="G627" i="1"/>
  <c r="J52" i="1"/>
  <c r="H622" i="1" s="1"/>
  <c r="J622" i="1" s="1"/>
  <c r="C38" i="10"/>
  <c r="B22" i="16" l="1"/>
  <c r="H636" i="1"/>
  <c r="J636" i="1" s="1"/>
  <c r="G475" i="1"/>
  <c r="G639" i="1"/>
  <c r="J473" i="1"/>
  <c r="J471" i="1"/>
  <c r="H638" i="1"/>
  <c r="H632" i="1"/>
  <c r="J632" i="1" s="1"/>
  <c r="G634" i="1"/>
  <c r="H473" i="1"/>
  <c r="H637" i="1"/>
  <c r="J637" i="1" s="1"/>
  <c r="I475" i="1"/>
  <c r="G631" i="1"/>
  <c r="I469" i="1"/>
  <c r="G633" i="1"/>
  <c r="F473" i="1"/>
  <c r="G630" i="1"/>
  <c r="H469" i="1"/>
  <c r="G629" i="1"/>
  <c r="G469" i="1"/>
  <c r="G628" i="1"/>
  <c r="F469" i="1"/>
  <c r="M24" i="14"/>
  <c r="H128" i="2"/>
  <c r="C144" i="2"/>
  <c r="C145" i="2" s="1"/>
  <c r="H141" i="2"/>
  <c r="H36" i="14"/>
  <c r="M36" i="14" s="1"/>
  <c r="H4" i="14"/>
  <c r="I4" i="14" s="1"/>
  <c r="C104" i="2"/>
  <c r="H104" i="2" s="1"/>
  <c r="H63"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4" i="1" l="1"/>
  <c r="H475" i="1"/>
  <c r="H639" i="1"/>
  <c r="J639" i="1" s="1"/>
  <c r="J475" i="1"/>
  <c r="J477" i="1" s="1"/>
  <c r="H627" i="1" s="1"/>
  <c r="J627" i="1" s="1"/>
  <c r="J634" i="1"/>
  <c r="J631" i="1"/>
  <c r="I471" i="1"/>
  <c r="I477" i="1" s="1"/>
  <c r="H626" i="1" s="1"/>
  <c r="J626" i="1" s="1"/>
  <c r="H631" i="1"/>
  <c r="F475" i="1"/>
  <c r="H633" i="1"/>
  <c r="J633" i="1" s="1"/>
  <c r="H471" i="1"/>
  <c r="H477" i="1" s="1"/>
  <c r="H630" i="1"/>
  <c r="J630" i="1" s="1"/>
  <c r="G471" i="1"/>
  <c r="G477" i="1" s="1"/>
  <c r="G48" i="1" s="1"/>
  <c r="H629" i="1"/>
  <c r="J629" i="1" s="1"/>
  <c r="F471" i="1"/>
  <c r="H628" i="1"/>
  <c r="J628" i="1" s="1"/>
  <c r="H144" i="2"/>
  <c r="I36" i="14"/>
  <c r="H145" i="2"/>
  <c r="I670" i="1"/>
  <c r="I673" i="1" s="1"/>
  <c r="C7" i="10" s="1"/>
  <c r="F673" i="1"/>
  <c r="C4" i="10" s="1"/>
  <c r="I668" i="1"/>
  <c r="D28" i="10"/>
  <c r="D37" i="10"/>
  <c r="D36" i="10"/>
  <c r="D35" i="10"/>
  <c r="D40" i="10"/>
  <c r="D39" i="10"/>
  <c r="G51" i="1" l="1"/>
  <c r="D47" i="2"/>
  <c r="D50" i="2" s="1"/>
  <c r="D51" i="2" s="1"/>
  <c r="F477" i="1"/>
  <c r="H623" i="1" s="1"/>
  <c r="H625" i="1"/>
  <c r="H48" i="1"/>
  <c r="B33" i="16"/>
  <c r="H624" i="1"/>
  <c r="D41" i="10"/>
  <c r="G624" i="1" l="1"/>
  <c r="J624" i="1" s="1"/>
  <c r="G52" i="1"/>
  <c r="H619" i="1" s="1"/>
  <c r="J619" i="1" s="1"/>
  <c r="F50" i="1"/>
  <c r="F51" i="1" s="1"/>
  <c r="H51" i="1"/>
  <c r="E47" i="2"/>
  <c r="C49" i="2" l="1"/>
  <c r="H49" i="2" s="1"/>
  <c r="H47" i="2"/>
  <c r="E50" i="2"/>
  <c r="E51" i="2" s="1"/>
  <c r="G625" i="1"/>
  <c r="J625" i="1" s="1"/>
  <c r="H52" i="1"/>
  <c r="H620" i="1" s="1"/>
  <c r="J620" i="1" s="1"/>
  <c r="G623" i="1"/>
  <c r="F52" i="1"/>
  <c r="H618" i="1" s="1"/>
  <c r="J618" i="1" s="1"/>
  <c r="C50" i="2" l="1"/>
  <c r="C51" i="2" s="1"/>
  <c r="H51" i="2" s="1"/>
  <c r="J623" i="1"/>
  <c r="H657" i="1"/>
  <c r="H50"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<sst xmlns="http://schemas.openxmlformats.org/spreadsheetml/2006/main" count="6558" uniqueCount="1813">
  <si>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</si>
  <si>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</si>
  <si>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</si>
  <si>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</si>
  <si>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</si>
  <si>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</si>
  <si>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</si>
  <si>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</si>
  <si>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</si>
  <si>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</si>
  <si>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</si>
  <si>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</si>
  <si>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</si>
  <si>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</si>
  <si>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</si>
  <si>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</si>
  <si>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</si>
  <si>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</si>
  <si>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</si>
  <si>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</si>
  <si>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</si>
  <si>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</si>
  <si>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</si>
  <si>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</si>
  <si>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</si>
  <si>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</si>
  <si>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</si>
  <si>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</si>
  <si>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</si>
  <si>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</si>
  <si>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</si>
  <si>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</si>
  <si>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</si>
  <si>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</si>
  <si>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</si>
  <si>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</si>
  <si>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</si>
  <si>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</si>
  <si>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</si>
  <si>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</si>
  <si>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</si>
  <si>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</si>
  <si>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</si>
  <si>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</si>
  <si>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</si>
  <si>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</si>
  <si>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</si>
  <si>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</si>
  <si>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</si>
  <si>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</si>
  <si>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</si>
  <si>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</si>
  <si>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</si>
  <si>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</si>
  <si>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</si>
  <si>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</si>
  <si>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</si>
  <si>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</si>
  <si>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</si>
  <si>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</si>
  <si>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</si>
  <si>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</si>
  <si>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</si>
  <si>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</si>
  <si>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</si>
  <si>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</si>
  <si>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</si>
  <si>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</si>
  <si>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</si>
  <si>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</si>
  <si>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</si>
  <si>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</si>
  <si>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</si>
  <si>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</si>
  <si>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</si>
  <si>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</si>
  <si>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</si>
  <si>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</si>
  <si>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</si>
  <si>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</si>
  <si>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</si>
  <si>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</si>
  <si>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</si>
  <si>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</si>
  <si>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</si>
  <si>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</si>
  <si>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</si>
  <si>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</si>
  <si>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</si>
  <si>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</si>
  <si>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</si>
  <si>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</si>
  <si>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</si>
  <si>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</si>
  <si>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</si>
  <si>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</si>
  <si>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</si>
  <si>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</si>
  <si>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</si>
  <si>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</si>
  <si>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</si>
  <si>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</si>
  <si>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</si>
  <si>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</si>
  <si>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</si>
  <si>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</si>
  <si>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</si>
  <si>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</si>
  <si>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</si>
  <si>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</si>
  <si>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</si>
  <si>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</si>
  <si>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</si>
  <si>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</si>
  <si>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</si>
  <si>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</si>
  <si>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</si>
  <si>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</si>
  <si>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</si>
  <si>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</si>
  <si>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</si>
  <si>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</si>
  <si>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</si>
  <si>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</si>
  <si>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</si>
  <si>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</si>
  <si>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</si>
  <si>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</si>
  <si>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</si>
  <si>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</si>
  <si>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</si>
  <si>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</si>
  <si>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</si>
  <si>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</si>
  <si>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</si>
  <si>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</si>
  <si>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</si>
  <si>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</si>
  <si>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</si>
  <si>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</si>
  <si>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</si>
  <si>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</si>
  <si>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</si>
  <si>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</si>
  <si>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</si>
  <si>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</si>
  <si>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</si>
  <si>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</si>
  <si>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</si>
  <si>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</si>
  <si>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</si>
  <si>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</si>
  <si>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</si>
  <si>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</si>
  <si>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</si>
  <si>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</si>
  <si>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</si>
  <si>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</si>
  <si>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</si>
  <si>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</si>
  <si>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</si>
  <si>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</si>
  <si>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</si>
  <si>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</si>
  <si>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</si>
  <si>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</si>
  <si>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</si>
  <si>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</si>
  <si>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</si>
  <si>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</si>
  <si>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</si>
  <si>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</si>
  <si>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</si>
  <si>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</si>
  <si>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</si>
  <si>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</si>
  <si>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</si>
  <si>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</si>
  <si>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</si>
  <si>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</si>
  <si>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</si>
  <si>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</si>
  <si>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</si>
  <si>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</si>
  <si>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</si>
  <si>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</si>
  <si>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</si>
  <si>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</si>
  <si>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</si>
  <si>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</si>
  <si>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</si>
  <si>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</si>
  <si>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</si>
  <si>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</si>
  <si>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</si>
  <si>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</si>
  <si>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</si>
  <si>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</si>
  <si>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</si>
  <si>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</si>
  <si>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</si>
  <si>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</si>
  <si>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</si>
  <si>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</si>
  <si>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</si>
  <si>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</si>
  <si>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</si>
  <si>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</si>
  <si>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</si>
  <si>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</si>
  <si>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</si>
  <si>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</si>
  <si>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</si>
  <si>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</si>
  <si>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</si>
  <si>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</si>
  <si>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</si>
  <si>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</si>
  <si>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</si>
  <si>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</si>
  <si>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</si>
  <si>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</si>
  <si>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</si>
  <si>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</si>
  <si>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</si>
  <si>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</si>
  <si>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</si>
  <si>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</si>
  <si>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</si>
  <si>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</si>
  <si>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</si>
  <si>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</si>
  <si>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</si>
  <si>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</si>
  <si>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</si>
  <si>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</si>
  <si>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</si>
  <si>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</si>
  <si>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</si>
  <si>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</si>
  <si>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</si>
  <si>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</si>
  <si>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</si>
  <si>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</si>
  <si>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</si>
  <si>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</si>
  <si>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</si>
  <si>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</si>
  <si>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</si>
  <si>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</si>
  <si>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</si>
  <si>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</si>
  <si>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</si>
  <si>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</si>
  <si>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</si>
  <si>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</si>
  <si>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</si>
  <si>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</si>
  <si>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</si>
  <si>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</si>
  <si>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</si>
  <si>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</si>
  <si>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</si>
  <si>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</si>
  <si>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</si>
  <si>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</si>
  <si>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</si>
  <si>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</si>
  <si>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</si>
  <si>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</si>
  <si>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</si>
  <si>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</si>
  <si>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</si>
  <si>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</si>
  <si>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</si>
  <si>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</si>
  <si>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</si>
  <si>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</si>
  <si>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</si>
  <si>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</si>
  <si>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</si>
  <si>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</si>
  <si>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</si>
  <si>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</si>
  <si>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</si>
  <si>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</si>
  <si>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</si>
  <si>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</si>
  <si>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</si>
  <si>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</si>
  <si>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</si>
  <si>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</si>
  <si>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</si>
  <si>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</si>
  <si>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</si>
  <si>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</si>
  <si>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</si>
  <si>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</si>
  <si>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</si>
  <si>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</si>
  <si>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</si>
  <si>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</si>
  <si>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</si>
  <si>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</si>
  <si>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</si>
  <si>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</si>
  <si>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</si>
  <si>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</si>
  <si>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</si>
  <si>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</si>
  <si>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</si>
  <si>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</si>
  <si>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</si>
  <si>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</si>
  <si>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</si>
  <si>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</si>
  <si>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</si>
  <si>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</si>
  <si>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</si>
  <si>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</si>
  <si>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</si>
  <si>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</si>
  <si>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</si>
  <si>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</si>
  <si>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</si>
  <si>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</si>
  <si>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</si>
  <si>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</si>
  <si>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</si>
  <si>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</si>
  <si>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</si>
  <si>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</si>
  <si>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</si>
  <si>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</si>
  <si>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</si>
  <si>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</si>
  <si>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</si>
  <si>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</si>
  <si>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</si>
  <si>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</si>
  <si>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</si>
  <si>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</si>
  <si>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</si>
  <si>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</si>
  <si>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</si>
  <si>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</si>
  <si>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</si>
  <si>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</si>
  <si>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</si>
  <si>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</si>
  <si>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</si>
  <si>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</si>
  <si>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</si>
  <si>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</si>
  <si>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</si>
  <si>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</si>
  <si>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</si>
  <si>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</si>
  <si>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</si>
  <si>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</si>
  <si>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</si>
  <si>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</si>
  <si>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</si>
  <si>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</si>
  <si>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</si>
  <si>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</si>
  <si>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</si>
  <si>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</si>
  <si>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</si>
  <si>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</si>
  <si>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</si>
  <si>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</si>
  <si>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</si>
  <si>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</si>
  <si>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</si>
  <si>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</si>
  <si>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</si>
  <si>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</si>
  <si>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</si>
  <si>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</si>
  <si>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</si>
  <si>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</si>
  <si>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</si>
  <si>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</si>
  <si>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</si>
  <si>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</si>
  <si>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</si>
  <si>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</si>
  <si>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</si>
  <si>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</si>
  <si>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</si>
  <si>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</si>
  <si>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</si>
  <si>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</si>
  <si>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</si>
  <si>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</si>
  <si>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</si>
  <si>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</si>
  <si>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</si>
  <si>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</si>
  <si>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</si>
  <si>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</si>
  <si>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</si>
  <si>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</si>
  <si>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</si>
  <si>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</si>
  <si>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</si>
  <si>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</si>
  <si>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</si>
  <si>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</si>
  <si>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</si>
  <si>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</si>
  <si>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</si>
  <si>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</si>
  <si>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</si>
  <si>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</si>
  <si>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</si>
  <si>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</si>
  <si>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</si>
  <si>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</si>
  <si>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</si>
  <si>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</si>
  <si>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</si>
  <si>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</si>
  <si>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</si>
  <si>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</si>
  <si>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</si>
  <si>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</si>
  <si>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</si>
  <si>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</si>
  <si>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</si>
  <si>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</si>
  <si>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</si>
  <si>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</si>
  <si>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</si>
  <si>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</si>
  <si>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</si>
  <si>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</si>
  <si>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</si>
  <si>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</si>
  <si>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</si>
  <si>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</si>
  <si>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</si>
  <si>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</si>
  <si>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</si>
  <si>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</si>
  <si>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</si>
  <si>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</si>
  <si>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</si>
  <si>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</si>
  <si>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</si>
  <si>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</si>
  <si>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</si>
  <si>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</si>
  <si>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</si>
  <si>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</si>
  <si>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</si>
  <si>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</si>
  <si>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</si>
  <si>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</si>
  <si>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</si>
  <si>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</si>
  <si>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</si>
  <si>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</si>
  <si>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</si>
  <si>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</si>
  <si>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</si>
  <si>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</si>
  <si>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</si>
  <si>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</si>
  <si>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</si>
  <si>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</si>
  <si>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</si>
  <si>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</si>
  <si>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</si>
  <si>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</si>
  <si>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</si>
  <si>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</si>
  <si>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</si>
  <si>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</si>
  <si>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</si>
  <si>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</si>
  <si>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</si>
  <si>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</si>
  <si>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</si>
  <si>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</si>
  <si>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</si>
  <si>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</si>
  <si>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</si>
  <si>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</si>
  <si>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</si>
  <si>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</si>
  <si>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</si>
  <si>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</si>
  <si>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</si>
  <si>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</si>
  <si>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</si>
  <si>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</si>
  <si>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</si>
  <si>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</si>
  <si>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</si>
  <si>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</si>
  <si>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</si>
  <si>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</si>
  <si>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</si>
  <si>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</si>
  <si>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</si>
  <si>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</si>
  <si>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</si>
  <si>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</si>
  <si>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</si>
  <si>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</si>
  <si>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</si>
  <si>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</si>
  <si>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</si>
  <si>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</si>
  <si>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</si>
  <si>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</si>
  <si>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</si>
  <si>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</si>
  <si>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</si>
  <si>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</si>
  <si>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</si>
  <si>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</si>
  <si>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</si>
  <si>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</si>
  <si>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</si>
  <si>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</si>
  <si>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</si>
  <si>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</si>
  <si>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</si>
  <si>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</si>
  <si>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</si>
  <si>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</si>
  <si>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</si>
  <si>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</si>
  <si>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</si>
  <si>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</si>
  <si>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</si>
  <si>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</si>
  <si>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</si>
  <si>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</si>
  <si>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</si>
  <si>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</si>
  <si>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</si>
  <si>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</si>
  <si>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</si>
  <si>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</si>
  <si>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</si>
  <si>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</si>
  <si>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</si>
  <si>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</si>
  <si>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</si>
  <si>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</si>
  <si>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</si>
  <si>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</si>
  <si>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</si>
  <si>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</si>
  <si>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</si>
  <si>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</si>
  <si>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</si>
  <si>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</si>
  <si>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</si>
  <si>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</si>
  <si>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</si>
  <si>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</si>
  <si>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</si>
  <si>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</si>
  <si>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</si>
  <si>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</si>
  <si>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</si>
  <si>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</si>
  <si>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</si>
  <si>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</si>
  <si>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</si>
  <si>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</si>
  <si>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</si>
  <si>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</si>
  <si>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</si>
  <si>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</si>
  <si>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</si>
  <si>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</si>
  <si>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</si>
  <si>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</si>
  <si>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</si>
  <si>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</si>
  <si>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</si>
  <si>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</si>
  <si>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</si>
  <si>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</si>
  <si>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</si>
  <si>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</si>
  <si>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</si>
  <si>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</si>
  <si>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</si>
  <si>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</si>
  <si>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</si>
  <si>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</si>
  <si>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</si>
  <si>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</si>
  <si>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</si>
  <si>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</si>
  <si>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</si>
  <si>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</si>
  <si>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</si>
  <si>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</si>
  <si>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</si>
  <si>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</si>
  <si>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</si>
  <si>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</si>
  <si>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</si>
  <si>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</si>
  <si>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</si>
  <si>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</si>
  <si>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</si>
  <si>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</si>
  <si>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</si>
  <si>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</si>
  <si>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</si>
  <si>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</si>
  <si>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</si>
  <si>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</si>
  <si>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</si>
  <si>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</si>
  <si>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</si>
  <si>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</si>
  <si>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</si>
  <si>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</si>
  <si>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</si>
  <si>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</si>
  <si>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</si>
  <si>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</si>
  <si>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</si>
  <si>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</si>
  <si>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</si>
  <si>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</si>
  <si>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</si>
  <si>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</si>
  <si>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</si>
  <si>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</si>
  <si>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</si>
  <si>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</si>
  <si>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</si>
  <si>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</si>
  <si>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</si>
  <si>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</si>
  <si>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</si>
  <si>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</si>
  <si>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</si>
  <si>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</si>
  <si>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</si>
  <si>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</si>
  <si>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</si>
  <si>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</si>
  <si>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</si>
  <si>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</si>
  <si>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</si>
  <si>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</si>
  <si>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</si>
  <si>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</si>
  <si>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</si>
  <si>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</si>
  <si>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</si>
  <si>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</si>
  <si>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</si>
  <si>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</si>
  <si>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</si>
  <si>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</si>
  <si>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</si>
  <si>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</si>
  <si>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</si>
  <si>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</si>
  <si>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</si>
  <si>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</si>
  <si>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</si>
  <si>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</si>
  <si>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</si>
  <si>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</si>
  <si>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</si>
  <si>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</si>
  <si>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</si>
  <si>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</si>
  <si>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</si>
  <si>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</si>
  <si>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</si>
  <si>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</si>
  <si>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</si>
  <si>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</si>
  <si>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</si>
  <si>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</si>
  <si>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</si>
  <si>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</si>
  <si>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</si>
  <si>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</si>
  <si>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</si>
  <si>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</si>
  <si>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</si>
  <si>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</si>
  <si>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</si>
  <si>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</si>
  <si>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</si>
  <si>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</si>
  <si>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</si>
  <si>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</si>
  <si>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</si>
  <si>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</si>
  <si>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</si>
  <si>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</si>
  <si>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</si>
  <si>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</si>
  <si>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</si>
  <si>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</si>
  <si>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</si>
  <si>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</si>
  <si>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</si>
  <si>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</si>
  <si>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</si>
  <si>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</si>
  <si>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</si>
  <si>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</si>
  <si>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</si>
  <si>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</si>
  <si>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</si>
  <si>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</si>
  <si>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</si>
  <si>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</si>
  <si>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</si>
  <si>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</si>
  <si>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</si>
  <si>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</si>
  <si>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</si>
  <si>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</si>
  <si>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</si>
  <si>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</si>
  <si>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</si>
  <si>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</si>
  <si>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</si>
  <si>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</si>
  <si>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</si>
  <si>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</si>
  <si>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</si>
  <si>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</si>
  <si>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</si>
  <si>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</si>
  <si>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</si>
  <si>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</si>
  <si>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</si>
  <si>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</si>
  <si>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</si>
  <si>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</si>
  <si>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</si>
  <si>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</si>
  <si>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</si>
  <si>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</si>
  <si>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</si>
  <si>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</si>
  <si>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</si>
  <si>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</si>
  <si>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</si>
  <si>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</si>
  <si>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</si>
  <si>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</si>
  <si>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</si>
  <si>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</si>
  <si>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</si>
  <si>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</si>
  <si>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</si>
  <si>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</si>
  <si>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</si>
  <si>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</si>
  <si>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</si>
  <si>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</si>
  <si>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</si>
  <si>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</si>
  <si>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</si>
  <si>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</si>
  <si>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</si>
  <si>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</si>
  <si>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</si>
  <si>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</si>
  <si>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</si>
  <si>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</si>
  <si>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</si>
  <si>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</si>
  <si>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</si>
  <si>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</si>
  <si>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</si>
  <si>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</si>
  <si>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</si>
  <si>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</si>
  <si>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</si>
  <si>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</si>
  <si>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</si>
  <si>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</si>
  <si>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</si>
  <si>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</si>
  <si>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</si>
  <si>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</si>
  <si>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</si>
  <si>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</si>
  <si>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</si>
  <si>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</si>
  <si>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</si>
  <si>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</si>
  <si>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</si>
  <si>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</si>
  <si>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</si>
  <si>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</si>
  <si>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</si>
  <si>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</si>
  <si>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</si>
  <si>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</si>
  <si>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</si>
  <si>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</si>
  <si>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</si>
  <si>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</si>
  <si>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</si>
  <si>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</si>
  <si>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</si>
  <si>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</si>
  <si>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</si>
  <si>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</si>
  <si>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</si>
  <si>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</si>
  <si>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</si>
  <si>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</si>
  <si>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</si>
  <si>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</si>
  <si>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</si>
  <si>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</si>
  <si>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</si>
  <si>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</si>
  <si>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</si>
  <si>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</si>
  <si>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</si>
  <si>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</si>
  <si>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</si>
  <si>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</si>
  <si>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</si>
  <si>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</si>
  <si>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</si>
  <si>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</si>
  <si>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</si>
  <si>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</si>
  <si>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</si>
  <si>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</si>
  <si>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</si>
  <si>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</si>
  <si>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</si>
  <si>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</si>
  <si>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</si>
  <si>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</si>
  <si>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</si>
  <si>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</si>
  <si>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</si>
  <si>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</si>
  <si>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</si>
  <si>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</si>
  <si>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</si>
  <si>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</si>
  <si>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</si>
  <si>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</si>
  <si>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</si>
  <si>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</si>
  <si>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</si>
  <si>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</si>
  <si>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</si>
  <si>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</si>
  <si>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</si>
  <si>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</si>
  <si>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</si>
  <si>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</si>
  <si>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</si>
  <si>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</si>
  <si>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</si>
  <si>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</si>
  <si>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</si>
  <si>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</si>
  <si>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</si>
  <si>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</si>
  <si>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</si>
  <si>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</si>
  <si>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</si>
  <si>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</si>
  <si>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</si>
  <si>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</si>
  <si>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</si>
  <si>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</si>
  <si>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</si>
  <si>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</si>
  <si>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</si>
  <si>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</si>
  <si>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</si>
  <si>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</si>
  <si>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</si>
  <si>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</si>
  <si>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</si>
  <si>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</si>
  <si>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</si>
  <si>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</si>
  <si>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</si>
  <si>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</si>
  <si>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</si>
  <si>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</si>
  <si>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</si>
  <si>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</si>
  <si>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</si>
  <si>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</si>
  <si>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</si>
  <si>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</si>
  <si>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</si>
  <si>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</si>
  <si>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</si>
  <si>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</si>
  <si>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</si>
  <si>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</si>
  <si>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</si>
  <si>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</si>
  <si>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</si>
  <si>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</si>
  <si>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</si>
  <si>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</si>
  <si>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</si>
  <si>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</si>
  <si>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</si>
  <si>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</si>
  <si>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</si>
  <si>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</si>
  <si>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</si>
  <si>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</si>
  <si>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</si>
  <si>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</si>
  <si>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</si>
  <si>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</si>
  <si>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</si>
  <si>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</si>
  <si>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</si>
  <si>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</si>
  <si>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</si>
  <si>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</si>
  <si>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</si>
  <si>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</si>
  <si>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</si>
  <si>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</si>
  <si>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</si>
  <si>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</si>
  <si>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</si>
  <si>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</si>
  <si>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</si>
  <si>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</si>
  <si>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</si>
  <si>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</si>
  <si>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</si>
  <si>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</si>
  <si>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</si>
  <si>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</si>
  <si>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</si>
  <si>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</si>
  <si>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</si>
  <si>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</si>
  <si>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</si>
  <si>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</si>
  <si>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</si>
  <si>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</si>
  <si>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</si>
  <si>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</si>
  <si>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</si>
  <si>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</si>
  <si>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</si>
  <si>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</si>
  <si>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</si>
  <si>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</si>
  <si>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</si>
  <si>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</si>
  <si>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</si>
  <si>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</si>
  <si>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</si>
  <si>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</si>
  <si>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</si>
  <si>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</si>
  <si>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</si>
  <si>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</si>
  <si>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</si>
  <si>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</si>
  <si>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</si>
  <si>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</si>
  <si>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</si>
  <si>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</si>
  <si>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</si>
  <si>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</si>
  <si>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</si>
  <si>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</si>
  <si>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</si>
  <si>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</si>
  <si>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</si>
  <si>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</si>
  <si>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</si>
  <si>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</si>
  <si>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</si>
  <si>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</si>
  <si>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</si>
  <si>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</si>
  <si>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</si>
  <si>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</si>
  <si>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</si>
  <si>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</si>
  <si>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</si>
  <si>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</si>
  <si>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</si>
  <si>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</si>
  <si>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</si>
  <si>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</si>
  <si>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</si>
  <si>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</si>
  <si>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</si>
  <si>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</si>
  <si>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</si>
  <si>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</si>
  <si>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</si>
  <si>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</si>
  <si>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</si>
  <si>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</si>
  <si>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</si>
  <si>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</si>
  <si>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</si>
  <si>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</si>
  <si>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</si>
  <si>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</si>
  <si>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</si>
  <si>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</si>
  <si>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</si>
  <si>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</si>
  <si>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</si>
  <si>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</si>
  <si>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</si>
  <si>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</si>
  <si>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</si>
  <si>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</si>
  <si>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</si>
  <si>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</si>
  <si>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</si>
  <si>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</si>
  <si>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</si>
  <si>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</si>
  <si>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</si>
  <si>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</si>
  <si>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</si>
  <si>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</si>
  <si>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</si>
  <si>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</si>
  <si>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</si>
  <si>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</si>
  <si>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</si>
  <si>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</si>
  <si>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</si>
  <si>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</si>
  <si>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</si>
  <si>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</si>
  <si>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</si>
  <si>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</si>
  <si>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</si>
  <si>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</si>
  <si>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</si>
  <si>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</si>
  <si>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</si>
  <si>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</si>
  <si>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</si>
  <si>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</si>
  <si>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</si>
  <si>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</si>
  <si>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</si>
  <si>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</si>
  <si>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</si>
  <si>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</si>
  <si>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</si>
  <si>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</si>
  <si>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</si>
  <si>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</si>
  <si>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</si>
  <si>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</si>
  <si>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</si>
  <si>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</si>
  <si>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</si>
  <si>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</si>
  <si>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</si>
  <si>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</si>
  <si>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</si>
  <si>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</si>
  <si>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</si>
  <si>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</si>
  <si>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</si>
  <si>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</si>
  <si>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</si>
  <si>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</si>
  <si>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</si>
  <si>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</si>
  <si>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</si>
  <si>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</si>
  <si>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</si>
  <si>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</si>
  <si>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</si>
  <si>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</si>
  <si>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</si>
  <si>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</si>
  <si>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</si>
  <si>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</si>
  <si>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</si>
  <si>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</si>
  <si>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</si>
  <si>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</si>
  <si>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</si>
  <si>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</si>
  <si>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</si>
  <si>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</si>
  <si>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</si>
  <si>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</si>
  <si>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</si>
  <si>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</si>
  <si>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</si>
  <si>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</si>
  <si>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</si>
  <si>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</si>
  <si>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</si>
  <si>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</si>
  <si>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</si>
  <si>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</si>
  <si>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</si>
  <si>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</si>
  <si>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</si>
  <si>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</si>
  <si>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</si>
  <si>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</si>
  <si>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</si>
  <si>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</si>
  <si>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</si>
  <si>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</si>
  <si>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</si>
  <si>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</si>
  <si>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</si>
  <si>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</si>
  <si>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</si>
  <si>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</si>
  <si>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</si>
  <si>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</si>
  <si>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</si>
  <si>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</si>
  <si>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</si>
  <si>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</si>
  <si>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</si>
  <si>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</si>
  <si>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</si>
  <si>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</si>
  <si>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</si>
  <si>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</si>
  <si>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</si>
  <si>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</si>
  <si>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</si>
  <si>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</si>
  <si>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</si>
  <si>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</si>
  <si>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</si>
  <si>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</si>
  <si>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</si>
  <si>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</si>
  <si>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</si>
  <si>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</si>
  <si>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</si>
  <si>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</si>
  <si>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</si>
  <si>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</si>
  <si>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</si>
  <si>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</si>
  <si>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</si>
  <si>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</si>
  <si>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</si>
  <si>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</si>
  <si>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</si>
  <si>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</si>
  <si>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</si>
  <si>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</si>
  <si>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</si>
  <si>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</si>
  <si>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</si>
  <si>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</si>
  <si>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</si>
  <si>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</si>
  <si>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</si>
  <si>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</si>
  <si>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</si>
  <si>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</si>
  <si>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</si>
  <si>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</si>
  <si>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</si>
  <si>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</si>
  <si>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</si>
  <si>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</si>
  <si>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</si>
  <si>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</si>
  <si>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</si>
  <si>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</si>
  <si>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</si>
  <si>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</si>
  <si>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</si>
  <si>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</si>
  <si>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</si>
  <si>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</si>
  <si>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</si>
  <si>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</si>
  <si>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</si>
  <si>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</si>
  <si>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</si>
  <si>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</si>
  <si>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</si>
  <si>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</si>
  <si>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</si>
  <si>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</si>
  <si>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</si>
  <si>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</si>
  <si>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</si>
  <si>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</si>
  <si>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</si>
  <si>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</si>
  <si>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</si>
  <si>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</si>
  <si>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</si>
  <si>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</si>
  <si>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</si>
  <si>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</si>
  <si>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</si>
  <si>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</si>
  <si>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</si>
  <si>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</si>
  <si>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</si>
  <si>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</si>
  <si>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</si>
  <si>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</si>
  <si>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</si>
  <si>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</si>
  <si>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</si>
  <si>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</si>
  <si>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</si>
  <si>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</si>
  <si>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</si>
  <si>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</si>
  <si>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</si>
  <si>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</si>
  <si>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</si>
  <si>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</si>
  <si>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</si>
  <si>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</si>
  <si>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</si>
  <si>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</si>
  <si>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</si>
  <si>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</si>
  <si>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</si>
  <si>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</si>
  <si>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</si>
  <si>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</si>
  <si>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</si>
  <si>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</si>
  <si>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</si>
  <si>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</si>
  <si>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</si>
  <si>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</si>
  <si>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</si>
  <si>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</si>
  <si>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</si>
  <si>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</si>
  <si>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</si>
  <si>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</si>
  <si>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</si>
  <si>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</si>
  <si>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</si>
  <si>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</si>
  <si>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</si>
  <si>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</si>
  <si>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</si>
  <si>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</si>
  <si>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</si>
  <si>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</si>
  <si>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</si>
  <si>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</si>
  <si>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</si>
  <si>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</si>
  <si>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</si>
  <si>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</si>
  <si>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</si>
  <si>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</si>
  <si>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</si>
  <si>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</si>
  <si>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</si>
  <si>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</si>
  <si>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</si>
  <si>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</si>
  <si>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</si>
  <si>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</si>
  <si>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</si>
  <si>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</si>
  <si>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</si>
  <si>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</si>
  <si>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</si>
  <si>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</si>
  <si>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</si>
  <si>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</si>
  <si>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</si>
  <si>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</si>
  <si>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</si>
  <si>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</si>
  <si>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</si>
  <si>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</si>
  <si>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</si>
  <si>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</si>
  <si>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</si>
  <si>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</si>
  <si>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</si>
  <si>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</si>
  <si>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</si>
  <si>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</si>
  <si>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</si>
  <si>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</si>
  <si>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</si>
  <si>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</si>
  <si>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</si>
  <si>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</si>
  <si>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</si>
  <si>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</si>
  <si>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</si>
  <si>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</si>
  <si>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</si>
  <si>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</si>
  <si>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</si>
  <si>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</si>
  <si>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</si>
  <si>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</si>
  <si>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</si>
  <si>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</si>
  <si>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</si>
  <si>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</si>
  <si>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</si>
  <si>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</si>
  <si>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</si>
  <si>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</si>
  <si>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</si>
  <si>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</si>
  <si>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</si>
  <si>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</si>
  <si>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</si>
  <si>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</si>
  <si>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</si>
  <si>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</si>
  <si>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</si>
  <si>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</si>
  <si>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</si>
  <si>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</si>
  <si>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</si>
  <si>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</si>
  <si>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</si>
  <si>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</si>
  <si>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</si>
  <si>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</si>
  <si>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</si>
  <si>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</si>
  <si>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</si>
  <si>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</si>
  <si>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</si>
  <si>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</si>
  <si>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</si>
  <si>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</si>
  <si>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</si>
  <si>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</si>
  <si>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</si>
  <si>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</si>
  <si>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</si>
  <si>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</si>
  <si>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</si>
  <si>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</si>
  <si>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</si>
  <si>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</si>
  <si>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</si>
  <si>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</si>
  <si>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</si>
  <si>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</si>
  <si>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</si>
  <si>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</si>
  <si>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</si>
  <si>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</si>
  <si>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</si>
  <si>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</si>
  <si>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</si>
  <si>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</si>
  <si>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</si>
  <si>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</si>
  <si>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</si>
  <si>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</si>
  <si>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</si>
  <si>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</si>
  <si>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</si>
  <si>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</si>
  <si>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</si>
  <si>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</si>
  <si>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</si>
  <si>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</si>
  <si>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</si>
  <si>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</si>
  <si>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</si>
  <si>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</si>
  <si>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</si>
  <si>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</si>
  <si>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</si>
  <si>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</si>
  <si>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</si>
  <si>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</si>
  <si>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</si>
  <si>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</si>
  <si>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</si>
  <si>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</si>
  <si>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</si>
  <si>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</si>
  <si>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</si>
  <si>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</si>
  <si>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</si>
  <si>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</si>
  <si>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</si>
  <si>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</si>
  <si>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</si>
  <si>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</si>
  <si>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</si>
  <si>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</si>
  <si>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</si>
  <si>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</si>
  <si>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</si>
  <si>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</si>
  <si>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</si>
  <si>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</si>
  <si>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</si>
  <si>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</si>
  <si>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</si>
  <si>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</si>
  <si>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</si>
  <si>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</si>
  <si>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</si>
  <si>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</si>
  <si>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</si>
  <si>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</si>
  <si>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</si>
  <si>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</si>
  <si>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</si>
  <si>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</si>
  <si>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</si>
  <si>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</si>
  <si>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</si>
  <si>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</si>
  <si>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</si>
  <si>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</si>
  <si>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</si>
  <si>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</si>
  <si>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</si>
  <si>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</si>
  <si>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</si>
  <si>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</si>
  <si>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</si>
  <si>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</si>
  <si>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</si>
  <si>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</si>
  <si>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</si>
  <si>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</si>
  <si>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</si>
  <si>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</si>
  <si>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</si>
  <si>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</si>
  <si>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</si>
  <si>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</si>
  <si>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</si>
  <si>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</si>
  <si>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</si>
  <si>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</si>
  <si>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</si>
  <si>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</si>
  <si>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</si>
  <si>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</si>
  <si>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</si>
  <si>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</si>
  <si>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</si>
  <si>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</si>
  <si>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</si>
  <si>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</si>
  <si>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</si>
  <si>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</si>
  <si>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</si>
  <si>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</si>
  <si>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</si>
  <si>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</si>
  <si>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</si>
  <si>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</si>
  <si>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</si>
  <si>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</si>
  <si>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</si>
  <si>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</si>
  <si>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</si>
  <si>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</si>
  <si>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</si>
  <si>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</si>
  <si>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</si>
  <si>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</si>
  <si>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</si>
  <si>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</si>
  <si>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</si>
  <si>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</si>
  <si>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</si>
  <si>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</si>
  <si>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</si>
  <si>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</si>
  <si>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</si>
  <si>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</si>
  <si>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</si>
  <si>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</si>
  <si>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</si>
  <si>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</si>
  <si>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</si>
  <si>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</si>
  <si>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</si>
  <si>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</si>
  <si>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</si>
  <si>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</si>
  <si>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</si>
  <si>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</si>
  <si>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</si>
  <si>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</si>
  <si>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</si>
  <si>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</si>
  <si>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</si>
  <si>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</si>
  <si>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</si>
  <si>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</si>
  <si>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</si>
  <si>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</si>
  <si>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</si>
  <si>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</si>
  <si>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</si>
  <si>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</si>
  <si>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</si>
  <si>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</si>
  <si>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</si>
  <si>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</si>
  <si>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</si>
  <si>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</si>
  <si>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</si>
  <si>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</si>
  <si>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</si>
  <si>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</si>
  <si>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</si>
  <si>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</si>
  <si>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</si>
  <si>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</si>
  <si>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</si>
  <si>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</si>
  <si>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</si>
  <si>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</si>
  <si>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</si>
  <si>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</si>
  <si>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</si>
  <si>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</si>
  <si>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</si>
  <si>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</si>
  <si>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</si>
  <si>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</si>
  <si>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</si>
  <si>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</si>
  <si>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</si>
  <si>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</si>
  <si>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</si>
  <si>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</si>
  <si>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</si>
  <si>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</si>
  <si>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</si>
  <si>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</si>
  <si>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</si>
  <si>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</si>
  <si>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</si>
  <si>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</si>
  <si>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</si>
  <si>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</si>
  <si>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</si>
  <si>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</si>
  <si>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</si>
  <si>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</si>
  <si>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</si>
  <si>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</si>
  <si>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</si>
  <si>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</si>
  <si>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</si>
  <si>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</si>
  <si>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</si>
  <si>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</si>
  <si>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</si>
  <si>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</si>
  <si>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</si>
  <si>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</si>
  <si>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</si>
  <si>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</si>
  <si>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</si>
  <si>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</si>
  <si>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</si>
  <si>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</si>
  <si>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</si>
  <si>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</si>
  <si>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</si>
  <si>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</si>
  <si>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</si>
  <si>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</si>
  <si>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</si>
  <si>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</si>
  <si>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</si>
  <si>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</si>
  <si>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</si>
  <si>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</si>
  <si>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</si>
  <si>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</si>
  <si>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</si>
  <si>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</si>
  <si>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</si>
  <si>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</si>
  <si>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</si>
  <si>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</si>
  <si>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</si>
  <si>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</si>
  <si>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</si>
  <si>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</si>
  <si>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</si>
  <si>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</si>
  <si>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</si>
  <si>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</si>
  <si>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</si>
  <si>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</si>
  <si>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</si>
  <si>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</si>
  <si>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</si>
  <si>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</si>
  <si>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</si>
  <si>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</si>
  <si>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</si>
  <si>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</si>
  <si>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</si>
  <si>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</si>
  <si>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</si>
  <si>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</si>
  <si>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</si>
  <si>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</si>
  <si>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</si>
  <si>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</si>
  <si>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</si>
  <si>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</si>
  <si>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</si>
  <si>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</si>
  <si>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</si>
  <si>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</si>
  <si>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</si>
  <si>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</si>
  <si>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</si>
  <si>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</si>
  <si>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</si>
  <si>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</si>
  <si>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</si>
  <si>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</si>
  <si>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</si>
  <si>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</si>
  <si>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</si>
  <si>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</si>
  <si>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</si>
  <si>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</si>
  <si>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</si>
  <si>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</si>
  <si>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</si>
  <si>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</si>
  <si>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</si>
  <si>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</si>
  <si>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</si>
  <si>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</si>
  <si>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</si>
  <si>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</si>
  <si>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</si>
  <si>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</si>
  <si>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</si>
  <si>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</si>
  <si>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</si>
  <si>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</si>
  <si>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</si>
  <si>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</si>
  <si>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</si>
  <si>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</si>
  <si>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</si>
  <si>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</si>
  <si>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</si>
  <si>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</si>
  <si>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</si>
  <si>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</si>
  <si>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</si>
  <si>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</si>
  <si>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</si>
  <si>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</si>
  <si>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</si>
  <si>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</si>
  <si>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</si>
  <si>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</si>
  <si>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</si>
  <si>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</si>
  <si>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</si>
  <si>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</si>
  <si>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</si>
  <si>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</si>
  <si>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</si>
  <si>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</si>
  <si>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</si>
  <si>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</si>
  <si>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</si>
  <si>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</si>
  <si>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</si>
  <si>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</si>
  <si>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</si>
  <si>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</si>
  <si>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</si>
  <si>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</si>
  <si>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</si>
  <si>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</si>
  <si>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</si>
  <si>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</si>
  <si>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</si>
  <si>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</si>
  <si>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</si>
  <si>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</si>
  <si>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</si>
  <si>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</si>
  <si>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</si>
  <si>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</si>
  <si>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</si>
  <si>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</si>
  <si>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</si>
  <si>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</si>
  <si>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</si>
  <si>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</si>
  <si>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</si>
  <si>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</si>
  <si>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</si>
  <si>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</si>
  <si>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</si>
  <si>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</si>
  <si>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</si>
  <si>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</si>
  <si>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</si>
  <si>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</si>
  <si>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</si>
  <si>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</si>
  <si>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</si>
  <si>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</si>
  <si>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</si>
  <si>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</si>
  <si>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</si>
  <si>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</si>
  <si>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</si>
  <si>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</si>
  <si>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</si>
  <si>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</si>
  <si>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</si>
  <si>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</si>
  <si>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</si>
  <si>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</si>
  <si>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</si>
  <si>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</si>
  <si>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</si>
  <si>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</si>
  <si>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</si>
  <si>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</si>
  <si>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</si>
  <si>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</si>
  <si>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</si>
  <si>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</si>
  <si>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</si>
  <si>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</si>
  <si>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</si>
  <si>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</si>
  <si>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</si>
  <si>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</si>
  <si>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</si>
  <si>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</si>
  <si>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</si>
  <si>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</si>
  <si>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</si>
  <si>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</si>
  <si>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</si>
  <si>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</si>
  <si>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</si>
  <si>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</si>
  <si>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</si>
  <si>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</si>
  <si>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</si>
  <si>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</si>
  <si>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</si>
  <si>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</si>
  <si>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</si>
  <si>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</si>
  <si>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</si>
  <si>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</si>
  <si>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</si>
  <si>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</si>
  <si>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</si>
  <si>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</si>
  <si>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</si>
  <si>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</si>
  <si>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</si>
  <si>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</si>
  <si>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</si>
  <si>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</si>
  <si>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Audit difference PY fund 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</si>
</sst>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120" zoomScaleNormal="12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1242</v>
      </c>
      <c r="B2">
        <f>INDEX('School Tables'!$AH$3:$AH$209,MATCH('DOE25'!A2,'School Tables'!$AJ$3:$AJ$209,0))</f>
        <v>352</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714466</v>
      </c>
      <c r="G9" s="18">
        <v>1032355</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f>2543+35186</f>
        <v>37729</v>
      </c>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1754421</f>
        <v>1754421</v>
      </c>
      <c r="G12" s="18"/>
      <c r="H12" s="18">
        <f>155187+14524</f>
        <v>169711</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587464-126606-100</f>
        <v>460758</v>
      </c>
      <c r="G13" s="18">
        <f>446520-485449</f>
        <v>-38929</v>
      </c>
      <c r="H13" s="18">
        <f>1215792-53458-4235+1964-11505</f>
        <v>1148558</v>
      </c>
      <c r="I13" s="18"/>
      <c r="J13" s="13">
        <f>SUM(I443)</f>
        <v>1595919</v>
      </c>
      <c r="K13" s="23" t="s">
        <v>288</v>
      </c>
      <c r="L13" s="23" t="s">
        <v>288</v>
      </c>
      <c r="M13" s="8"/>
      <c r="N13" s="165"/>
    </row>
    <row r="14" spans="1:14" s="3" customFormat="1" ht="12.2" customHeight="1" x14ac:dyDescent="0.15">
      <c r="A14" s="1" t="s">
        <v>565</v>
      </c>
      <c r="B14" s="2" t="s">
        <v>289</v>
      </c>
      <c r="C14" s="6">
        <v>6</v>
      </c>
      <c r="D14" s="2" t="s">
        <v>428</v>
      </c>
      <c r="E14" s="6">
        <v>150</v>
      </c>
      <c r="F14" s="18">
        <v>4433</v>
      </c>
      <c r="G14" s="18"/>
      <c r="H14" s="18">
        <f>14790+123</f>
        <v>14913</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14390</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2971807</v>
      </c>
      <c r="G19" s="38">
        <f>SUM(G9:G18)</f>
        <v>1007816</v>
      </c>
      <c r="H19" s="38">
        <f>SUM(H9:H18)</f>
        <v>1333182</v>
      </c>
      <c r="I19" s="38">
        <f>SUM(I9:I18)</f>
        <v>0</v>
      </c>
      <c r="J19" s="38">
        <f>SUM(J9:J18)</f>
        <v>1595919</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v>723184</v>
      </c>
      <c r="H22" s="18">
        <f>1200920+28</f>
        <v>1200948</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248359</v>
      </c>
      <c r="G24" s="18">
        <v>15892</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-66004-83378+116247-17064+2193957-1009-492-353693-12566+1972+15+3012-16317-200</f>
        <v>1764480</v>
      </c>
      <c r="G28" s="18">
        <v>1</v>
      </c>
      <c r="H28" s="18">
        <f>-14431+13006</f>
        <v>-1425</v>
      </c>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445017.04</v>
      </c>
      <c r="G30" s="18"/>
      <c r="H30" s="18">
        <f>64144+4778</f>
        <v>68922</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2457856.04</v>
      </c>
      <c r="G32" s="38">
        <f>SUM(G22:G31)</f>
        <v>739077</v>
      </c>
      <c r="H32" s="38">
        <f>SUM(H22:H31)</f>
        <v>1268445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f>G477</f>
        <v>268739</v>
      </c>
      <c r="H48" s="18">
        <f>H477</f>
        <v>64737</v>
      </c>
      <c r="I48" s="18"/>
      <c r="J48" s="13">
        <f>SUM(I460)</f>
        <v>1595919</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F477</f>
        <v>513950.96000000089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513950.96000000089</v>
      </c>
      <c r="G51" s="38">
        <f>SUM(G35:G50)</f>
        <v>268739</v>
      </c>
      <c r="H51" s="38">
        <f>SUM(H35:H50)</f>
        <v>64737</v>
      </c>
      <c r="I51" s="38">
        <f>SUM(I35:I50)</f>
        <v>0</v>
      </c>
      <c r="J51" s="38">
        <f>SUM(J35:J50)</f>
        <v>1595919</v>
      </c>
      <c r="K51" s="42" t="s">
        <v>288</v>
      </c>
      <c r="L51" s="42" t="s">
        <v>288</v>
      </c>
      <c r="N51" s="131"/>
    </row>
    <row r="52" spans="1:14" s="3" customFormat="1" ht="12.2" customHeight="1" thickTop="1" x14ac:dyDescent="0.15">
      <c r="A52" s="35" t="s">
        <v>455</v>
      </c>
      <c r="B52" s="36" t="s">
        <v>289</v>
      </c>
      <c r="C52" s="6">
        <v>37</v>
      </c>
      <c r="D52" s="36" t="s">
        <v>653</v>
      </c>
      <c r="E52" s="36"/>
      <c r="F52" s="38">
        <f>F51+F32</f>
        <v>2971807.0000000009</v>
      </c>
      <c r="G52" s="38">
        <f>G51+G32</f>
        <v>1007816</v>
      </c>
      <c r="H52" s="38">
        <f>H51+H32</f>
        <v>1333182</v>
      </c>
      <c r="I52" s="38">
        <f>I51+I32</f>
        <v>0</v>
      </c>
      <c r="J52" s="38">
        <f>J51+J32</f>
        <v>1595919</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26482023</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26482023</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10213</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1072063</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141831</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1224107</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969</f>
        <v>969</v>
      </c>
      <c r="G96" s="18">
        <v>1388</v>
      </c>
      <c r="H96" s="18"/>
      <c r="I96" s="18"/>
      <c r="J96" s="18">
        <v>46150</v>
      </c>
      <c r="K96" s="23" t="s">
        <v>288</v>
      </c>
      <c r="L96" s="23" t="s">
        <v>288</v>
      </c>
      <c r="M96" s="8"/>
      <c r="N96" s="165"/>
    </row>
    <row r="97" spans="1:14" s="3" customFormat="1" ht="12.2" customHeight="1" x14ac:dyDescent="0.15">
      <c r="A97" s="1" t="s">
        <v>503</v>
      </c>
      <c r="B97" s="2" t="s">
        <v>315</v>
      </c>
      <c r="C97" s="6">
        <v>12</v>
      </c>
      <c r="D97" s="2" t="s">
        <v>430</v>
      </c>
      <c r="E97" s="6">
        <v>1600</v>
      </c>
      <c r="F97" s="23" t="s">
        <v>288</v>
      </c>
      <c r="G97" s="18">
        <f>-244+51101+36627+44263+19416+17888+147519+318780+11433</f>
        <v>646783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26110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44178</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98419+6435.23+0.39</f>
        <v>104854.62</v>
      </c>
      <c r="G110" s="18">
        <v>15810</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131933.62</v>
      </c>
      <c r="G111" s="38">
        <f>SUM(G96:G110)</f>
        <v>663981</v>
      </c>
      <c r="H111" s="38">
        <f>SUM(H96:H110)</f>
        <v>44178</v>
      </c>
      <c r="I111" s="38">
        <f>SUM(I96:I110)</f>
        <v>0</v>
      </c>
      <c r="J111" s="38">
        <f>SUM(J96:J110)</f>
        <v>46150</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27838063.620000001</v>
      </c>
      <c r="G112" s="38">
        <f>G60+G111</f>
        <v>663981</v>
      </c>
      <c r="H112" s="38">
        <f>H60+H79+H94+H111</f>
        <v>44178</v>
      </c>
      <c r="I112" s="38">
        <f>I60+I111</f>
        <v>0</v>
      </c>
      <c r="J112" s="38">
        <f>J60+J111</f>
        <v>46150</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11056368.460000001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2303942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36308.230000000003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13396618.690000001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385558.65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27509</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70234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413067.65</v>
      </c>
      <c r="G136" s="38">
        <f>SUM(G123:G135)</f>
        <v>70234</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13809686.340000002</v>
      </c>
      <c r="G140" s="38">
        <f>G121+SUM(G136:G137)</f>
        <v>70234</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23537+406270</f>
        <v>429807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65951+152+43358+79903</f>
        <v>189364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494374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1322+17900+13986+2077+61766+125239+10901+424591</f>
        <v>657782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605794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f>113555+7979+10790+162727+1940+4338+4178+2154+1343+15435+21453+36601+13415+4562+22336</f>
        <v>422806</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1293783+284096</f>
        <v>1577879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605794</v>
      </c>
      <c r="G163" s="38">
        <f>SUM(G150:G162)</f>
        <v>494374</v>
      </c>
      <c r="H163" s="38">
        <f>SUM(H150:H162)</f>
        <v>3277638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605794</v>
      </c>
      <c r="G170" s="38">
        <f>G147+G163+SUM(G164:G169)</f>
        <v>494374</v>
      </c>
      <c r="H170" s="38">
        <f>H147+H163+SUM(H164:H169)</f>
        <v>3277638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300000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300000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300000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42253543.960000001</v>
      </c>
      <c r="G194" s="38">
        <f>G112+G140+G170+G193</f>
        <v>1228589</v>
      </c>
      <c r="H194" s="38">
        <f>H112+H140+H170+H193</f>
        <v>3321816</v>
      </c>
      <c r="I194" s="38">
        <f>I112+I140+I170+I193</f>
        <v>0</v>
      </c>
      <c r="J194" s="38">
        <f>J112+J140+J193</f>
        <v>346150</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4660452+280725</f>
        <v>4941177</v>
      </c>
      <c r="G198" s="18">
        <v>1969700</v>
      </c>
      <c r="H198" s="18">
        <v>3927</v>
      </c>
      <c r="I198" s="18">
        <f>112558+45228</f>
        <v>157786</v>
      </c>
      <c r="J198" s="18">
        <v>21666</v>
      </c>
      <c r="K198" s="18"/>
      <c r="L198" s="13">
        <f>SUM(F198:K198)</f>
        <v>7094256</v>
      </c>
      <c r="M198" s="8"/>
      <c r="N198" s="165"/>
    </row>
    <row r="199" spans="1:14" s="3" customFormat="1" ht="12.2" customHeight="1" x14ac:dyDescent="0.15">
      <c r="A199" s="1" t="s">
        <v>439</v>
      </c>
      <c r="B199" s="2" t="s">
        <v>341</v>
      </c>
      <c r="C199" s="2" t="s">
        <v>291</v>
      </c>
      <c r="D199" s="2" t="s">
        <v>431</v>
      </c>
      <c r="E199" s="6">
        <v>1200</v>
      </c>
      <c r="F199" s="18">
        <f>2520192+75796</f>
        <v>2595988</v>
      </c>
      <c r="G199" s="18">
        <v>825437</v>
      </c>
      <c r="H199" s="18">
        <f>561063+92508</f>
        <v>653571</v>
      </c>
      <c r="I199" s="18">
        <f>1859+1274</f>
        <v>3133</v>
      </c>
      <c r="J199" s="18">
        <v>484</v>
      </c>
      <c r="K199" s="18"/>
      <c r="L199" s="13">
        <f>SUM(F199:K199)</f>
        <v>4078613</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61073</v>
      </c>
      <c r="G201" s="18">
        <v>45707</v>
      </c>
      <c r="H201" s="18">
        <v>4390</v>
      </c>
      <c r="I201" s="18"/>
      <c r="J201" s="18"/>
      <c r="K201" s="18">
        <v>129</v>
      </c>
      <c r="L201" s="13">
        <f>SUM(F201:K201)</f>
        <v>111299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813545+631537</f>
        <v>1445082</v>
      </c>
      <c r="G203" s="18">
        <v>628659</v>
      </c>
      <c r="H203" s="18">
        <f>391627+18476</f>
        <v>410103</v>
      </c>
      <c r="I203" s="18">
        <f>6186+3786</f>
        <v>9972</v>
      </c>
      <c r="J203" s="18">
        <v>35</v>
      </c>
      <c r="K203" s="18">
        <v>1254</v>
      </c>
      <c r="L203" s="13">
        <f t="shared" ref="L203:L209" si="0">SUM(F203:K203)</f>
        <v>2495105</v>
      </c>
      <c r="M203" s="8"/>
      <c r="N203" s="165"/>
    </row>
    <row r="204" spans="1:14" s="3" customFormat="1" ht="12.2" customHeight="1" x14ac:dyDescent="0.15">
      <c r="A204" s="1" t="s">
        <v>443</v>
      </c>
      <c r="B204" s="2" t="s">
        <v>341</v>
      </c>
      <c r="C204" s="2" t="s">
        <v>295</v>
      </c>
      <c r="D204" s="2" t="s">
        <v>431</v>
      </c>
      <c r="E204" s="6">
        <v>2200</v>
      </c>
      <c r="F204" s="18">
        <f>71772+182445</f>
        <v>254217</v>
      </c>
      <c r="G204" s="18">
        <v>123707</v>
      </c>
      <c r="H204" s="18">
        <v>16252</v>
      </c>
      <c r="I204" s="18">
        <f>6809+53733</f>
        <v>60542</v>
      </c>
      <c r="J204" s="18">
        <v>103887</v>
      </c>
      <c r="K204" s="18"/>
      <c r="L204" s="13">
        <f t="shared" si="0"/>
        <v>558605</v>
      </c>
      <c r="M204" s="8"/>
      <c r="N204" s="165"/>
    </row>
    <row r="205" spans="1:14" s="3" customFormat="1" ht="12.2" customHeight="1" x14ac:dyDescent="0.15">
      <c r="A205" s="1" t="s">
        <v>444</v>
      </c>
      <c r="B205" s="2" t="s">
        <v>341</v>
      </c>
      <c r="C205" s="2" t="s">
        <v>296</v>
      </c>
      <c r="D205" s="2" t="s">
        <v>431</v>
      </c>
      <c r="E205" s="6">
        <v>2300</v>
      </c>
      <c r="F205" s="18">
        <v>9583</v>
      </c>
      <c r="G205" s="18">
        <v>796</v>
      </c>
      <c r="H205" s="18">
        <f>3733+52552+352955</f>
        <v>409240</v>
      </c>
      <c r="I205" s="18">
        <v>1783</v>
      </c>
      <c r="J205" s="18"/>
      <c r="K205" s="18">
        <v>2617</v>
      </c>
      <c r="L205" s="13">
        <f t="shared" si="0"/>
        <v>424019</v>
      </c>
      <c r="M205" s="8"/>
      <c r="N205" s="165"/>
    </row>
    <row r="206" spans="1:14" s="3" customFormat="1" ht="12.2" customHeight="1" x14ac:dyDescent="0.15">
      <c r="A206" s="1" t="s">
        <v>445</v>
      </c>
      <c r="B206" s="2" t="s">
        <v>341</v>
      </c>
      <c r="C206" s="2" t="s">
        <v>297</v>
      </c>
      <c r="D206" s="2" t="s">
        <v>431</v>
      </c>
      <c r="E206" s="6">
        <v>2400</v>
      </c>
      <c r="F206" s="18">
        <v>717669</v>
      </c>
      <c r="G206" s="18">
        <v>283034</v>
      </c>
      <c r="H206" s="18">
        <v>32426</v>
      </c>
      <c r="I206" s="18"/>
      <c r="J206" s="18">
        <v>33945</v>
      </c>
      <c r="K206" s="18">
        <v>4620</v>
      </c>
      <c r="L206" s="13">
        <f t="shared" si="0"/>
        <v>1071694</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f>307331+361737</f>
        <v>669068</v>
      </c>
      <c r="G208" s="18">
        <v>230300</v>
      </c>
      <c r="H208" s="18">
        <f>214086+214852</f>
        <v>428938</v>
      </c>
      <c r="I208" s="18">
        <f>502194+111688</f>
        <v>613882</v>
      </c>
      <c r="J208" s="18">
        <v>37306</v>
      </c>
      <c r="K208" s="18"/>
      <c r="L208" s="13">
        <f t="shared" si="0"/>
        <v>1979494</v>
      </c>
      <c r="M208" s="8"/>
      <c r="N208" s="165"/>
    </row>
    <row r="209" spans="1:14" s="3" customFormat="1" ht="12.2" customHeight="1" x14ac:dyDescent="0.15">
      <c r="A209" s="1" t="s">
        <v>448</v>
      </c>
      <c r="B209" s="2" t="s">
        <v>341</v>
      </c>
      <c r="C209" s="2" t="s">
        <v>300</v>
      </c>
      <c r="D209" s="2" t="s">
        <v>431</v>
      </c>
      <c r="E209" s="6">
        <v>2700</v>
      </c>
      <c r="F209" s="18">
        <f>9687+464544</f>
        <v>474231</v>
      </c>
      <c r="G209" s="18">
        <v>123969</v>
      </c>
      <c r="H209" s="18">
        <f>422034+67854</f>
        <v>489888</v>
      </c>
      <c r="I209" s="18">
        <v>81446</v>
      </c>
      <c r="J209" s="18">
        <v>115972</v>
      </c>
      <c r="K209" s="18">
        <v>281</v>
      </c>
      <c r="L209" s="13">
        <f t="shared" si="0"/>
        <v>1285787</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11168088</v>
      </c>
      <c r="G212" s="38">
        <f t="shared" si="1"/>
        <v>4231309</v>
      </c>
      <c r="H212" s="38">
        <f t="shared" si="1"/>
        <v>2448735</v>
      </c>
      <c r="I212" s="38">
        <f t="shared" si="1"/>
        <v>928544</v>
      </c>
      <c r="J212" s="38">
        <f t="shared" si="1"/>
        <v>313295</v>
      </c>
      <c r="K212" s="38">
        <f t="shared" si="1"/>
        <v>8901</v>
      </c>
      <c r="L212" s="38">
        <f t="shared" si="1"/>
        <v>19098872</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f>2400810+141453</f>
        <v>2542263</v>
      </c>
      <c r="G216" s="18">
        <v>992501</v>
      </c>
      <c r="H216" s="18">
        <v>3059</v>
      </c>
      <c r="I216" s="18">
        <f>30678+22790</f>
        <v>53468</v>
      </c>
      <c r="J216" s="18">
        <v>33463</v>
      </c>
      <c r="K216" s="18"/>
      <c r="L216" s="13">
        <f>SUM(F216:K216)</f>
        <v>3624754</v>
      </c>
      <c r="M216" s="8"/>
      <c r="N216" s="165"/>
    </row>
    <row r="217" spans="1:14" s="3" customFormat="1" ht="12.2" customHeight="1" x14ac:dyDescent="0.15">
      <c r="A217" s="1" t="s">
        <v>439</v>
      </c>
      <c r="B217" s="2" t="s">
        <v>346</v>
      </c>
      <c r="C217" s="2" t="s">
        <v>291</v>
      </c>
      <c r="D217" s="2" t="s">
        <v>431</v>
      </c>
      <c r="E217" s="6">
        <v>1200</v>
      </c>
      <c r="F217" s="18">
        <f>949839+38193</f>
        <v>988032</v>
      </c>
      <c r="G217" s="18">
        <v>415925</v>
      </c>
      <c r="H217" s="18">
        <f>565056+46613</f>
        <v>611669</v>
      </c>
      <c r="I217" s="18">
        <f>2745+642</f>
        <v>3387</v>
      </c>
      <c r="J217" s="18">
        <f>99+244</f>
        <v>343</v>
      </c>
      <c r="K217" s="18"/>
      <c r="L217" s="13">
        <f>SUM(F217:K217)</f>
        <v>2019356</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76845</v>
      </c>
      <c r="G219" s="18">
        <v>23031</v>
      </c>
      <c r="H219" s="18">
        <v>2212</v>
      </c>
      <c r="I219" s="18">
        <v>18152</v>
      </c>
      <c r="J219" s="18"/>
      <c r="K219" s="18">
        <v>65</v>
      </c>
      <c r="L219" s="13">
        <f>SUM(F219:K219)</f>
        <v>120305</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f>415618+318222</f>
        <v>733840</v>
      </c>
      <c r="G221" s="18">
        <v>316771</v>
      </c>
      <c r="H221" s="18">
        <f>146227+9310</f>
        <v>155537</v>
      </c>
      <c r="I221" s="18">
        <f>2251+1908</f>
        <v>4159</v>
      </c>
      <c r="J221" s="18">
        <f>212+18</f>
        <v>230</v>
      </c>
      <c r="K221" s="18">
        <v>632</v>
      </c>
      <c r="L221" s="13">
        <f t="shared" ref="L221:L227" si="2">SUM(F221:K221)</f>
        <v>1211169</v>
      </c>
      <c r="M221" s="8"/>
      <c r="N221" s="165"/>
    </row>
    <row r="222" spans="1:14" s="3" customFormat="1" ht="12.2" customHeight="1" x14ac:dyDescent="0.15">
      <c r="A222" s="1" t="s">
        <v>443</v>
      </c>
      <c r="B222" s="2" t="s">
        <v>346</v>
      </c>
      <c r="C222" s="2" t="s">
        <v>295</v>
      </c>
      <c r="D222" s="2" t="s">
        <v>431</v>
      </c>
      <c r="E222" s="6">
        <v>2200</v>
      </c>
      <c r="F222" s="18">
        <f>88102+91931</f>
        <v>180033</v>
      </c>
      <c r="G222" s="18">
        <v>62334</v>
      </c>
      <c r="H222" s="18">
        <v>8189</v>
      </c>
      <c r="I222" s="18">
        <f>13497+27075</f>
        <v>40572</v>
      </c>
      <c r="J222" s="18">
        <f>113+52347</f>
        <v>52460</v>
      </c>
      <c r="K222" s="18"/>
      <c r="L222" s="13">
        <f t="shared" si="2"/>
        <v>343588</v>
      </c>
      <c r="M222" s="8"/>
      <c r="N222" s="165"/>
    </row>
    <row r="223" spans="1:14" s="3" customFormat="1" ht="12.2" customHeight="1" x14ac:dyDescent="0.15">
      <c r="A223" s="1" t="s">
        <v>444</v>
      </c>
      <c r="B223" s="2" t="s">
        <v>346</v>
      </c>
      <c r="C223" s="2" t="s">
        <v>296</v>
      </c>
      <c r="D223" s="2" t="s">
        <v>431</v>
      </c>
      <c r="E223" s="6">
        <v>2300</v>
      </c>
      <c r="F223" s="18">
        <v>4829</v>
      </c>
      <c r="G223" s="18">
        <v>401</v>
      </c>
      <c r="H223" s="18">
        <f>2901+26480+177848</f>
        <v>207229</v>
      </c>
      <c r="I223" s="18">
        <v>898</v>
      </c>
      <c r="J223" s="18"/>
      <c r="K223" s="18">
        <v>1318</v>
      </c>
      <c r="L223" s="13">
        <f t="shared" si="2"/>
        <v>214675</v>
      </c>
      <c r="M223" s="8"/>
      <c r="N223" s="165"/>
    </row>
    <row r="224" spans="1:14" s="3" customFormat="1" ht="12.2" customHeight="1" x14ac:dyDescent="0.15">
      <c r="A224" s="1" t="s">
        <v>445</v>
      </c>
      <c r="B224" s="2" t="s">
        <v>346</v>
      </c>
      <c r="C224" s="2" t="s">
        <v>297</v>
      </c>
      <c r="D224" s="2" t="s">
        <v>431</v>
      </c>
      <c r="E224" s="6">
        <v>2400</v>
      </c>
      <c r="F224" s="18">
        <v>299183</v>
      </c>
      <c r="G224" s="18">
        <v>142616</v>
      </c>
      <c r="H224" s="18">
        <v>7686</v>
      </c>
      <c r="I224" s="18"/>
      <c r="J224" s="18">
        <v>17104</v>
      </c>
      <c r="K224" s="18">
        <v>2044</v>
      </c>
      <c r="L224" s="13">
        <f t="shared" si="2"/>
        <v>468633</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f>102758+182273</f>
        <v>285031</v>
      </c>
      <c r="G226" s="18">
        <v>116044</v>
      </c>
      <c r="H226" s="18">
        <f>101986+108261</f>
        <v>210247</v>
      </c>
      <c r="I226" s="18">
        <f>113655+56278</f>
        <v>169933</v>
      </c>
      <c r="J226" s="18">
        <v>18798</v>
      </c>
      <c r="K226" s="18"/>
      <c r="L226" s="13">
        <f t="shared" si="2"/>
        <v>800053</v>
      </c>
      <c r="M226" s="8"/>
      <c r="N226" s="165"/>
    </row>
    <row r="227" spans="1:14" s="3" customFormat="1" ht="12.2" customHeight="1" x14ac:dyDescent="0.15">
      <c r="A227" s="1" t="s">
        <v>448</v>
      </c>
      <c r="B227" s="2" t="s">
        <v>346</v>
      </c>
      <c r="C227" s="2" t="s">
        <v>300</v>
      </c>
      <c r="D227" s="2" t="s">
        <v>431</v>
      </c>
      <c r="E227" s="6">
        <v>2700</v>
      </c>
      <c r="F227" s="18">
        <f>7164+234077</f>
        <v>241241</v>
      </c>
      <c r="G227" s="18">
        <v>62466</v>
      </c>
      <c r="H227" s="18">
        <v>34191</v>
      </c>
      <c r="I227" s="18">
        <v>41039</v>
      </c>
      <c r="J227" s="18">
        <v>58437</v>
      </c>
      <c r="K227" s="18">
        <v>142</v>
      </c>
      <c r="L227" s="13">
        <f t="shared" si="2"/>
        <v>437516</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5351297</v>
      </c>
      <c r="G230" s="38">
        <f>SUM(G216:G229)</f>
        <v>2132089</v>
      </c>
      <c r="H230" s="38">
        <f>SUM(H216:H229)</f>
        <v>1240019</v>
      </c>
      <c r="I230" s="38">
        <f>SUM(I216:I229)</f>
        <v>331608</v>
      </c>
      <c r="J230" s="38">
        <f>SUM(J216:J229)</f>
        <v>180835</v>
      </c>
      <c r="K230" s="38">
        <f t="shared" si="3"/>
        <v>4201</v>
      </c>
      <c r="L230" s="38">
        <f t="shared" si="3"/>
        <v>9240049</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f>2498632+230312</f>
        <v>2728944</v>
      </c>
      <c r="G234" s="18">
        <v>1615976</v>
      </c>
      <c r="H234" s="18">
        <v>4500</v>
      </c>
      <c r="I234" s="18">
        <f>72628+37106</f>
        <v>109734</v>
      </c>
      <c r="J234" s="18">
        <v>25838</v>
      </c>
      <c r="K234" s="18"/>
      <c r="L234" s="13">
        <f>SUM(F234:K234)</f>
        <v>4484992</v>
      </c>
      <c r="M234" s="8"/>
      <c r="N234" s="165"/>
    </row>
    <row r="235" spans="1:14" s="3" customFormat="1" ht="12.2" customHeight="1" x14ac:dyDescent="0.15">
      <c r="A235" s="1" t="s">
        <v>439</v>
      </c>
      <c r="B235" s="2" t="s">
        <v>350</v>
      </c>
      <c r="C235" s="2" t="s">
        <v>291</v>
      </c>
      <c r="D235" s="2" t="s">
        <v>431</v>
      </c>
      <c r="E235" s="6">
        <v>1200</v>
      </c>
      <c r="F235" s="18">
        <f>1171408+62185</f>
        <v>1233593</v>
      </c>
      <c r="G235" s="18">
        <v>677203</v>
      </c>
      <c r="H235" s="18">
        <f>350352+75895</f>
        <v>426247</v>
      </c>
      <c r="I235" s="18">
        <f>3202+1045</f>
        <v>4247</v>
      </c>
      <c r="J235" s="18">
        <f>90+397</f>
        <v>487</v>
      </c>
      <c r="K235" s="18"/>
      <c r="L235" s="13">
        <f>SUM(F235:K235)</f>
        <v>2341777</v>
      </c>
      <c r="M235" s="8"/>
      <c r="N235" s="165"/>
    </row>
    <row r="236" spans="1:14" s="3" customFormat="1" ht="12.2" customHeight="1" x14ac:dyDescent="0.15">
      <c r="A236" s="1" t="s">
        <v>440</v>
      </c>
      <c r="B236" s="2" t="s">
        <v>350</v>
      </c>
      <c r="C236" s="2" t="s">
        <v>292</v>
      </c>
      <c r="D236" s="2" t="s">
        <v>431</v>
      </c>
      <c r="E236" s="6">
        <v>1300</v>
      </c>
      <c r="F236" s="18"/>
      <c r="G236" s="18"/>
      <c r="H236" s="18">
        <f>320086+27509</f>
        <v>347595</v>
      </c>
      <c r="I236" s="18"/>
      <c r="J236" s="18"/>
      <c r="K236" s="18"/>
      <c r="L236" s="13">
        <f>SUM(F236:K236)</f>
        <v>347595</v>
      </c>
      <c r="M236" s="8"/>
      <c r="N236" s="165"/>
    </row>
    <row r="237" spans="1:14" s="3" customFormat="1" ht="12.2" customHeight="1" x14ac:dyDescent="0.15">
      <c r="A237" s="1" t="s">
        <v>441</v>
      </c>
      <c r="B237" s="2" t="s">
        <v>350</v>
      </c>
      <c r="C237" s="2" t="s">
        <v>293</v>
      </c>
      <c r="D237" s="2" t="s">
        <v>431</v>
      </c>
      <c r="E237" s="6">
        <v>1400</v>
      </c>
      <c r="F237" s="18">
        <v>308021</v>
      </c>
      <c r="G237" s="18">
        <v>37499</v>
      </c>
      <c r="H237" s="18">
        <f>36664+3602</f>
        <v>40266</v>
      </c>
      <c r="I237" s="18">
        <v>55849</v>
      </c>
      <c r="J237" s="18">
        <v>19075</v>
      </c>
      <c r="K237" s="18">
        <f>5305+106</f>
        <v>5411</v>
      </c>
      <c r="L237" s="13">
        <f>SUM(F237:K237)</f>
        <v>466121</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f>563089+518124</f>
        <v>1081213</v>
      </c>
      <c r="G239" s="18">
        <v>515763</v>
      </c>
      <c r="H239" s="18">
        <f>232404+15158</f>
        <v>247562</v>
      </c>
      <c r="I239" s="18">
        <f>6596+3106</f>
        <v>9702</v>
      </c>
      <c r="J239" s="18">
        <v>29</v>
      </c>
      <c r="K239" s="18">
        <v>1029</v>
      </c>
      <c r="L239" s="13">
        <f t="shared" ref="L239:L245" si="4">SUM(F239:K239)</f>
        <v>1855298</v>
      </c>
      <c r="M239" s="8"/>
      <c r="N239" s="165"/>
    </row>
    <row r="240" spans="1:14" s="3" customFormat="1" ht="12.2" customHeight="1" x14ac:dyDescent="0.15">
      <c r="A240" s="1" t="s">
        <v>443</v>
      </c>
      <c r="B240" s="2" t="s">
        <v>350</v>
      </c>
      <c r="C240" s="2" t="s">
        <v>295</v>
      </c>
      <c r="D240" s="2" t="s">
        <v>431</v>
      </c>
      <c r="E240" s="6">
        <v>2200</v>
      </c>
      <c r="F240" s="18">
        <f>82684+149681</f>
        <v>232365</v>
      </c>
      <c r="G240" s="18">
        <v>101492</v>
      </c>
      <c r="H240" s="18">
        <v>13334</v>
      </c>
      <c r="I240" s="18">
        <f>11271+44083</f>
        <v>55354</v>
      </c>
      <c r="J240" s="18">
        <f>1240+85231</f>
        <v>86471</v>
      </c>
      <c r="K240" s="18"/>
      <c r="L240" s="13">
        <f t="shared" si="4"/>
        <v>489016</v>
      </c>
      <c r="M240" s="8"/>
      <c r="N240" s="165"/>
    </row>
    <row r="241" spans="1:14" s="3" customFormat="1" ht="12.2" customHeight="1" x14ac:dyDescent="0.15">
      <c r="A241" s="1" t="s">
        <v>444</v>
      </c>
      <c r="B241" s="2" t="s">
        <v>350</v>
      </c>
      <c r="C241" s="2" t="s">
        <v>296</v>
      </c>
      <c r="D241" s="2" t="s">
        <v>431</v>
      </c>
      <c r="E241" s="6">
        <v>2300</v>
      </c>
      <c r="F241" s="18">
        <v>7862</v>
      </c>
      <c r="G241" s="18">
        <v>653</v>
      </c>
      <c r="H241" s="18">
        <f>1668+43115+289570</f>
        <v>334353</v>
      </c>
      <c r="I241" s="18">
        <v>1463</v>
      </c>
      <c r="J241" s="18"/>
      <c r="K241" s="18">
        <v>2147</v>
      </c>
      <c r="L241" s="13">
        <f t="shared" si="4"/>
        <v>346478</v>
      </c>
      <c r="M241" s="8"/>
      <c r="N241" s="165"/>
    </row>
    <row r="242" spans="1:14" s="3" customFormat="1" ht="12.2" customHeight="1" x14ac:dyDescent="0.15">
      <c r="A242" s="1" t="s">
        <v>445</v>
      </c>
      <c r="B242" s="2" t="s">
        <v>350</v>
      </c>
      <c r="C242" s="2" t="s">
        <v>297</v>
      </c>
      <c r="D242" s="2" t="s">
        <v>431</v>
      </c>
      <c r="E242" s="6">
        <v>2400</v>
      </c>
      <c r="F242" s="18">
        <v>488545</v>
      </c>
      <c r="G242" s="18">
        <v>232206</v>
      </c>
      <c r="H242" s="18">
        <v>11552</v>
      </c>
      <c r="I242" s="18"/>
      <c r="J242" s="18">
        <v>27849</v>
      </c>
      <c r="K242" s="18">
        <v>46909</v>
      </c>
      <c r="L242" s="13">
        <f t="shared" si="4"/>
        <v>807061</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f>259019+296775</f>
        <v>555794</v>
      </c>
      <c r="G244" s="18">
        <v>188942</v>
      </c>
      <c r="H244" s="18">
        <f>126029+176269</f>
        <v>302298</v>
      </c>
      <c r="I244" s="18">
        <f>169472+91631</f>
        <v>261103</v>
      </c>
      <c r="J244" s="18">
        <v>30606</v>
      </c>
      <c r="K244" s="18"/>
      <c r="L244" s="13">
        <f t="shared" si="4"/>
        <v>1338743</v>
      </c>
      <c r="M244" s="8"/>
      <c r="N244" s="165"/>
    </row>
    <row r="245" spans="1:14" s="3" customFormat="1" ht="12.2" customHeight="1" x14ac:dyDescent="0.15">
      <c r="A245" s="1" t="s">
        <v>448</v>
      </c>
      <c r="B245" s="2" t="s">
        <v>350</v>
      </c>
      <c r="C245" s="2" t="s">
        <v>300</v>
      </c>
      <c r="D245" s="2" t="s">
        <v>431</v>
      </c>
      <c r="E245" s="6">
        <v>2700</v>
      </c>
      <c r="F245" s="18">
        <f>24699+381120</f>
        <v>405819</v>
      </c>
      <c r="G245" s="18">
        <v>101707</v>
      </c>
      <c r="H245" s="18">
        <v>55669</v>
      </c>
      <c r="I245" s="18">
        <v>66819</v>
      </c>
      <c r="J245" s="18">
        <v>95145</v>
      </c>
      <c r="K245" s="18">
        <v>231</v>
      </c>
      <c r="L245" s="13">
        <f t="shared" si="4"/>
        <v>725390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7042156</v>
      </c>
      <c r="G248" s="38">
        <f t="shared" si="5"/>
        <v>3471441</v>
      </c>
      <c r="H248" s="38">
        <f t="shared" si="5"/>
        <v>1783376</v>
      </c>
      <c r="I248" s="38">
        <f t="shared" si="5"/>
        <v>564271</v>
      </c>
      <c r="J248" s="38">
        <f t="shared" si="5"/>
        <v>285500</v>
      </c>
      <c r="K248" s="38">
        <f t="shared" si="5"/>
        <v>55727</v>
      </c>
      <c r="L248" s="38">
        <f t="shared" si="5"/>
        <v>13202471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v>680373</v>
      </c>
      <c r="K256" s="18"/>
      <c r="L256" s="13">
        <f t="shared" si="6"/>
        <v>680373</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680373</v>
      </c>
      <c r="K257" s="38">
        <f t="shared" si="7"/>
        <v>0</v>
      </c>
      <c r="L257" s="38">
        <f>SUM(F257:K257)</f>
        <v>680373</v>
      </c>
      <c r="M257" s="8"/>
      <c r="N257" s="165"/>
    </row>
    <row r="258" spans="1:14" s="3" customFormat="1" ht="12.2" customHeight="1" thickTop="1" x14ac:dyDescent="0.15">
      <c r="A258" s="35" t="s">
        <v>462</v>
      </c>
      <c r="B258" s="37">
        <v>10</v>
      </c>
      <c r="C258" s="37">
        <v>8</v>
      </c>
      <c r="D258" s="36" t="s">
        <v>431</v>
      </c>
      <c r="E258" s="37"/>
      <c r="F258" s="38">
        <f t="shared" ref="F258:L258" si="8">F212+F230+F248+F257</f>
        <v>23561541</v>
      </c>
      <c r="G258" s="38">
        <f t="shared" si="8"/>
        <v>9834839</v>
      </c>
      <c r="H258" s="38">
        <f t="shared" si="8"/>
        <v>5472130</v>
      </c>
      <c r="I258" s="38">
        <f t="shared" si="8"/>
        <v>1824423</v>
      </c>
      <c r="J258" s="38">
        <f t="shared" si="8"/>
        <v>1460003</v>
      </c>
      <c r="K258" s="38">
        <f t="shared" si="8"/>
        <v>68829</v>
      </c>
      <c r="L258" s="38">
        <f t="shared" si="8"/>
        <v>42221765</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300000</v>
      </c>
      <c r="L267" s="13">
        <f t="shared" si="9"/>
        <v>300000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300000</v>
      </c>
      <c r="L271" s="38">
        <f t="shared" si="9"/>
        <v>300000</v>
      </c>
      <c r="M271" s="8"/>
      <c r="N271" s="165"/>
    </row>
    <row r="272" spans="1:14" s="33" customFormat="1" ht="12.2" customHeight="1" thickTop="1" x14ac:dyDescent="0.2">
      <c r="A272" s="40" t="s">
        <v>464</v>
      </c>
      <c r="B272" s="37">
        <v>10</v>
      </c>
      <c r="C272" s="37">
        <v>18</v>
      </c>
      <c r="D272" s="36" t="s">
        <v>431</v>
      </c>
      <c r="E272" s="37"/>
      <c r="F272" s="39">
        <f t="shared" ref="F272:L272" si="11">F258+F271</f>
        <v>23561541</v>
      </c>
      <c r="G272" s="39">
        <f t="shared" si="11"/>
        <v>9834839</v>
      </c>
      <c r="H272" s="39">
        <f t="shared" si="11"/>
        <v>5472130</v>
      </c>
      <c r="I272" s="39">
        <f t="shared" si="11"/>
        <v>1824423</v>
      </c>
      <c r="J272" s="39">
        <f t="shared" si="11"/>
        <v>1460003</v>
      </c>
      <c r="K272" s="39">
        <f t="shared" si="11"/>
        <v>368829</v>
      </c>
      <c r="L272" s="39">
        <f t="shared" si="11"/>
        <v>42521765</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102643</v>
      </c>
      <c r="G277" s="18">
        <v>57125</v>
      </c>
      <c r="H277" s="18">
        <v>69536</v>
      </c>
      <c r="I277" s="18">
        <v>49673</v>
      </c>
      <c r="J277" s="18">
        <v>112977</v>
      </c>
      <c r="K277" s="18"/>
      <c r="L277" s="13">
        <f>SUM(F277:K277)</f>
        <v>391954</v>
      </c>
      <c r="M277" s="8"/>
      <c r="N277" s="165"/>
    </row>
    <row r="278" spans="1:14" s="3" customFormat="1" ht="12.2" customHeight="1" x14ac:dyDescent="0.15">
      <c r="A278" s="1" t="s">
        <v>439</v>
      </c>
      <c r="B278" s="2" t="s">
        <v>357</v>
      </c>
      <c r="C278" s="2" t="s">
        <v>291</v>
      </c>
      <c r="D278" s="2" t="s">
        <v>431</v>
      </c>
      <c r="E278" s="6">
        <v>1200</v>
      </c>
      <c r="F278" s="18">
        <v>187702</v>
      </c>
      <c r="G278" s="18">
        <v>96658</v>
      </c>
      <c r="H278" s="18">
        <v>32546</v>
      </c>
      <c r="I278" s="18">
        <v>20700</v>
      </c>
      <c r="J278" s="18">
        <v>6151</v>
      </c>
      <c r="K278" s="18">
        <v>1313</v>
      </c>
      <c r="L278" s="13">
        <f>SUM(F278:K278)</f>
        <v>345070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6793</v>
      </c>
      <c r="G280" s="18">
        <v>1610</v>
      </c>
      <c r="H280" s="18">
        <v>1837</v>
      </c>
      <c r="I280" s="18">
        <v>7430</v>
      </c>
      <c r="J280" s="18"/>
      <c r="K280" s="18">
        <v>772</v>
      </c>
      <c r="L280" s="13">
        <f>SUM(F280:K280)</f>
        <v>18442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24052</v>
      </c>
      <c r="G282" s="18">
        <v>9876</v>
      </c>
      <c r="H282" s="18"/>
      <c r="I282" s="18"/>
      <c r="J282" s="18"/>
      <c r="K282" s="18"/>
      <c r="L282" s="13">
        <f t="shared" ref="L282:L288" si="12">SUM(F282:K282)</f>
        <v>33928</v>
      </c>
      <c r="M282" s="8"/>
      <c r="N282" s="165"/>
    </row>
    <row r="283" spans="1:14" s="3" customFormat="1" ht="12.2" customHeight="1" x14ac:dyDescent="0.15">
      <c r="A283" s="1" t="s">
        <v>443</v>
      </c>
      <c r="B283" s="2" t="s">
        <v>357</v>
      </c>
      <c r="C283" s="2" t="s">
        <v>295</v>
      </c>
      <c r="D283" s="2" t="s">
        <v>431</v>
      </c>
      <c r="E283" s="6">
        <v>2200</v>
      </c>
      <c r="F283" s="18">
        <v>62955</v>
      </c>
      <c r="G283" s="18">
        <v>25773</v>
      </c>
      <c r="H283" s="18">
        <v>56456</v>
      </c>
      <c r="I283" s="18">
        <v>454</v>
      </c>
      <c r="J283" s="18"/>
      <c r="K283" s="18"/>
      <c r="L283" s="13">
        <f t="shared" si="12"/>
        <v>145638</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v>14130</v>
      </c>
      <c r="G286" s="18"/>
      <c r="H286" s="18"/>
      <c r="I286" s="18"/>
      <c r="J286" s="18"/>
      <c r="K286" s="18"/>
      <c r="L286" s="13">
        <f t="shared" si="12"/>
        <v>14130</v>
      </c>
      <c r="M286" s="8"/>
      <c r="N286" s="165"/>
    </row>
    <row r="287" spans="1:14" s="3" customFormat="1" ht="12.2" customHeight="1" x14ac:dyDescent="0.15">
      <c r="A287" s="1" t="s">
        <v>447</v>
      </c>
      <c r="B287" s="2" t="s">
        <v>357</v>
      </c>
      <c r="C287" s="2" t="s">
        <v>299</v>
      </c>
      <c r="D287" s="2" t="s">
        <v>431</v>
      </c>
      <c r="E287" s="6">
        <v>2600</v>
      </c>
      <c r="F287" s="18"/>
      <c r="G287" s="18"/>
      <c r="H287" s="18"/>
      <c r="I287" s="18"/>
      <c r="J287" s="18">
        <v>34920</v>
      </c>
      <c r="K287" s="18"/>
      <c r="L287" s="13">
        <f t="shared" si="12"/>
        <v>34920</v>
      </c>
      <c r="M287" s="8"/>
      <c r="N287" s="165"/>
    </row>
    <row r="288" spans="1:14" s="3" customFormat="1" ht="12.2" customHeight="1" x14ac:dyDescent="0.15">
      <c r="A288" s="1" t="s">
        <v>448</v>
      </c>
      <c r="B288" s="2" t="s">
        <v>357</v>
      </c>
      <c r="C288" s="2" t="s">
        <v>300</v>
      </c>
      <c r="D288" s="2" t="s">
        <v>431</v>
      </c>
      <c r="E288" s="6">
        <v>2700</v>
      </c>
      <c r="F288" s="18"/>
      <c r="G288" s="18"/>
      <c r="H288" s="18">
        <v>3392</v>
      </c>
      <c r="I288" s="18"/>
      <c r="J288" s="18"/>
      <c r="K288" s="18"/>
      <c r="L288" s="13">
        <f t="shared" si="12"/>
        <v>3392</v>
      </c>
      <c r="M288" s="8"/>
      <c r="N288" s="165"/>
    </row>
    <row r="289" spans="1:14" s="3" customFormat="1" ht="12.2" customHeight="1" x14ac:dyDescent="0.15">
      <c r="A289" s="1" t="s">
        <v>449</v>
      </c>
      <c r="B289" s="2" t="s">
        <v>357</v>
      </c>
      <c r="C289" s="2" t="s">
        <v>343</v>
      </c>
      <c r="D289" s="2" t="s">
        <v>431</v>
      </c>
      <c r="E289" s="6">
        <v>2800</v>
      </c>
      <c r="F289" s="18">
        <f>1936+1634</f>
        <v>3570</v>
      </c>
      <c r="G289" s="18">
        <f>447+125</f>
        <v>572</v>
      </c>
      <c r="H289" s="18"/>
      <c r="I289" s="18">
        <f>215+15586</f>
        <v>15801</v>
      </c>
      <c r="J289" s="18"/>
      <c r="K289" s="18"/>
      <c r="L289" s="13">
        <f>SUM(F289:K289)</f>
        <v>19943</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401845</v>
      </c>
      <c r="G291" s="39">
        <f t="shared" si="13"/>
        <v>191614</v>
      </c>
      <c r="H291" s="39">
        <f t="shared" si="13"/>
        <v>163767</v>
      </c>
      <c r="I291" s="39">
        <f t="shared" si="13"/>
        <v>94058</v>
      </c>
      <c r="J291" s="39">
        <f t="shared" si="13"/>
        <v>154048</v>
      </c>
      <c r="K291" s="39">
        <f t="shared" si="13"/>
        <v>2085</v>
      </c>
      <c r="L291" s="38">
        <f t="shared" si="13"/>
        <v>1007417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51720</v>
      </c>
      <c r="G296" s="18">
        <v>28785</v>
      </c>
      <c r="H296" s="18">
        <v>35038</v>
      </c>
      <c r="I296" s="18">
        <v>25030</v>
      </c>
      <c r="J296" s="18">
        <v>56927</v>
      </c>
      <c r="K296" s="18"/>
      <c r="L296" s="13">
        <f>SUM(F296:K296)</f>
        <v>197500</v>
      </c>
      <c r="M296" s="8"/>
      <c r="N296" s="165"/>
    </row>
    <row r="297" spans="1:14" s="3" customFormat="1" ht="12.2" customHeight="1" x14ac:dyDescent="0.15">
      <c r="A297" s="1" t="s">
        <v>439</v>
      </c>
      <c r="B297" s="2" t="s">
        <v>358</v>
      </c>
      <c r="C297" s="2" t="s">
        <v>291</v>
      </c>
      <c r="D297" s="2" t="s">
        <v>431</v>
      </c>
      <c r="E297" s="6">
        <v>1200</v>
      </c>
      <c r="F297" s="18">
        <v>94580</v>
      </c>
      <c r="G297" s="18">
        <v>48704</v>
      </c>
      <c r="H297" s="18">
        <v>16399</v>
      </c>
      <c r="I297" s="18">
        <v>10430</v>
      </c>
      <c r="J297" s="18">
        <v>3099</v>
      </c>
      <c r="K297" s="18">
        <v>662</v>
      </c>
      <c r="L297" s="13">
        <f>SUM(F297:K297)</f>
        <v>173874</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v>3423</v>
      </c>
      <c r="G299" s="18">
        <v>811</v>
      </c>
      <c r="H299" s="18">
        <v>926</v>
      </c>
      <c r="I299" s="18">
        <v>3744</v>
      </c>
      <c r="J299" s="18"/>
      <c r="K299" s="18">
        <v>389</v>
      </c>
      <c r="L299" s="13">
        <f>SUM(F299:K299)</f>
        <v>9293</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12119</v>
      </c>
      <c r="G301" s="18">
        <v>4976</v>
      </c>
      <c r="H301" s="18"/>
      <c r="I301" s="18"/>
      <c r="J301" s="18"/>
      <c r="K301" s="18"/>
      <c r="L301" s="13">
        <f t="shared" ref="L301:L307" si="14">SUM(F301:K301)</f>
        <v>17095</v>
      </c>
      <c r="M301" s="8"/>
      <c r="N301" s="165"/>
    </row>
    <row r="302" spans="1:14" s="3" customFormat="1" ht="12.2" customHeight="1" x14ac:dyDescent="0.15">
      <c r="A302" s="1" t="s">
        <v>443</v>
      </c>
      <c r="B302" s="2" t="s">
        <v>358</v>
      </c>
      <c r="C302" s="2" t="s">
        <v>295</v>
      </c>
      <c r="D302" s="2" t="s">
        <v>431</v>
      </c>
      <c r="E302" s="6">
        <v>2200</v>
      </c>
      <c r="F302" s="18">
        <v>31722</v>
      </c>
      <c r="G302" s="18">
        <v>12987</v>
      </c>
      <c r="H302" s="18">
        <v>28447</v>
      </c>
      <c r="I302" s="18">
        <v>229</v>
      </c>
      <c r="J302" s="18"/>
      <c r="K302" s="18"/>
      <c r="L302" s="13">
        <f t="shared" si="14"/>
        <v>73385</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v>7120</v>
      </c>
      <c r="G305" s="18"/>
      <c r="H305" s="18"/>
      <c r="I305" s="18"/>
      <c r="J305" s="18"/>
      <c r="K305" s="18"/>
      <c r="L305" s="13">
        <f t="shared" si="14"/>
        <v>7120</v>
      </c>
      <c r="M305" s="8"/>
      <c r="N305" s="165"/>
    </row>
    <row r="306" spans="1:14" s="3" customFormat="1" ht="12.2" customHeight="1" x14ac:dyDescent="0.15">
      <c r="A306" s="1" t="s">
        <v>447</v>
      </c>
      <c r="B306" s="2" t="s">
        <v>358</v>
      </c>
      <c r="C306" s="2" t="s">
        <v>299</v>
      </c>
      <c r="D306" s="2" t="s">
        <v>431</v>
      </c>
      <c r="E306" s="6">
        <v>2600</v>
      </c>
      <c r="F306" s="18"/>
      <c r="G306" s="18"/>
      <c r="H306" s="18"/>
      <c r="I306" s="18"/>
      <c r="J306" s="18">
        <v>17595</v>
      </c>
      <c r="K306" s="18"/>
      <c r="L306" s="13">
        <f t="shared" si="14"/>
        <v>17595</v>
      </c>
      <c r="M306" s="8"/>
      <c r="N306" s="165"/>
    </row>
    <row r="307" spans="1:14" s="3" customFormat="1" ht="12.2" customHeight="1" x14ac:dyDescent="0.15">
      <c r="A307" s="1" t="s">
        <v>448</v>
      </c>
      <c r="B307" s="2" t="s">
        <v>358</v>
      </c>
      <c r="C307" s="2" t="s">
        <v>300</v>
      </c>
      <c r="D307" s="2" t="s">
        <v>431</v>
      </c>
      <c r="E307" s="6">
        <v>2700</v>
      </c>
      <c r="F307" s="18"/>
      <c r="G307" s="18"/>
      <c r="H307" s="18">
        <v>1709</v>
      </c>
      <c r="I307" s="18"/>
      <c r="J307" s="18"/>
      <c r="K307" s="18"/>
      <c r="L307" s="13">
        <f t="shared" si="14"/>
        <v>1709</v>
      </c>
      <c r="M307" s="8"/>
      <c r="N307" s="165"/>
    </row>
    <row r="308" spans="1:14" s="3" customFormat="1" ht="12.2" customHeight="1" x14ac:dyDescent="0.15">
      <c r="A308" s="1" t="s">
        <v>449</v>
      </c>
      <c r="B308" s="2" t="s">
        <v>358</v>
      </c>
      <c r="C308" s="2" t="s">
        <v>343</v>
      </c>
      <c r="D308" s="2" t="s">
        <v>431</v>
      </c>
      <c r="E308" s="6">
        <v>2800</v>
      </c>
      <c r="F308" s="18">
        <f>976+823</f>
        <v>1799</v>
      </c>
      <c r="G308" s="18">
        <f>225+63</f>
        <v>288</v>
      </c>
      <c r="H308" s="18"/>
      <c r="I308" s="18">
        <f>108+7853</f>
        <v>7961</v>
      </c>
      <c r="J308" s="18"/>
      <c r="K308" s="18"/>
      <c r="L308" s="13">
        <f>SUM(F308:K308)</f>
        <v>10048</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202483</v>
      </c>
      <c r="G310" s="39">
        <f t="shared" si="15"/>
        <v>96551</v>
      </c>
      <c r="H310" s="39">
        <f t="shared" si="15"/>
        <v>82519</v>
      </c>
      <c r="I310" s="39">
        <f t="shared" si="15"/>
        <v>47394</v>
      </c>
      <c r="J310" s="39">
        <f t="shared" si="15"/>
        <v>77621</v>
      </c>
      <c r="K310" s="39">
        <f t="shared" si="15"/>
        <v>1051</v>
      </c>
      <c r="L310" s="38">
        <f t="shared" si="15"/>
        <v>507619</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84210</v>
      </c>
      <c r="G315" s="18">
        <v>46867</v>
      </c>
      <c r="H315" s="18">
        <v>57049</v>
      </c>
      <c r="I315" s="18">
        <v>40753</v>
      </c>
      <c r="J315" s="18">
        <v>92688</v>
      </c>
      <c r="K315" s="18"/>
      <c r="L315" s="13">
        <f>SUM(F315:K315)</f>
        <v>321567</v>
      </c>
      <c r="M315" s="8"/>
      <c r="N315" s="165"/>
    </row>
    <row r="316" spans="1:14" s="3" customFormat="1" ht="12.2" customHeight="1" x14ac:dyDescent="0.15">
      <c r="A316" s="1" t="s">
        <v>439</v>
      </c>
      <c r="B316" s="2" t="s">
        <v>359</v>
      </c>
      <c r="C316" s="2" t="s">
        <v>291</v>
      </c>
      <c r="D316" s="2" t="s">
        <v>431</v>
      </c>
      <c r="E316" s="6">
        <v>1200</v>
      </c>
      <c r="F316" s="18">
        <v>153994</v>
      </c>
      <c r="G316" s="18">
        <v>79300</v>
      </c>
      <c r="H316" s="18">
        <v>26701</v>
      </c>
      <c r="I316" s="18">
        <v>16983</v>
      </c>
      <c r="J316" s="18">
        <v>5046</v>
      </c>
      <c r="K316" s="18">
        <v>1077</v>
      </c>
      <c r="L316" s="13">
        <f>SUM(F316:K316)</f>
        <v>283101</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v>5573</v>
      </c>
      <c r="G318" s="18">
        <v>1321</v>
      </c>
      <c r="H318" s="18">
        <v>1507</v>
      </c>
      <c r="I318" s="18">
        <v>6096</v>
      </c>
      <c r="J318" s="18"/>
      <c r="K318" s="18">
        <v>634</v>
      </c>
      <c r="L318" s="13">
        <f>SUM(F318:K318)</f>
        <v>15131</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19733</v>
      </c>
      <c r="G320" s="18">
        <v>8102</v>
      </c>
      <c r="H320" s="18"/>
      <c r="I320" s="18"/>
      <c r="J320" s="18"/>
      <c r="K320" s="18"/>
      <c r="L320" s="13">
        <f t="shared" ref="L320:L326" si="16">SUM(F320:K320)</f>
        <v>27835</v>
      </c>
      <c r="M320" s="8"/>
      <c r="N320" s="165"/>
    </row>
    <row r="321" spans="1:14" s="3" customFormat="1" ht="12.2" customHeight="1" x14ac:dyDescent="0.15">
      <c r="A321" s="1" t="s">
        <v>443</v>
      </c>
      <c r="B321" s="2" t="s">
        <v>359</v>
      </c>
      <c r="C321" s="2" t="s">
        <v>295</v>
      </c>
      <c r="D321" s="2" t="s">
        <v>431</v>
      </c>
      <c r="E321" s="6">
        <v>2200</v>
      </c>
      <c r="F321" s="18">
        <v>51649</v>
      </c>
      <c r="G321" s="18">
        <v>21145</v>
      </c>
      <c r="H321" s="18">
        <v>46318</v>
      </c>
      <c r="I321" s="18">
        <v>372</v>
      </c>
      <c r="J321" s="18"/>
      <c r="K321" s="18"/>
      <c r="L321" s="13">
        <f t="shared" si="16"/>
        <v>119484</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v>11592</v>
      </c>
      <c r="G324" s="18"/>
      <c r="H324" s="18"/>
      <c r="I324" s="18"/>
      <c r="J324" s="18"/>
      <c r="K324" s="18"/>
      <c r="L324" s="13">
        <f t="shared" si="16"/>
        <v>11592</v>
      </c>
      <c r="M324" s="8"/>
      <c r="N324" s="165"/>
    </row>
    <row r="325" spans="1:14" s="3" customFormat="1" ht="12.2" customHeight="1" x14ac:dyDescent="0.15">
      <c r="A325" s="1" t="s">
        <v>447</v>
      </c>
      <c r="B325" s="2" t="s">
        <v>359</v>
      </c>
      <c r="C325" s="2" t="s">
        <v>299</v>
      </c>
      <c r="D325" s="2" t="s">
        <v>431</v>
      </c>
      <c r="E325" s="6">
        <v>2600</v>
      </c>
      <c r="F325" s="18"/>
      <c r="G325" s="18"/>
      <c r="H325" s="18"/>
      <c r="I325" s="18"/>
      <c r="J325" s="18">
        <v>28649</v>
      </c>
      <c r="K325" s="18"/>
      <c r="L325" s="13">
        <f t="shared" si="16"/>
        <v>28649</v>
      </c>
      <c r="M325" s="8"/>
      <c r="N325" s="165"/>
    </row>
    <row r="326" spans="1:14" s="3" customFormat="1" ht="12.2" customHeight="1" x14ac:dyDescent="0.15">
      <c r="A326" s="1" t="s">
        <v>448</v>
      </c>
      <c r="B326" s="2" t="s">
        <v>359</v>
      </c>
      <c r="C326" s="2" t="s">
        <v>300</v>
      </c>
      <c r="D326" s="2" t="s">
        <v>431</v>
      </c>
      <c r="E326" s="6">
        <v>2700</v>
      </c>
      <c r="F326" s="18"/>
      <c r="G326" s="18"/>
      <c r="H326" s="18">
        <v>2783</v>
      </c>
      <c r="I326" s="18"/>
      <c r="J326" s="18"/>
      <c r="K326" s="18"/>
      <c r="L326" s="13">
        <f t="shared" si="16"/>
        <v>2783</v>
      </c>
      <c r="M326" s="8"/>
      <c r="N326" s="165"/>
    </row>
    <row r="327" spans="1:14" s="3" customFormat="1" ht="12.2" customHeight="1" x14ac:dyDescent="0.15">
      <c r="A327" s="1" t="s">
        <v>449</v>
      </c>
      <c r="B327" s="2" t="s">
        <v>359</v>
      </c>
      <c r="C327" s="2" t="s">
        <v>343</v>
      </c>
      <c r="D327" s="2" t="s">
        <v>431</v>
      </c>
      <c r="E327" s="6">
        <v>2800</v>
      </c>
      <c r="F327" s="18">
        <f>1588+1340</f>
        <v>2928</v>
      </c>
      <c r="G327" s="18">
        <f>366+103</f>
        <v>469</v>
      </c>
      <c r="H327" s="18"/>
      <c r="I327" s="18">
        <f>176+12787</f>
        <v>12963</v>
      </c>
      <c r="J327" s="18"/>
      <c r="K327" s="18"/>
      <c r="L327" s="13">
        <f>SUM(F327:K327)</f>
        <v>16360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329679</v>
      </c>
      <c r="G329" s="39">
        <f t="shared" si="17"/>
        <v>157204</v>
      </c>
      <c r="H329" s="39">
        <f t="shared" si="17"/>
        <v>134358</v>
      </c>
      <c r="I329" s="39">
        <f t="shared" si="17"/>
        <v>77167</v>
      </c>
      <c r="J329" s="39">
        <f t="shared" si="17"/>
        <v>126383</v>
      </c>
      <c r="K329" s="39">
        <f t="shared" si="17"/>
        <v>1711</v>
      </c>
      <c r="L329" s="38">
        <f t="shared" si="17"/>
        <v>826502</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v>945200</v>
      </c>
      <c r="K337" s="18"/>
      <c r="L337" s="13">
        <f t="shared" si="18"/>
        <v>945200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945200</v>
      </c>
      <c r="K338" s="38">
        <f t="shared" si="19"/>
        <v>0</v>
      </c>
      <c r="L338" s="38">
        <f t="shared" si="18"/>
        <v>945200</v>
      </c>
      <c r="M338" s="8"/>
      <c r="N338" s="165"/>
    </row>
    <row r="339" spans="1:43" s="3" customFormat="1" ht="12.2" customHeight="1" thickTop="1" x14ac:dyDescent="0.15">
      <c r="A339" s="35" t="s">
        <v>468</v>
      </c>
      <c r="B339" s="37">
        <v>14</v>
      </c>
      <c r="C339" s="37">
        <v>7</v>
      </c>
      <c r="D339" s="36" t="s">
        <v>431</v>
      </c>
      <c r="E339" s="37"/>
      <c r="F339" s="38">
        <f t="shared" ref="F339:L339" si="20">F291+F310+F329+F338</f>
        <v>934007</v>
      </c>
      <c r="G339" s="38">
        <f t="shared" si="20"/>
        <v>445369</v>
      </c>
      <c r="H339" s="38">
        <f t="shared" si="20"/>
        <v>380644</v>
      </c>
      <c r="I339" s="38">
        <f t="shared" si="20"/>
        <v>218619</v>
      </c>
      <c r="J339" s="38">
        <f t="shared" si="20"/>
        <v>1303252</v>
      </c>
      <c r="K339" s="38">
        <f t="shared" si="20"/>
        <v>4847</v>
      </c>
      <c r="L339" s="38">
        <f t="shared" si="20"/>
        <v>3286738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934007</v>
      </c>
      <c r="G353" s="38">
        <f>G339</f>
        <v>445369</v>
      </c>
      <c r="H353" s="38">
        <f>H339</f>
        <v>380644</v>
      </c>
      <c r="I353" s="38">
        <f>I339</f>
        <v>218619</v>
      </c>
      <c r="J353" s="38">
        <f>J339</f>
        <v>1303252</v>
      </c>
      <c r="K353" s="38">
        <f>K339+K352</f>
        <v>4847</v>
      </c>
      <c r="L353" s="38">
        <f>L339+L352</f>
        <v>3286738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218592+34110</f>
        <v>252702</v>
      </c>
      <c r="G359" s="18">
        <v>50815</v>
      </c>
      <c r="H359" s="18">
        <v>8227</v>
      </c>
      <c r="I359" s="18">
        <f>173361+1817</f>
        <v>175178</v>
      </c>
      <c r="J359" s="18"/>
      <c r="K359" s="18"/>
      <c r="L359" s="13">
        <f>SUM(F359:K359)</f>
        <v>486922</v>
      </c>
      <c r="M359" s="8"/>
      <c r="N359" s="165"/>
    </row>
    <row r="360" spans="1:22" s="3" customFormat="1" ht="12.2" customHeight="1" x14ac:dyDescent="0.15">
      <c r="A360" s="1" t="s">
        <v>542</v>
      </c>
      <c r="B360" s="2" t="s">
        <v>366</v>
      </c>
      <c r="C360" s="6">
        <v>2</v>
      </c>
      <c r="D360" s="2" t="s">
        <v>431</v>
      </c>
      <c r="E360" s="6"/>
      <c r="F360" s="18">
        <f>77188+17187</f>
        <v>94375</v>
      </c>
      <c r="G360" s="18">
        <v>25605</v>
      </c>
      <c r="H360" s="18">
        <v>862</v>
      </c>
      <c r="I360" s="18">
        <f>97669+916</f>
        <v>98585</v>
      </c>
      <c r="J360" s="18"/>
      <c r="K360" s="18"/>
      <c r="L360" s="13">
        <f>SUM(F360:K360)</f>
        <v>219427</v>
      </c>
      <c r="M360" s="8"/>
      <c r="N360" s="165"/>
    </row>
    <row r="361" spans="1:22" s="3" customFormat="1" ht="12.2" customHeight="1" x14ac:dyDescent="0.15">
      <c r="A361" s="3" t="s">
        <v>543</v>
      </c>
      <c r="B361" s="2" t="s">
        <v>366</v>
      </c>
      <c r="C361" s="6">
        <v>3</v>
      </c>
      <c r="D361" s="2" t="s">
        <v>431</v>
      </c>
      <c r="E361" s="6"/>
      <c r="F361" s="18">
        <f>195959+27984</f>
        <v>223943</v>
      </c>
      <c r="G361" s="18">
        <v>41689</v>
      </c>
      <c r="H361" s="18">
        <v>6957</v>
      </c>
      <c r="I361" s="18">
        <f>248358+1491</f>
        <v>249849</v>
      </c>
      <c r="J361" s="18"/>
      <c r="K361" s="18"/>
      <c r="L361" s="13">
        <f>SUM(F361:K361)</f>
        <v>522438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571020</v>
      </c>
      <c r="G363" s="38">
        <f t="shared" si="22"/>
        <v>118109</v>
      </c>
      <c r="H363" s="38">
        <f t="shared" si="22"/>
        <v>16046</v>
      </c>
      <c r="I363" s="38">
        <f t="shared" si="22"/>
        <v>523612</v>
      </c>
      <c r="J363" s="38">
        <f t="shared" si="22"/>
        <v>0</v>
      </c>
      <c r="K363" s="38">
        <f t="shared" si="22"/>
        <v>0</v>
      </c>
      <c r="L363" s="38">
        <f t="shared" si="22"/>
        <v>1228787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160551</v>
      </c>
      <c r="G368" s="18">
        <v>90313</v>
      </c>
      <c r="H368" s="18">
        <v>219947</v>
      </c>
      <c r="I368" s="13">
        <f>SUM(F368:H368)</f>
        <v>470811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12810+1817</f>
        <v>14627</v>
      </c>
      <c r="G369" s="53">
        <f>6818+538+916</f>
        <v>8272</v>
      </c>
      <c r="H369" s="53">
        <f>28411+1491</f>
        <v>29902</v>
      </c>
      <c r="I369" s="13">
        <f>SUM(F369:H369)</f>
        <v>52801</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175178</v>
      </c>
      <c r="G370" s="38">
        <f>SUM(G368:G369)</f>
        <v>98585</v>
      </c>
      <c r="H370" s="38">
        <f>SUM(H368:H369)</f>
        <v>249849</v>
      </c>
      <c r="I370" s="38">
        <f>SUM(I368:I369)</f>
        <v>523612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300000</v>
      </c>
      <c r="H397" s="18">
        <v>46150</v>
      </c>
      <c r="I397" s="18"/>
      <c r="J397" s="23" t="s">
        <v>288</v>
      </c>
      <c r="K397" s="23" t="s">
        <v>288</v>
      </c>
      <c r="L397" s="13">
        <f t="shared" si="26"/>
        <v>346150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300000</v>
      </c>
      <c r="H402" s="38">
        <f>SUM(H396:H401)</f>
        <v>46150</v>
      </c>
      <c r="I402" s="38">
        <f>SUM(I396:I401)</f>
        <v>0</v>
      </c>
      <c r="J402" s="42" t="s">
        <v>288</v>
      </c>
      <c r="K402" s="42" t="s">
        <v>288</v>
      </c>
      <c r="L402" s="38">
        <f>SUM(L396:L401)</f>
        <v>346150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300000</v>
      </c>
      <c r="H409" s="38">
        <f>H394+H402+H408</f>
        <v>46150</v>
      </c>
      <c r="I409" s="38">
        <f>I394+I402+I408</f>
        <v>0</v>
      </c>
      <c r="J409" s="23" t="s">
        <v>288</v>
      </c>
      <c r="K409" s="23" t="s">
        <v>288</v>
      </c>
      <c r="L409" s="38">
        <f>L394+L402+L408</f>
        <v>346150</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v>1595919</v>
      </c>
      <c r="H443" s="18"/>
      <c r="I443" s="13">
        <f t="shared" si="33"/>
        <v>1595919</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1595919</v>
      </c>
      <c r="H447" s="13">
        <f>SUM(H440:H446)</f>
        <v>0</v>
      </c>
      <c r="I447" s="13">
        <f>SUM(I440:I446)</f>
        <v>1595919</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1595919</v>
      </c>
      <c r="H460" s="18"/>
      <c r="I460" s="13">
        <f t="shared" si="34"/>
        <v>1595919</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1595919</v>
      </c>
      <c r="H461" s="65">
        <f>SUM(H455:H460)</f>
        <v>0</v>
      </c>
      <c r="I461" s="65">
        <f>SUM(I455:I460)</f>
        <v>1595919</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1595919</v>
      </c>
      <c r="H462" s="39">
        <f>H453+H461</f>
        <v>0</v>
      </c>
      <c r="I462" s="39">
        <f>I453+I461</f>
        <v>1595919</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766830</v>
      </c>
      <c r="G466" s="18">
        <v>268937</v>
      </c>
      <c r="H466" s="18">
        <v>29659</v>
      </c>
      <c r="I466" s="18"/>
      <c r="J466" s="18">
        <v>1249769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42253543.960000001</v>
      </c>
      <c r="G469" s="18">
        <f t="shared" ref="G469:I469" si="35">G194</f>
        <v>1228589</v>
      </c>
      <c r="H469" s="18">
        <f t="shared" si="35"/>
        <v>3321816</v>
      </c>
      <c r="I469" s="18">
        <f t="shared" si="35"/>
        <v>0</v>
      </c>
      <c r="J469" s="18">
        <f>L409</f>
        <v>346150</v>
      </c>
      <c r="K469" s="23" t="s">
        <v>288</v>
      </c>
      <c r="L469" s="23" t="s">
        <v>288</v>
      </c>
      <c r="N469" s="131"/>
    </row>
    <row r="470" spans="1:14" ht="12.2" customHeight="1" x14ac:dyDescent="0.2">
      <c r="A470" s="71" t="s">
        <v>611</v>
      </c>
      <c r="B470" s="22">
        <v>19</v>
      </c>
      <c r="C470" s="31">
        <v>3</v>
      </c>
      <c r="D470" s="2" t="s">
        <v>432</v>
      </c>
      <c r="E470" s="31"/>
      <c r="F470" s="18">
        <v>15342</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42268885.960000001</v>
      </c>
      <c r="G471" s="19">
        <f>SUM(G469:G470)</f>
        <v>1228589</v>
      </c>
      <c r="H471" s="19">
        <f>SUM(H469:H470)</f>
        <v>3321816</v>
      </c>
      <c r="I471" s="19">
        <f>SUM(I469:I470)</f>
        <v>0</v>
      </c>
      <c r="J471" s="19">
        <f>SUM(J469:J470)</f>
        <v>346150</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42521765</v>
      </c>
      <c r="G473" s="18">
        <f>L363</f>
        <v>1228787</v>
      </c>
      <c r="H473" s="18">
        <f>L353</f>
        <v>3286738</v>
      </c>
      <c r="I473" s="18">
        <f>L383</f>
        <v>0</v>
      </c>
      <c r="J473" s="18">
        <f>L435</f>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42521765</v>
      </c>
      <c r="G475" s="19">
        <f>SUM(G473:G474)</f>
        <v>1228787</v>
      </c>
      <c r="H475" s="19">
        <f>SUM(H473:H474)</f>
        <v>3286738</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513950.96000000089</v>
      </c>
      <c r="G477" s="19">
        <f>(G466+G471)- G475</f>
        <v>268739</v>
      </c>
      <c r="H477" s="19">
        <f>(H466+H471)- H475</f>
        <v>64737</v>
      </c>
      <c r="I477" s="19">
        <f>(I466+I471)- I475</f>
        <v>0</v>
      </c>
      <c r="J477" s="19">
        <f>(J466+J471)- J475</f>
        <v>1595919</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t="s">
        <v>1812</v>
      </c>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6"/>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6"/>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2520192+263498</f>
        <v>2783690</v>
      </c>
      <c r="G522" s="18">
        <v>922095</v>
      </c>
      <c r="H522" s="18">
        <f>561063+125054</f>
        <v>686117</v>
      </c>
      <c r="I522" s="18">
        <f>1859+21974</f>
        <v>23833</v>
      </c>
      <c r="J522" s="18">
        <v>6634</v>
      </c>
      <c r="K522" s="18">
        <v>1313</v>
      </c>
      <c r="L522" s="69">
        <f>SUM(F522:K522)</f>
        <v>4423682</v>
      </c>
      <c r="N522" s="131"/>
    </row>
    <row r="523" spans="1:14" ht="12.2" customHeight="1" x14ac:dyDescent="0.2">
      <c r="A523" s="21" t="s">
        <v>634</v>
      </c>
      <c r="B523" s="22">
        <v>21</v>
      </c>
      <c r="C523" s="22">
        <v>2</v>
      </c>
      <c r="D523" s="2" t="s">
        <v>432</v>
      </c>
      <c r="E523" s="22"/>
      <c r="F523" s="18">
        <f>949839+132773</f>
        <v>1082612</v>
      </c>
      <c r="G523" s="18">
        <v>464629</v>
      </c>
      <c r="H523" s="18">
        <f>565056+63013</f>
        <v>628069</v>
      </c>
      <c r="I523" s="18">
        <f>2745+11072</f>
        <v>13817</v>
      </c>
      <c r="J523" s="18">
        <f>99+3343</f>
        <v>3442</v>
      </c>
      <c r="K523" s="18">
        <v>662</v>
      </c>
      <c r="L523" s="69">
        <f>SUM(F523:K523)</f>
        <v>2193231</v>
      </c>
      <c r="N523" s="131"/>
    </row>
    <row r="524" spans="1:14" ht="12.2" customHeight="1" thickBot="1" x14ac:dyDescent="0.25">
      <c r="A524" s="21" t="s">
        <v>635</v>
      </c>
      <c r="B524" s="22">
        <v>21</v>
      </c>
      <c r="C524" s="22">
        <v>3</v>
      </c>
      <c r="D524" s="2" t="s">
        <v>432</v>
      </c>
      <c r="E524" s="22"/>
      <c r="F524" s="18">
        <f>1171408+216179</f>
        <v>1387587</v>
      </c>
      <c r="G524" s="18">
        <v>756503</v>
      </c>
      <c r="H524" s="18">
        <f>350352+102596</f>
        <v>452948</v>
      </c>
      <c r="I524" s="18">
        <f>3202+18028</f>
        <v>21230</v>
      </c>
      <c r="J524" s="18">
        <f>90+5443</f>
        <v>5533</v>
      </c>
      <c r="K524" s="18">
        <v>1077</v>
      </c>
      <c r="L524" s="69">
        <f>SUM(F524:K524)</f>
        <v>2624878</v>
      </c>
      <c r="N524" s="131"/>
    </row>
    <row r="525" spans="1:14" ht="12.2" customHeight="1" thickTop="1" x14ac:dyDescent="0.2">
      <c r="A525" s="97" t="s">
        <v>63</v>
      </c>
      <c r="B525" s="41">
        <v>21</v>
      </c>
      <c r="C525" s="41">
        <v>4</v>
      </c>
      <c r="D525" s="115" t="s">
        <v>432</v>
      </c>
      <c r="E525" s="41"/>
      <c r="F525" s="81">
        <f>SUM(F522:F524)</f>
        <v>5253889</v>
      </c>
      <c r="G525" s="81">
        <f t="shared" ref="G525:L525" si="37">SUM(G522:G524)</f>
        <v>2143227</v>
      </c>
      <c r="H525" s="81">
        <f t="shared" si="37"/>
        <v>1767134</v>
      </c>
      <c r="I525" s="81">
        <f t="shared" si="37"/>
        <v>58880</v>
      </c>
      <c r="J525" s="81">
        <f t="shared" si="37"/>
        <v>15609</v>
      </c>
      <c r="K525" s="81">
        <f t="shared" si="37"/>
        <v>3052</v>
      </c>
      <c r="L525" s="70">
        <f t="shared" si="37"/>
        <v>9241791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117759+453013</f>
        <v>570772</v>
      </c>
      <c r="G527" s="18">
        <v>227555</v>
      </c>
      <c r="H527" s="18">
        <v>319156</v>
      </c>
      <c r="I527" s="18"/>
      <c r="J527" s="18"/>
      <c r="K527" s="18"/>
      <c r="L527" s="69">
        <f>SUM(F527:K527)</f>
        <v>1117483</v>
      </c>
      <c r="M527" s="8"/>
      <c r="N527" s="165"/>
    </row>
    <row r="528" spans="1:14" s="3" customFormat="1" ht="12.2" customHeight="1" x14ac:dyDescent="0.15">
      <c r="A528" s="21" t="s">
        <v>634</v>
      </c>
      <c r="B528" s="22">
        <v>21</v>
      </c>
      <c r="C528" s="22">
        <v>6</v>
      </c>
      <c r="D528" s="2" t="s">
        <v>432</v>
      </c>
      <c r="E528" s="22"/>
      <c r="F528" s="18">
        <f>32989+228266</f>
        <v>261255</v>
      </c>
      <c r="G528" s="18">
        <v>114661</v>
      </c>
      <c r="H528" s="18">
        <v>98968</v>
      </c>
      <c r="I528" s="18"/>
      <c r="J528" s="18"/>
      <c r="K528" s="18"/>
      <c r="L528" s="69">
        <f>SUM(F528:K528)</f>
        <v>474884</v>
      </c>
      <c r="M528" s="8"/>
      <c r="N528" s="165"/>
    </row>
    <row r="529" spans="1:14" s="3" customFormat="1" ht="12.2" customHeight="1" thickBot="1" x14ac:dyDescent="0.2">
      <c r="A529" s="21" t="s">
        <v>635</v>
      </c>
      <c r="B529" s="22">
        <v>21</v>
      </c>
      <c r="C529" s="22">
        <v>7</v>
      </c>
      <c r="D529" s="2" t="s">
        <v>432</v>
      </c>
      <c r="E529" s="22"/>
      <c r="F529" s="18">
        <v>371660</v>
      </c>
      <c r="G529" s="18">
        <v>186690</v>
      </c>
      <c r="H529" s="18">
        <v>70481</v>
      </c>
      <c r="I529" s="18"/>
      <c r="J529" s="18"/>
      <c r="K529" s="18"/>
      <c r="L529" s="69">
        <f>SUM(F529:K529)</f>
        <v>628831</v>
      </c>
      <c r="M529" s="8"/>
      <c r="N529" s="165"/>
    </row>
    <row r="530" spans="1:14" s="3" customFormat="1" ht="12.2" customHeight="1" thickTop="1" x14ac:dyDescent="0.15">
      <c r="A530" s="97" t="s">
        <v>65</v>
      </c>
      <c r="B530" s="41">
        <v>21</v>
      </c>
      <c r="C530" s="41">
        <v>8</v>
      </c>
      <c r="D530" s="115" t="s">
        <v>432</v>
      </c>
      <c r="E530" s="41"/>
      <c r="F530" s="70">
        <f>SUM(F527:F529)</f>
        <v>1203687</v>
      </c>
      <c r="G530" s="70">
        <f t="shared" ref="G530:L530" si="38">SUM(G527:G529)</f>
        <v>528906</v>
      </c>
      <c r="H530" s="70">
        <f t="shared" si="38"/>
        <v>488605</v>
      </c>
      <c r="I530" s="70">
        <f t="shared" si="38"/>
        <v>0</v>
      </c>
      <c r="J530" s="70">
        <f t="shared" si="38"/>
        <v>0</v>
      </c>
      <c r="K530" s="70">
        <f t="shared" si="38"/>
        <v>0</v>
      </c>
      <c r="L530" s="70">
        <f t="shared" si="38"/>
        <v>2221198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178524</v>
      </c>
      <c r="G532" s="18">
        <v>113425</v>
      </c>
      <c r="H532" s="18">
        <v>55571</v>
      </c>
      <c r="I532" s="18">
        <v>798</v>
      </c>
      <c r="J532" s="18">
        <v>35</v>
      </c>
      <c r="K532" s="18">
        <v>1254</v>
      </c>
      <c r="L532" s="69">
        <f>SUM(F532:K532)</f>
        <v>349607</v>
      </c>
      <c r="M532" s="8"/>
      <c r="N532" s="165"/>
    </row>
    <row r="533" spans="1:14" s="3" customFormat="1" ht="12.2" customHeight="1" x14ac:dyDescent="0.15">
      <c r="A533" s="21" t="s">
        <v>634</v>
      </c>
      <c r="B533" s="22">
        <v>21</v>
      </c>
      <c r="C533" s="22">
        <v>10</v>
      </c>
      <c r="D533" s="2" t="s">
        <v>432</v>
      </c>
      <c r="E533" s="22"/>
      <c r="F533" s="18">
        <f>59642+89956</f>
        <v>149598</v>
      </c>
      <c r="G533" s="18">
        <v>57153</v>
      </c>
      <c r="H533" s="18">
        <v>40759</v>
      </c>
      <c r="I533" s="18">
        <f>119+402</f>
        <v>521</v>
      </c>
      <c r="J533" s="18">
        <v>18</v>
      </c>
      <c r="K533" s="18">
        <v>632</v>
      </c>
      <c r="L533" s="69">
        <f>SUM(F533:K533)</f>
        <v>248681</v>
      </c>
      <c r="M533" s="8"/>
      <c r="N533" s="165"/>
    </row>
    <row r="534" spans="1:14" s="3" customFormat="1" ht="12.2" customHeight="1" thickBot="1" x14ac:dyDescent="0.2">
      <c r="A534" s="21" t="s">
        <v>635</v>
      </c>
      <c r="B534" s="22">
        <v>21</v>
      </c>
      <c r="C534" s="22">
        <v>11</v>
      </c>
      <c r="D534" s="2" t="s">
        <v>432</v>
      </c>
      <c r="E534" s="22"/>
      <c r="F534" s="18">
        <f>59642+146464</f>
        <v>206106</v>
      </c>
      <c r="G534" s="18">
        <v>93056</v>
      </c>
      <c r="H534" s="18">
        <v>19992</v>
      </c>
      <c r="I534" s="18">
        <v>654</v>
      </c>
      <c r="J534" s="18">
        <v>29</v>
      </c>
      <c r="K534" s="18">
        <v>1029</v>
      </c>
      <c r="L534" s="69">
        <f>SUM(F534:K534)</f>
        <v>320866</v>
      </c>
      <c r="M534" s="8"/>
      <c r="N534" s="165"/>
    </row>
    <row r="535" spans="1:14" s="3" customFormat="1" ht="12.2" customHeight="1" thickTop="1" x14ac:dyDescent="0.15">
      <c r="A535" s="97" t="s">
        <v>67</v>
      </c>
      <c r="B535" s="41">
        <v>21</v>
      </c>
      <c r="C535" s="41">
        <v>12</v>
      </c>
      <c r="D535" s="115" t="s">
        <v>432</v>
      </c>
      <c r="E535" s="41"/>
      <c r="F535" s="70">
        <f>SUM(F532:F534)</f>
        <v>534228</v>
      </c>
      <c r="G535" s="70">
        <f t="shared" ref="G535:L535" si="39">SUM(G532:G534)</f>
        <v>263634</v>
      </c>
      <c r="H535" s="70">
        <f t="shared" si="39"/>
        <v>116322</v>
      </c>
      <c r="I535" s="70">
        <f t="shared" si="39"/>
        <v>1973</v>
      </c>
      <c r="J535" s="70">
        <f t="shared" si="39"/>
        <v>82</v>
      </c>
      <c r="K535" s="70">
        <f t="shared" si="39"/>
        <v>2915</v>
      </c>
      <c r="L535" s="70">
        <f t="shared" si="39"/>
        <v>919154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f>3733+17755</f>
        <v>21488</v>
      </c>
      <c r="I537" s="18"/>
      <c r="J537" s="18"/>
      <c r="K537" s="18"/>
      <c r="L537" s="69">
        <f>SUM(F537:K537)</f>
        <v>21488</v>
      </c>
      <c r="M537" s="8"/>
      <c r="N537" s="165"/>
    </row>
    <row r="538" spans="1:14" s="3" customFormat="1" ht="12.2" customHeight="1" x14ac:dyDescent="0.15">
      <c r="A538" s="21" t="s">
        <v>634</v>
      </c>
      <c r="B538" s="22">
        <v>21</v>
      </c>
      <c r="C538" s="22">
        <v>14</v>
      </c>
      <c r="D538" s="2" t="s">
        <v>432</v>
      </c>
      <c r="E538" s="22"/>
      <c r="F538" s="18"/>
      <c r="G538" s="18"/>
      <c r="H538" s="18">
        <f>2901+8946</f>
        <v>11847</v>
      </c>
      <c r="I538" s="18"/>
      <c r="J538" s="18"/>
      <c r="K538" s="18"/>
      <c r="L538" s="69">
        <f>SUM(F538:K538)</f>
        <v>11847</v>
      </c>
      <c r="M538" s="8"/>
      <c r="N538" s="165"/>
    </row>
    <row r="539" spans="1:14" s="3" customFormat="1" ht="12.2" customHeight="1" thickBot="1" x14ac:dyDescent="0.2">
      <c r="A539" s="21" t="s">
        <v>635</v>
      </c>
      <c r="B539" s="22">
        <v>21</v>
      </c>
      <c r="C539" s="22">
        <v>15</v>
      </c>
      <c r="D539" s="2" t="s">
        <v>432</v>
      </c>
      <c r="E539" s="22"/>
      <c r="F539" s="18"/>
      <c r="G539" s="18"/>
      <c r="H539" s="18">
        <f>1668+14566</f>
        <v>16234</v>
      </c>
      <c r="I539" s="18"/>
      <c r="J539" s="18"/>
      <c r="K539" s="18"/>
      <c r="L539" s="69">
        <f>SUM(F539:K539)</f>
        <v>16234</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49569</v>
      </c>
      <c r="I540" s="70">
        <f t="shared" si="40"/>
        <v>0</v>
      </c>
      <c r="J540" s="70">
        <f t="shared" si="40"/>
        <v>0</v>
      </c>
      <c r="K540" s="70">
        <f t="shared" si="40"/>
        <v>0</v>
      </c>
      <c r="L540" s="70">
        <f t="shared" si="40"/>
        <v>49569</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149948</v>
      </c>
      <c r="G542" s="18">
        <v>29859</v>
      </c>
      <c r="H542" s="18">
        <v>422034</v>
      </c>
      <c r="I542" s="18"/>
      <c r="J542" s="18"/>
      <c r="K542" s="18"/>
      <c r="L542" s="69">
        <f>SUM(F542:K542)</f>
        <v>601841</v>
      </c>
      <c r="M542" s="8"/>
      <c r="N542" s="165"/>
    </row>
    <row r="543" spans="1:14" s="3" customFormat="1" ht="12.2" customHeight="1" x14ac:dyDescent="0.15">
      <c r="A543" s="21" t="s">
        <v>634</v>
      </c>
      <c r="B543" s="22">
        <v>21</v>
      </c>
      <c r="C543" s="22">
        <v>18</v>
      </c>
      <c r="D543" s="2" t="s">
        <v>432</v>
      </c>
      <c r="E543" s="22"/>
      <c r="F543" s="18">
        <v>75557</v>
      </c>
      <c r="G543" s="18">
        <v>15045</v>
      </c>
      <c r="H543" s="18"/>
      <c r="I543" s="18"/>
      <c r="J543" s="18"/>
      <c r="K543" s="18"/>
      <c r="L543" s="69">
        <f>SUM(F543:K543)</f>
        <v>90602</v>
      </c>
      <c r="M543" s="8"/>
      <c r="N543" s="165"/>
    </row>
    <row r="544" spans="1:14" s="3" customFormat="1" ht="12.2" customHeight="1" thickBot="1" x14ac:dyDescent="0.2">
      <c r="A544" s="21" t="s">
        <v>635</v>
      </c>
      <c r="B544" s="22">
        <v>21</v>
      </c>
      <c r="C544" s="22">
        <v>19</v>
      </c>
      <c r="D544" s="2" t="s">
        <v>432</v>
      </c>
      <c r="E544" s="22"/>
      <c r="F544" s="18">
        <v>123020</v>
      </c>
      <c r="G544" s="18">
        <v>24496</v>
      </c>
      <c r="H544" s="18"/>
      <c r="I544" s="18"/>
      <c r="J544" s="18"/>
      <c r="K544" s="18"/>
      <c r="L544" s="69">
        <f>SUM(F544:K544)</f>
        <v>147516</v>
      </c>
      <c r="M544" s="8"/>
      <c r="N544" s="165"/>
    </row>
    <row r="545" spans="1:14" s="3" customFormat="1" ht="12.2" customHeight="1" thickTop="1" thickBot="1" x14ac:dyDescent="0.2">
      <c r="A545" s="93" t="s">
        <v>71</v>
      </c>
      <c r="B545" s="63">
        <v>21</v>
      </c>
      <c r="C545" s="63">
        <v>20</v>
      </c>
      <c r="D545" s="140" t="s">
        <v>432</v>
      </c>
      <c r="E545" s="63"/>
      <c r="F545" s="141">
        <f>SUM(F542:F544)</f>
        <v>348525</v>
      </c>
      <c r="G545" s="141">
        <f t="shared" ref="G545:L545" si="41">SUM(G542:G544)</f>
        <v>69400</v>
      </c>
      <c r="H545" s="141">
        <f t="shared" si="41"/>
        <v>422034</v>
      </c>
      <c r="I545" s="141">
        <f t="shared" si="41"/>
        <v>0</v>
      </c>
      <c r="J545" s="141">
        <f t="shared" si="41"/>
        <v>0</v>
      </c>
      <c r="K545" s="141">
        <f t="shared" si="41"/>
        <v>0</v>
      </c>
      <c r="L545" s="141">
        <f t="shared" si="41"/>
        <v>839959</v>
      </c>
      <c r="M545" s="8"/>
      <c r="N545" s="165"/>
    </row>
    <row r="546" spans="1:14" s="3" customFormat="1" ht="12.2" customHeight="1" thickTop="1" x14ac:dyDescent="0.15">
      <c r="A546" s="75" t="s">
        <v>72</v>
      </c>
      <c r="B546" s="41">
        <v>21</v>
      </c>
      <c r="C546" s="41">
        <v>21</v>
      </c>
      <c r="D546" s="115" t="s">
        <v>432</v>
      </c>
      <c r="E546" s="41"/>
      <c r="F546" s="70">
        <f>F525+F530+F535+F540+F545</f>
        <v>7340329</v>
      </c>
      <c r="G546" s="70">
        <f t="shared" ref="G546:L546" si="42">G525+G530+G535+G540+G545</f>
        <v>3005167</v>
      </c>
      <c r="H546" s="70">
        <f t="shared" si="42"/>
        <v>2843664</v>
      </c>
      <c r="I546" s="70">
        <f t="shared" si="42"/>
        <v>60853</v>
      </c>
      <c r="J546" s="70">
        <f t="shared" si="42"/>
        <v>15691</v>
      </c>
      <c r="K546" s="70">
        <f t="shared" si="42"/>
        <v>5967</v>
      </c>
      <c r="L546" s="70">
        <f t="shared" si="42"/>
        <v>13271671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4423682</v>
      </c>
      <c r="G550" s="69">
        <f>L527</f>
        <v>1117483</v>
      </c>
      <c r="H550" s="69">
        <f>L532</f>
        <v>349607</v>
      </c>
      <c r="I550" s="69">
        <f>L537</f>
        <v>21488</v>
      </c>
      <c r="J550" s="69">
        <f>L542</f>
        <v>601841</v>
      </c>
      <c r="K550" s="69">
        <f>SUM(F550:J550)</f>
        <v>6514101</v>
      </c>
      <c r="L550" s="23" t="s">
        <v>288</v>
      </c>
      <c r="M550" s="8"/>
      <c r="N550" s="165"/>
    </row>
    <row r="551" spans="1:14" s="3" customFormat="1" ht="12.2" customHeight="1" x14ac:dyDescent="0.15">
      <c r="A551" s="21" t="s">
        <v>634</v>
      </c>
      <c r="B551" s="22">
        <v>21</v>
      </c>
      <c r="C551" s="22">
        <v>23</v>
      </c>
      <c r="D551" s="2" t="s">
        <v>432</v>
      </c>
      <c r="E551" s="22"/>
      <c r="F551" s="69">
        <f>L523</f>
        <v>2193231</v>
      </c>
      <c r="G551" s="69">
        <f>L528</f>
        <v>474884</v>
      </c>
      <c r="H551" s="69">
        <f>L533</f>
        <v>248681</v>
      </c>
      <c r="I551" s="69">
        <f>L538</f>
        <v>11847</v>
      </c>
      <c r="J551" s="69">
        <f>L543</f>
        <v>90602</v>
      </c>
      <c r="K551" s="69">
        <f>SUM(F551:J551)</f>
        <v>3019245</v>
      </c>
      <c r="L551" s="23" t="s">
        <v>288</v>
      </c>
      <c r="M551" s="8"/>
      <c r="N551" s="165"/>
    </row>
    <row r="552" spans="1:14" s="3" customFormat="1" ht="12.2" customHeight="1" thickBot="1" x14ac:dyDescent="0.2">
      <c r="A552" s="21" t="s">
        <v>635</v>
      </c>
      <c r="B552" s="22">
        <v>21</v>
      </c>
      <c r="C552" s="22">
        <v>24</v>
      </c>
      <c r="D552" s="2" t="s">
        <v>432</v>
      </c>
      <c r="E552" s="22"/>
      <c r="F552" s="69">
        <f>L524</f>
        <v>2624878</v>
      </c>
      <c r="G552" s="69">
        <f>L529</f>
        <v>628831</v>
      </c>
      <c r="H552" s="69">
        <f>L534</f>
        <v>320866</v>
      </c>
      <c r="I552" s="69">
        <f>L539</f>
        <v>16234</v>
      </c>
      <c r="J552" s="69">
        <f>L544</f>
        <v>147516</v>
      </c>
      <c r="K552" s="69">
        <f>SUM(F552:J552)</f>
        <v>3738325</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9241791</v>
      </c>
      <c r="G553" s="70">
        <f t="shared" si="43"/>
        <v>2221198</v>
      </c>
      <c r="H553" s="70">
        <f t="shared" si="43"/>
        <v>919154</v>
      </c>
      <c r="I553" s="70">
        <f t="shared" si="43"/>
        <v>49569</v>
      </c>
      <c r="J553" s="70">
        <f t="shared" si="43"/>
        <v>839959</v>
      </c>
      <c r="K553" s="70">
        <f t="shared" si="43"/>
        <v>13271671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22788</v>
      </c>
      <c r="G563" s="18">
        <v>21256</v>
      </c>
      <c r="H563" s="18">
        <v>177</v>
      </c>
      <c r="I563" s="18">
        <v>50</v>
      </c>
      <c r="J563" s="18"/>
      <c r="K563" s="18"/>
      <c r="L563" s="69">
        <f>SUM(F563:K563)</f>
        <v>44271</v>
      </c>
      <c r="M563" s="8"/>
      <c r="N563" s="165"/>
    </row>
    <row r="564" spans="1:14" s="3" customFormat="1" ht="12.2" customHeight="1" x14ac:dyDescent="0.15">
      <c r="A564" s="21" t="s">
        <v>634</v>
      </c>
      <c r="B564" s="22">
        <v>22</v>
      </c>
      <c r="C564" s="22">
        <v>6</v>
      </c>
      <c r="D564" s="2" t="s">
        <v>432</v>
      </c>
      <c r="E564" s="22"/>
      <c r="F564" s="18">
        <v>51131</v>
      </c>
      <c r="G564" s="18">
        <v>10710</v>
      </c>
      <c r="H564" s="18">
        <v>90</v>
      </c>
      <c r="I564" s="18">
        <v>25</v>
      </c>
      <c r="J564" s="18"/>
      <c r="K564" s="18"/>
      <c r="L564" s="69">
        <f>SUM(F564:K564)</f>
        <v>61956</v>
      </c>
      <c r="M564" s="8"/>
      <c r="N564" s="165"/>
    </row>
    <row r="565" spans="1:14" s="3" customFormat="1" ht="12.2" customHeight="1" thickBot="1" x14ac:dyDescent="0.2">
      <c r="A565" s="21" t="s">
        <v>635</v>
      </c>
      <c r="B565" s="22">
        <v>22</v>
      </c>
      <c r="C565" s="22">
        <v>7</v>
      </c>
      <c r="D565" s="2" t="s">
        <v>432</v>
      </c>
      <c r="E565" s="22"/>
      <c r="F565" s="18">
        <v>51131</v>
      </c>
      <c r="G565" s="18">
        <v>17439</v>
      </c>
      <c r="H565" s="18">
        <v>146</v>
      </c>
      <c r="I565" s="18">
        <v>41</v>
      </c>
      <c r="J565" s="18"/>
      <c r="K565" s="18"/>
      <c r="L565" s="69">
        <f>SUM(F565:K565)</f>
        <v>68757</v>
      </c>
      <c r="M565" s="8"/>
      <c r="N565" s="165"/>
    </row>
    <row r="566" spans="1:14" s="3" customFormat="1" ht="12.2" customHeight="1" thickTop="1" x14ac:dyDescent="0.15">
      <c r="A566" s="97" t="s">
        <v>65</v>
      </c>
      <c r="B566" s="41">
        <v>22</v>
      </c>
      <c r="C566" s="41">
        <v>8</v>
      </c>
      <c r="D566" s="115" t="s">
        <v>432</v>
      </c>
      <c r="E566" s="41"/>
      <c r="F566" s="70">
        <f t="shared" ref="F566:L566" si="45">SUM(F563:F565)</f>
        <v>125050</v>
      </c>
      <c r="G566" s="70">
        <f t="shared" si="45"/>
        <v>49405</v>
      </c>
      <c r="H566" s="70">
        <f t="shared" si="45"/>
        <v>413</v>
      </c>
      <c r="I566" s="70">
        <f t="shared" si="45"/>
        <v>116</v>
      </c>
      <c r="J566" s="70">
        <f t="shared" si="45"/>
        <v>0</v>
      </c>
      <c r="K566" s="70">
        <f t="shared" si="45"/>
        <v>0</v>
      </c>
      <c r="L566" s="70">
        <f t="shared" si="45"/>
        <v>174984</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125050</v>
      </c>
      <c r="G572" s="70">
        <f t="shared" ref="G572:L572" si="47">G561+G566+G571</f>
        <v>49405</v>
      </c>
      <c r="H572" s="70">
        <f t="shared" si="47"/>
        <v>413</v>
      </c>
      <c r="I572" s="70">
        <f t="shared" si="47"/>
        <v>116</v>
      </c>
      <c r="J572" s="70">
        <f t="shared" si="47"/>
        <v>0</v>
      </c>
      <c r="K572" s="70">
        <f t="shared" si="47"/>
        <v>0</v>
      </c>
      <c r="L572" s="70">
        <f t="shared" si="47"/>
        <v>174984</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f>80508+82524</f>
        <v>163032</v>
      </c>
      <c r="G580" s="18">
        <f>169746+41583</f>
        <v>211329</v>
      </c>
      <c r="H580" s="18">
        <f>1633+67704</f>
        <v>69337</v>
      </c>
      <c r="I580" s="69">
        <f t="shared" si="48"/>
        <v>443698</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436686</v>
      </c>
      <c r="G583" s="18">
        <v>393528</v>
      </c>
      <c r="H583" s="18">
        <v>347184</v>
      </c>
      <c r="I583" s="69">
        <f t="shared" si="48"/>
        <v>1177398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320086</v>
      </c>
      <c r="I585" s="69">
        <f t="shared" si="48"/>
        <v>320086</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8687+280820</f>
        <v>289507</v>
      </c>
      <c r="I592" s="18">
        <v>141501</v>
      </c>
      <c r="J592" s="18">
        <v>230390</v>
      </c>
      <c r="K592" s="80">
        <f t="shared" ref="K592:K598" si="49">SUM(H592:J592)</f>
        <v>661398</v>
      </c>
      <c r="L592" s="23" t="s">
        <v>288</v>
      </c>
      <c r="M592" s="8"/>
      <c r="N592" s="165"/>
    </row>
    <row r="593" spans="1:14" s="3" customFormat="1" ht="12.2" customHeight="1" x14ac:dyDescent="0.15">
      <c r="A593" s="3" t="s">
        <v>638</v>
      </c>
      <c r="B593" s="22">
        <v>23</v>
      </c>
      <c r="C593" s="22">
        <v>2</v>
      </c>
      <c r="D593" s="2" t="s">
        <v>432</v>
      </c>
      <c r="E593" s="22"/>
      <c r="F593" s="78">
        <v>2722</v>
      </c>
      <c r="G593" s="79" t="s">
        <v>97</v>
      </c>
      <c r="H593" s="18">
        <f>393698+28336+179807</f>
        <v>601841</v>
      </c>
      <c r="I593" s="18">
        <v>90602</v>
      </c>
      <c r="J593" s="18">
        <v>147517</v>
      </c>
      <c r="K593" s="80">
        <f t="shared" si="49"/>
        <v>839960</v>
      </c>
      <c r="L593" s="23" t="s">
        <v>288</v>
      </c>
      <c r="M593" s="8"/>
      <c r="N593" s="165"/>
    </row>
    <row r="594" spans="1:14" s="3" customFormat="1" ht="12.2" customHeight="1" x14ac:dyDescent="0.15">
      <c r="A594" s="3" t="s">
        <v>639</v>
      </c>
      <c r="B594" s="22">
        <v>23</v>
      </c>
      <c r="C594" s="22">
        <v>3</v>
      </c>
      <c r="D594" s="2" t="s">
        <v>432</v>
      </c>
      <c r="E594" s="22"/>
      <c r="F594" s="78">
        <v>2723</v>
      </c>
      <c r="G594" s="79" t="s">
        <v>97</v>
      </c>
      <c r="H594" s="18">
        <v>111</v>
      </c>
      <c r="I594" s="18">
        <v>56</v>
      </c>
      <c r="J594" s="18">
        <f>2240+91</f>
        <v>2331</v>
      </c>
      <c r="K594" s="80">
        <f t="shared" si="49"/>
        <v>2498</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f>400+400+100+100+192</f>
        <v>1192</v>
      </c>
      <c r="I596" s="18">
        <f>7164+97</f>
        <v>7261</v>
      </c>
      <c r="J596" s="18">
        <f>22459+157</f>
        <v>22616</v>
      </c>
      <c r="K596" s="80">
        <f t="shared" si="49"/>
        <v>31069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v>393136</v>
      </c>
      <c r="I598" s="18">
        <v>198096</v>
      </c>
      <c r="J598" s="18">
        <v>322536</v>
      </c>
      <c r="K598" s="80">
        <f t="shared" si="49"/>
        <v>913768</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1285787</v>
      </c>
      <c r="I599" s="81">
        <f>SUM(I592:I598)</f>
        <v>437516</v>
      </c>
      <c r="J599" s="81">
        <f>SUM(J592:J598)</f>
        <v>725390</v>
      </c>
      <c r="K599" s="81">
        <f>SUM(K592:K598)</f>
        <v>2448693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34920</v>
      </c>
      <c r="I604" s="18">
        <v>17595</v>
      </c>
      <c r="J604" s="18">
        <v>28649</v>
      </c>
      <c r="K604" s="80">
        <f>SUM(H604:J604)</f>
        <v>81164</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21666+817416-406660+1</f>
        <v>432423</v>
      </c>
      <c r="I605" s="18">
        <f>33886+411883-204910+1</f>
        <v>240860</v>
      </c>
      <c r="J605" s="18">
        <f>46243+670622-333631+1</f>
        <v>383235</v>
      </c>
      <c r="K605" s="80">
        <f>SUM(H605:J605)</f>
        <v>1056518</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467343</v>
      </c>
      <c r="I606" s="81">
        <f>SUM(I603:I605)</f>
        <v>258455</v>
      </c>
      <c r="J606" s="81">
        <f>SUM(J603:J605)</f>
        <v>411884</v>
      </c>
      <c r="K606" s="81">
        <f>SUM(K603:K605)</f>
        <v>1137682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2971807</v>
      </c>
      <c r="H618" s="80">
        <f>SUM(F52)</f>
        <v>2971807.0000000009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1007816</v>
      </c>
      <c r="H619" s="80">
        <f>SUM(G52)</f>
        <v>1007816</v>
      </c>
      <c r="I619" s="87" t="s">
        <v>875</v>
      </c>
      <c r="J619" s="80">
        <f>G619-H619</f>
        <v>0</v>
      </c>
      <c r="K619" s="80"/>
      <c r="L619" s="80"/>
      <c r="M619" s="8"/>
    </row>
    <row r="620" spans="1:14" s="3" customFormat="1" ht="12.2" customHeight="1" x14ac:dyDescent="0.15">
      <c r="A620" s="74"/>
      <c r="B620" s="22"/>
      <c r="C620" s="22"/>
      <c r="D620" s="22"/>
      <c r="E620" s="22"/>
      <c r="F620" s="87" t="s">
        <v>685</v>
      </c>
      <c r="G620" s="80">
        <f>SUM(H19)</f>
        <v>1333182</v>
      </c>
      <c r="H620" s="80">
        <f>SUM(H52)</f>
        <v>1333182</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1595919</v>
      </c>
      <c r="H622" s="80">
        <f>SUM(J52)</f>
        <v>1595919</v>
      </c>
      <c r="I622" s="87" t="s">
        <v>878</v>
      </c>
      <c r="J622" s="80">
        <f>G622-H622</f>
        <v>0</v>
      </c>
      <c r="K622" s="80"/>
      <c r="L622" s="80"/>
      <c r="M622" s="8"/>
    </row>
    <row r="623" spans="1:14" s="3" customFormat="1" ht="12.2" customHeight="1" x14ac:dyDescent="0.15">
      <c r="A623" s="74"/>
      <c r="B623" s="22"/>
      <c r="C623" s="22"/>
      <c r="D623" s="22"/>
      <c r="E623" s="22"/>
      <c r="F623" s="87" t="s">
        <v>864</v>
      </c>
      <c r="G623" s="80">
        <f>F51</f>
        <v>513950.96000000089</v>
      </c>
      <c r="H623" s="80">
        <f>F477</f>
        <v>513950.96000000089</v>
      </c>
      <c r="I623" s="87" t="s">
        <v>101</v>
      </c>
      <c r="J623" s="80">
        <f t="shared" ref="J623:J656" si="51">G623-H623</f>
        <v>0</v>
      </c>
      <c r="K623" s="80"/>
      <c r="L623" s="80"/>
      <c r="M623" s="8"/>
    </row>
    <row r="624" spans="1:14" s="3" customFormat="1" ht="12.2" customHeight="1" x14ac:dyDescent="0.15">
      <c r="A624" s="74"/>
      <c r="B624" s="22"/>
      <c r="C624" s="85"/>
      <c r="D624" s="85"/>
      <c r="E624" s="85"/>
      <c r="F624" s="85" t="s">
        <v>865</v>
      </c>
      <c r="G624" s="80">
        <f>G51</f>
        <v>268739</v>
      </c>
      <c r="H624" s="80">
        <f>G477</f>
        <v>268739</v>
      </c>
      <c r="I624" s="87" t="s">
        <v>102</v>
      </c>
      <c r="J624" s="80">
        <f t="shared" si="51"/>
        <v>0</v>
      </c>
      <c r="K624" s="80"/>
      <c r="L624" s="80"/>
      <c r="M624" s="8"/>
    </row>
    <row r="625" spans="1:13" s="3" customFormat="1" ht="12.2" customHeight="1" x14ac:dyDescent="0.15">
      <c r="A625" s="74"/>
      <c r="B625" s="22"/>
      <c r="C625" s="22"/>
      <c r="D625" s="22"/>
      <c r="E625" s="22"/>
      <c r="F625" s="86" t="s">
        <v>866</v>
      </c>
      <c r="G625" s="80">
        <f>H51</f>
        <v>64737</v>
      </c>
      <c r="H625" s="80">
        <f>H477</f>
        <v>64737</v>
      </c>
      <c r="I625" s="87" t="s">
        <v>103</v>
      </c>
      <c r="J625" s="80">
        <f t="shared" si="51"/>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1595919</v>
      </c>
      <c r="H627" s="80">
        <f>J477</f>
        <v>1595919</v>
      </c>
      <c r="I627" s="87" t="s">
        <v>105</v>
      </c>
      <c r="J627" s="80">
        <f t="shared" si="51"/>
        <v>0</v>
      </c>
      <c r="K627" s="67"/>
      <c r="L627" s="69"/>
      <c r="M627" s="8"/>
    </row>
    <row r="628" spans="1:13" s="3" customFormat="1" ht="12.2" customHeight="1" x14ac:dyDescent="0.15">
      <c r="A628" s="21"/>
      <c r="B628" s="22"/>
      <c r="C628" s="22"/>
      <c r="D628" s="22"/>
      <c r="E628" s="22"/>
      <c r="F628" s="86" t="s">
        <v>658</v>
      </c>
      <c r="G628" s="80">
        <f>F194</f>
        <v>42253543.960000001</v>
      </c>
      <c r="H628" s="80">
        <f>SUM(F469)</f>
        <v>42253543.960000001</v>
      </c>
      <c r="I628" s="87" t="s">
        <v>106</v>
      </c>
      <c r="J628" s="80">
        <f>G628-H628</f>
        <v>0</v>
      </c>
      <c r="K628" s="67"/>
      <c r="L628" s="69"/>
      <c r="M628" s="8"/>
    </row>
    <row r="629" spans="1:13" s="3" customFormat="1" ht="12.2" customHeight="1" x14ac:dyDescent="0.15">
      <c r="A629" s="21"/>
      <c r="B629" s="22"/>
      <c r="C629" s="22"/>
      <c r="D629" s="22"/>
      <c r="E629" s="22"/>
      <c r="F629" s="86" t="s">
        <v>659</v>
      </c>
      <c r="G629" s="80">
        <f>G194</f>
        <v>1228589</v>
      </c>
      <c r="H629" s="80">
        <f>SUM(G469)</f>
        <v>1228589</v>
      </c>
      <c r="I629" s="87" t="s">
        <v>107</v>
      </c>
      <c r="J629" s="80">
        <f>G629-H629</f>
        <v>0</v>
      </c>
      <c r="K629" s="67"/>
      <c r="L629" s="69"/>
      <c r="M629" s="8"/>
    </row>
    <row r="630" spans="1:13" s="3" customFormat="1" ht="12.2" customHeight="1" x14ac:dyDescent="0.15">
      <c r="A630" s="21"/>
      <c r="B630" s="22"/>
      <c r="C630" s="22"/>
      <c r="D630" s="22"/>
      <c r="E630" s="22"/>
      <c r="F630" s="86" t="s">
        <v>660</v>
      </c>
      <c r="G630" s="80">
        <f>H194</f>
        <v>3321816</v>
      </c>
      <c r="H630" s="80">
        <f>SUM(H469)</f>
        <v>3321816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346150</v>
      </c>
      <c r="H632" s="80">
        <f>SUM(J469)</f>
        <v>346150</v>
      </c>
      <c r="I632" s="87" t="s">
        <v>110</v>
      </c>
      <c r="J632" s="80">
        <f>G632-H632</f>
        <v>0</v>
      </c>
      <c r="K632" s="67"/>
      <c r="L632" s="69"/>
      <c r="M632" s="8"/>
    </row>
    <row r="633" spans="1:13" s="3" customFormat="1" ht="12.2" customHeight="1" x14ac:dyDescent="0.15">
      <c r="A633" s="21"/>
      <c r="B633" s="22"/>
      <c r="C633" s="22"/>
      <c r="D633" s="22"/>
      <c r="E633" s="22"/>
      <c r="F633" s="86" t="s">
        <v>394</v>
      </c>
      <c r="G633" s="80">
        <f>SUM(L272)</f>
        <v>42521765</v>
      </c>
      <c r="H633" s="80">
        <f>SUM(F473)</f>
        <v>42521765</v>
      </c>
      <c r="I633" s="87" t="s">
        <v>111</v>
      </c>
      <c r="J633" s="80">
        <f t="shared" si="51"/>
        <v>0</v>
      </c>
      <c r="K633" s="67"/>
      <c r="L633" s="69"/>
      <c r="M633" s="8"/>
    </row>
    <row r="634" spans="1:13" s="3" customFormat="1" ht="12.2" customHeight="1" x14ac:dyDescent="0.15">
      <c r="A634" s="21"/>
      <c r="B634" s="22"/>
      <c r="C634" s="22"/>
      <c r="D634" s="22"/>
      <c r="E634" s="22"/>
      <c r="F634" s="86" t="s">
        <v>395</v>
      </c>
      <c r="G634" s="80">
        <f>SUM(L353)</f>
        <v>3286738</v>
      </c>
      <c r="H634" s="80">
        <f>SUM(H473)</f>
        <v>3286738</v>
      </c>
      <c r="I634" s="87" t="s">
        <v>112</v>
      </c>
      <c r="J634" s="80">
        <f>G634-H634</f>
        <v>0</v>
      </c>
      <c r="K634" s="67"/>
      <c r="L634" s="69"/>
      <c r="M634" s="8"/>
    </row>
    <row r="635" spans="1:13" s="124" customFormat="1" ht="12.2" customHeight="1" x14ac:dyDescent="0.15">
      <c r="A635" s="21"/>
      <c r="B635" s="22"/>
      <c r="C635" s="22"/>
      <c r="D635" s="22"/>
      <c r="E635" s="22"/>
      <c r="F635" s="99" t="s">
        <v>247</v>
      </c>
      <c r="G635" s="80">
        <f>I363</f>
        <v>523612</v>
      </c>
      <c r="H635" s="80">
        <f>I370</f>
        <v>523612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1228787</v>
      </c>
      <c r="H636" s="80">
        <f>SUM(G473)</f>
        <v>1228787</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346150</v>
      </c>
      <c r="H638" s="108">
        <f>SUM(J469)</f>
        <v>346150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1"/>
        <v>0</v>
      </c>
      <c r="K640" s="67"/>
      <c r="L640" s="69"/>
      <c r="M640" s="8"/>
    </row>
    <row r="641" spans="1:13" s="3" customFormat="1" ht="12.2" customHeight="1" x14ac:dyDescent="0.15">
      <c r="A641" s="21"/>
      <c r="B641" s="22"/>
      <c r="C641" s="22"/>
      <c r="D641" s="22"/>
      <c r="E641" s="22"/>
      <c r="F641" s="86" t="s">
        <v>119</v>
      </c>
      <c r="G641" s="80">
        <f>SUM(G447)</f>
        <v>1595919</v>
      </c>
      <c r="H641" s="80">
        <f>SUM(G462)</f>
        <v>1595919</v>
      </c>
      <c r="I641" s="87" t="s">
        <v>841</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1"/>
        <v>0</v>
      </c>
      <c r="K642" s="67"/>
      <c r="L642" s="69"/>
      <c r="M642" s="8"/>
    </row>
    <row r="643" spans="1:13" s="3" customFormat="1" ht="12.2" customHeight="1" x14ac:dyDescent="0.15">
      <c r="A643" s="21"/>
      <c r="B643" s="22"/>
      <c r="C643" s="22"/>
      <c r="D643" s="22"/>
      <c r="E643" s="22"/>
      <c r="F643" s="86" t="s">
        <v>121</v>
      </c>
      <c r="G643" s="80">
        <f>SUM(I447)</f>
        <v>1595919</v>
      </c>
      <c r="H643" s="80">
        <f>SUM(I462)</f>
        <v>1595919</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46150</v>
      </c>
      <c r="H645" s="80">
        <f>H409</f>
        <v>46150</v>
      </c>
      <c r="I645" s="87" t="s">
        <v>480</v>
      </c>
      <c r="J645" s="80">
        <f t="shared" si="51"/>
        <v>0</v>
      </c>
      <c r="K645" s="67"/>
      <c r="L645" s="69"/>
      <c r="M645" s="8"/>
    </row>
    <row r="646" spans="1:13" s="3" customFormat="1" ht="12.2" customHeight="1" x14ac:dyDescent="0.15">
      <c r="A646" s="21"/>
      <c r="B646" s="22"/>
      <c r="C646" s="22"/>
      <c r="D646" s="22"/>
      <c r="E646" s="22"/>
      <c r="F646" s="86" t="s">
        <v>664</v>
      </c>
      <c r="G646" s="80">
        <f>J184</f>
        <v>300000</v>
      </c>
      <c r="H646" s="80">
        <f>G409</f>
        <v>300000</v>
      </c>
      <c r="I646" s="87" t="s">
        <v>481</v>
      </c>
      <c r="J646" s="80">
        <f t="shared" si="51"/>
        <v>0</v>
      </c>
      <c r="K646" s="67"/>
      <c r="L646" s="69"/>
      <c r="M646" s="8"/>
    </row>
    <row r="647" spans="1:13" s="3" customFormat="1" ht="12.2" customHeight="1" x14ac:dyDescent="0.15">
      <c r="A647" s="21"/>
      <c r="B647" s="22"/>
      <c r="C647" s="22"/>
      <c r="D647" s="22"/>
      <c r="E647" s="22"/>
      <c r="F647" s="86" t="s">
        <v>662</v>
      </c>
      <c r="G647" s="80">
        <f>J194</f>
        <v>346150</v>
      </c>
      <c r="H647" s="80">
        <f>L409</f>
        <v>346150</v>
      </c>
      <c r="I647" s="87" t="s">
        <v>477</v>
      </c>
      <c r="J647" s="80">
        <f t="shared" si="51"/>
        <v>0</v>
      </c>
      <c r="K647" s="67"/>
      <c r="L647" s="69"/>
      <c r="M647" s="8"/>
    </row>
    <row r="648" spans="1:13" s="3" customFormat="1" ht="12.2" customHeight="1" x14ac:dyDescent="0.15">
      <c r="A648" s="21"/>
      <c r="B648" s="22"/>
      <c r="C648" s="22"/>
      <c r="D648" s="22"/>
      <c r="E648" s="22"/>
      <c r="F648" s="86" t="s">
        <v>51</v>
      </c>
      <c r="G648" s="80">
        <f>K599</f>
        <v>2448693</v>
      </c>
      <c r="H648" s="80">
        <f>L209+L227+L245</f>
        <v>2448693</v>
      </c>
      <c r="I648" s="87" t="s">
        <v>396</v>
      </c>
      <c r="J648" s="80">
        <f t="shared" si="51"/>
        <v>0</v>
      </c>
      <c r="K648" s="67"/>
      <c r="L648" s="69"/>
      <c r="M648" s="8"/>
    </row>
    <row r="649" spans="1:13" s="3" customFormat="1" ht="12.2" customHeight="1" x14ac:dyDescent="0.15">
      <c r="A649" s="21"/>
      <c r="B649" s="22"/>
      <c r="C649" s="22"/>
      <c r="D649" s="22"/>
      <c r="E649" s="22"/>
      <c r="F649" s="86" t="s">
        <v>52</v>
      </c>
      <c r="G649" s="80">
        <f>K606</f>
        <v>1137682</v>
      </c>
      <c r="H649" s="80">
        <f>(J258+J339)-(J256+J337)</f>
        <v>1137682</v>
      </c>
      <c r="I649" s="87" t="s">
        <v>699</v>
      </c>
      <c r="J649" s="80">
        <f t="shared" si="51"/>
        <v>0</v>
      </c>
      <c r="K649" s="67"/>
      <c r="L649" s="69"/>
      <c r="M649" s="8"/>
    </row>
    <row r="650" spans="1:13" s="3" customFormat="1" ht="12.2" customHeight="1" x14ac:dyDescent="0.15">
      <c r="A650" s="21"/>
      <c r="B650" s="22"/>
      <c r="C650" s="22"/>
      <c r="D650" s="22"/>
      <c r="E650" s="22"/>
      <c r="F650" s="86" t="s">
        <v>387</v>
      </c>
      <c r="G650" s="80">
        <f>L209</f>
        <v>1285787</v>
      </c>
      <c r="H650" s="80">
        <f>H599</f>
        <v>1285787</v>
      </c>
      <c r="I650" s="87" t="s">
        <v>388</v>
      </c>
      <c r="J650" s="80">
        <f t="shared" si="51"/>
        <v>0</v>
      </c>
      <c r="K650" s="67"/>
      <c r="L650" s="69"/>
      <c r="M650" s="8"/>
    </row>
    <row r="651" spans="1:13" s="3" customFormat="1" ht="12.2" customHeight="1" x14ac:dyDescent="0.15">
      <c r="A651" s="21"/>
      <c r="B651" s="22"/>
      <c r="C651" s="22"/>
      <c r="D651" s="22"/>
      <c r="E651" s="22"/>
      <c r="F651" s="86" t="s">
        <v>392</v>
      </c>
      <c r="G651" s="80">
        <f>L227</f>
        <v>437516</v>
      </c>
      <c r="H651" s="80">
        <f>I599</f>
        <v>437516</v>
      </c>
      <c r="I651" s="87" t="s">
        <v>389</v>
      </c>
      <c r="J651" s="80">
        <f t="shared" si="51"/>
        <v>0</v>
      </c>
      <c r="K651" s="67"/>
      <c r="L651" s="69"/>
      <c r="M651" s="8"/>
    </row>
    <row r="652" spans="1:13" s="3" customFormat="1" ht="12.2" customHeight="1" x14ac:dyDescent="0.15">
      <c r="A652" s="21"/>
      <c r="B652" s="22"/>
      <c r="C652" s="22"/>
      <c r="D652" s="22"/>
      <c r="E652" s="22"/>
      <c r="F652" s="86" t="s">
        <v>393</v>
      </c>
      <c r="G652" s="80">
        <f>L245</f>
        <v>725390</v>
      </c>
      <c r="H652" s="80">
        <f>J599</f>
        <v>725390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300000</v>
      </c>
      <c r="H656" s="80">
        <f>K267+K348</f>
        <v>300000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20593211</v>
      </c>
      <c r="G661" s="13">
        <f>(L230+L310+L360)</f>
        <v>9967095</v>
      </c>
      <c r="H661" s="13">
        <f>(L248+L329+L361)</f>
        <v>14551411</v>
      </c>
      <c r="I661" s="13">
        <f>SUM(F661:H661)</f>
        <v>45111717</v>
      </c>
      <c r="J661" s="13"/>
      <c r="K661" s="13"/>
      <c r="L661" s="13"/>
      <c r="M661" s="9"/>
    </row>
    <row r="662" spans="1:13" s="3" customFormat="1" ht="12.2" customHeight="1" x14ac:dyDescent="0.2">
      <c r="A662" s="1" t="s">
        <v>127</v>
      </c>
      <c r="F662" s="13">
        <f>(L359/IF(SUM(L359:L361)=0,1,SUM(L359:L361))*(SUM(G97:G110)))</f>
        <v>262560.64618684928</v>
      </c>
      <c r="G662" s="13">
        <f>(L360/IF(SUM(L359:L361)=0,1,SUM(L359:L361))*(SUM(G97:G110)))</f>
        <v>118320.58299037995</v>
      </c>
      <c r="H662" s="13">
        <f>(L361/IF(SUM(L359:L361)=0,1,SUM(L359:L361))*(SUM(G97:G110)))</f>
        <v>281711.77082277072</v>
      </c>
      <c r="I662" s="13">
        <f>SUM(F662:H662)</f>
        <v>662593</v>
      </c>
      <c r="J662"/>
      <c r="K662" s="13"/>
      <c r="L662" s="13"/>
      <c r="M662" s="8"/>
    </row>
    <row r="663" spans="1:13" s="3" customFormat="1" ht="12.2" customHeight="1" x14ac:dyDescent="0.2">
      <c r="A663" s="1" t="s">
        <v>128</v>
      </c>
      <c r="F663" s="13">
        <f>(L209+L288)-(J209+J288)</f>
        <v>1173207</v>
      </c>
      <c r="G663" s="13">
        <f>(L227+L307)-(J227+J307)</f>
        <v>380788</v>
      </c>
      <c r="H663" s="13">
        <f>(L245+L326)-(J245+J326)</f>
        <v>633028</v>
      </c>
      <c r="I663" s="13">
        <f>SUM(F663:H663)</f>
        <v>2187023</v>
      </c>
      <c r="J663"/>
      <c r="K663" s="13"/>
      <c r="L663" s="13"/>
      <c r="M663" s="9"/>
    </row>
    <row r="664" spans="1:13" s="3" customFormat="1" ht="12.2" customHeight="1" x14ac:dyDescent="0.15">
      <c r="A664" s="142" t="s">
        <v>129</v>
      </c>
      <c r="B664" s="124"/>
      <c r="C664" s="124"/>
      <c r="D664" s="124"/>
      <c r="E664" s="124"/>
      <c r="F664" s="143">
        <f>SUM(F576:F588)+SUM(H603:H605)+SUM(L612)</f>
        <v>1067061</v>
      </c>
      <c r="G664" s="143">
        <f>SUM(G576:G588)+SUM(I603:I605)+L613</f>
        <v>863312</v>
      </c>
      <c r="H664" s="143">
        <f>SUM(H576:H588)+SUM(J603:J605)+L614</f>
        <v>1148491</v>
      </c>
      <c r="I664" s="13">
        <f>SUM(F664:H664)</f>
        <v>3078864</v>
      </c>
      <c r="J664" s="13"/>
      <c r="K664" s="13"/>
      <c r="L664" s="13"/>
      <c r="M664" s="9"/>
    </row>
    <row r="665" spans="1:13" s="3" customFormat="1" ht="12.2" customHeight="1" x14ac:dyDescent="0.15">
      <c r="A665" s="1" t="s">
        <v>130</v>
      </c>
      <c r="F665" s="13">
        <f>F661-SUM(F662:F664)</f>
        <v>18090382.353813149</v>
      </c>
      <c r="G665" s="13">
        <f>G661-SUM(G662:G664)</f>
        <v>8604674.41700962</v>
      </c>
      <c r="H665" s="13">
        <f>H661-SUM(H662:H664)</f>
        <v>12488180.229177229</v>
      </c>
      <c r="I665" s="13">
        <f>I661-SUM(I662:I664)</f>
        <v>39183237</v>
      </c>
      <c r="J665" s="13"/>
      <c r="K665" s="13"/>
      <c r="L665" s="13"/>
      <c r="M665" s="8"/>
    </row>
    <row r="666" spans="1:13" s="3" customFormat="1" ht="12.2" customHeight="1" x14ac:dyDescent="0.2">
      <c r="A666" s="1" t="s">
        <v>131</v>
      </c>
      <c r="F666" s="183">
        <v>942.17</v>
      </c>
      <c r="G666" s="184">
        <v>474.76</v>
      </c>
      <c r="H666" s="184">
        <v>773</v>
      </c>
      <c r="I666" s="13">
        <f>SUM(F666:H666)</f>
        <v>2189.9299999999998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19200.759999999998</v>
      </c>
      <c r="G668" s="13">
        <f>ROUND(G665/G666,2)</f>
        <v>18124.259999999998</v>
      </c>
      <c r="H668" s="13">
        <f>ROUND(H665/H666,2)</f>
        <v>16155.47</v>
      </c>
      <c r="I668" s="13">
        <f>ROUND(I665/I666,2)</f>
        <v>17892.46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-34.44</v>
      </c>
      <c r="I671" s="13">
        <f>SUM(F671:H671)</f>
        <v>-34.44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19200.759999999998</v>
      </c>
      <c r="G673" s="13">
        <f>ROUND((G665+G670)/(G666+G671),2)</f>
        <v>18124.259999999998</v>
      </c>
      <c r="H673" s="13">
        <f>ROUND((H665+H670)/(H666+H671),2)</f>
        <v>16908.82</v>
      </c>
      <c r="I673" s="13">
        <f>ROUND((I665+I670)/(I666+I671),2)</f>
        <v>18178.34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189364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65952+79903</f>
        <v>145855</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152+43357</f>
        <v>43509</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Merrimack Valley</v>
      </c>
      <c r="C5" s="317"/>
      <c r="D5" s="317"/>
      <c r="E5" s="317"/>
      <c r="F5" s="317"/>
    </row>
    <row r="8" spans="1:9" ht="18" x14ac:dyDescent="0.25">
      <c r="A8" s="240" t="s">
        <v>1560</v>
      </c>
      <c r="F8" s="247" t="s">
        <v>1578</v>
      </c>
    </row>
    <row r="9" spans="1:9" ht="15" x14ac:dyDescent="0.2">
      <c r="A9" s="238" t="s">
        <v>1561</v>
      </c>
      <c r="B9" s="241">
        <f>'DOE25'!G97</f>
        <v>646783</v>
      </c>
      <c r="F9" s="238" t="s">
        <v>1574</v>
      </c>
    </row>
    <row r="10" spans="1:9" ht="15" x14ac:dyDescent="0.2">
      <c r="A10" s="238" t="s">
        <v>1562</v>
      </c>
      <c r="B10" s="241">
        <f>'DOE25'!G112-'DOE25'!G97</f>
        <v>17198</v>
      </c>
      <c r="F10" s="238" t="s">
        <v>1575</v>
      </c>
    </row>
    <row r="11" spans="1:9" ht="15" x14ac:dyDescent="0.2">
      <c r="A11" s="238" t="s">
        <v>1563</v>
      </c>
      <c r="B11" s="241">
        <f>'DOE25'!G140</f>
        <v>70234</v>
      </c>
      <c r="F11" s="238" t="s">
        <v>1576</v>
      </c>
    </row>
    <row r="12" spans="1:9" ht="15" x14ac:dyDescent="0.2">
      <c r="A12" s="238" t="s">
        <v>1564</v>
      </c>
      <c r="B12" s="241">
        <f>'DOE25'!G170</f>
        <v>494374</v>
      </c>
      <c r="F12" s="238" t="s">
        <v>1577</v>
      </c>
    </row>
    <row r="13" spans="1:9" ht="15" x14ac:dyDescent="0.2">
      <c r="A13" s="238" t="s">
        <v>1565</v>
      </c>
      <c r="B13" s="241">
        <f>'DOE25'!G193-'DOE25'!G180</f>
        <v>0</v>
      </c>
      <c r="F13" s="238" t="s">
        <v>1587</v>
      </c>
    </row>
    <row r="14" spans="1:9" ht="18" x14ac:dyDescent="0.25">
      <c r="A14" s="240" t="s">
        <v>732</v>
      </c>
      <c r="B14" s="242">
        <f>SUM(B9:B13)</f>
        <v>1228589</v>
      </c>
    </row>
    <row r="16" spans="1:9" ht="18" x14ac:dyDescent="0.25">
      <c r="A16" s="240" t="s">
        <v>786</v>
      </c>
      <c r="F16" s="247" t="s">
        <v>1579</v>
      </c>
    </row>
    <row r="17" spans="1:6" ht="15" x14ac:dyDescent="0.2">
      <c r="A17" s="238" t="s">
        <v>1566</v>
      </c>
      <c r="B17" s="241">
        <f>'DOE25'!L363-'DOE25'!L362</f>
        <v>1228787</v>
      </c>
      <c r="F17" s="238" t="s">
        <v>1580</v>
      </c>
    </row>
    <row r="18" spans="1:6" ht="15" x14ac:dyDescent="0.2">
      <c r="A18" s="238" t="s">
        <v>1567</v>
      </c>
      <c r="B18" s="251"/>
      <c r="F18" s="247" t="s">
        <v>1604</v>
      </c>
    </row>
    <row r="19" spans="1:6" ht="18" x14ac:dyDescent="0.25">
      <c r="A19" s="240" t="s">
        <v>725</v>
      </c>
      <c r="B19" s="242">
        <f>SUM(B17:B18)</f>
        <v>1228787</v>
      </c>
    </row>
    <row r="21" spans="1:6" ht="18.75" thickBot="1" x14ac:dyDescent="0.3">
      <c r="A21" s="240" t="s">
        <v>1568</v>
      </c>
    </row>
    <row r="22" spans="1:6" ht="18.75" thickTop="1" x14ac:dyDescent="0.25">
      <c r="A22" s="240" t="s">
        <v>1569</v>
      </c>
      <c r="B22" s="246">
        <f>B14-B19</f>
        <v>-198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268937</v>
      </c>
      <c r="F31" s="238" t="s">
        <v>1584</v>
      </c>
    </row>
    <row r="33" spans="1:6" ht="15" x14ac:dyDescent="0.2">
      <c r="A33" s="238" t="s">
        <v>1798</v>
      </c>
      <c r="B33" s="241">
        <f>'DOE25'!G477</f>
        <v>268739</v>
      </c>
      <c r="F33" s="238" t="s">
        <v>1585</v>
      </c>
    </row>
    <row r="36" spans="1:6" ht="15" x14ac:dyDescent="0.2">
      <c r="A36" s="238" t="s">
        <v>1571</v>
      </c>
      <c r="B36" s="252">
        <v>72566</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F41" sqref="F4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Merrimack Valley</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10450957</v>
      </c>
      <c r="C9" s="167">
        <f>'DOE25'!G198+'DOE25'!G216+'DOE25'!G234+'DOE25'!G277+'DOE25'!G296+'DOE25'!G315</f>
        <v>4710954</v>
      </c>
    </row>
    <row r="10" spans="1:3" x14ac:dyDescent="0.2">
      <c r="A10" t="s">
        <v>775</v>
      </c>
      <c r="B10" s="177">
        <v>9944509</v>
      </c>
      <c r="C10" s="177">
        <v>4672211</v>
      </c>
    </row>
    <row r="11" spans="1:3" x14ac:dyDescent="0.2">
      <c r="A11" t="s">
        <v>776</v>
      </c>
      <c r="B11" s="177">
        <v>166423</v>
      </c>
      <c r="C11" s="177">
        <v>12731</v>
      </c>
    </row>
    <row r="12" spans="1:3" x14ac:dyDescent="0.2">
      <c r="A12" t="s">
        <v>777</v>
      </c>
      <c r="B12" s="177">
        <v>340025</v>
      </c>
      <c r="C12" s="177">
        <v>26012</v>
      </c>
    </row>
    <row r="13" spans="1:3" x14ac:dyDescent="0.2">
      <c r="A13" t="str">
        <f>IF(B9=B13,IF(C9=C13,"Check Total OK","Check Total Error"),"Check Total Error")</f>
        <v>Check Total OK</v>
      </c>
      <c r="B13" s="169">
        <f>SUM(B10:B12)</f>
        <v>10450957</v>
      </c>
      <c r="C13" s="169">
        <f>SUM(C10:C12)</f>
        <v>4710954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5253889</v>
      </c>
      <c r="C18" s="167">
        <f>'DOE25'!G199+'DOE25'!G217+'DOE25'!G235+'DOE25'!G278+'DOE25'!G297+'DOE25'!G316</f>
        <v>2143227</v>
      </c>
    </row>
    <row r="19" spans="1:3" x14ac:dyDescent="0.2">
      <c r="A19" t="s">
        <v>775</v>
      </c>
      <c r="B19" s="177">
        <v>2548643</v>
      </c>
      <c r="C19" s="177">
        <f>2143227-206951</f>
        <v>1936276</v>
      </c>
    </row>
    <row r="20" spans="1:3" x14ac:dyDescent="0.2">
      <c r="A20" t="s">
        <v>776</v>
      </c>
      <c r="B20" s="177">
        <v>2688618</v>
      </c>
      <c r="C20" s="177">
        <v>205679</v>
      </c>
    </row>
    <row r="21" spans="1:3" x14ac:dyDescent="0.2">
      <c r="A21" t="s">
        <v>777</v>
      </c>
      <c r="B21" s="177">
        <v>16628</v>
      </c>
      <c r="C21" s="177">
        <v>1272</v>
      </c>
    </row>
    <row r="22" spans="1:3" x14ac:dyDescent="0.2">
      <c r="A22" t="str">
        <f>IF(B18=B22,IF(C18=C22,"Check Total OK","Check Total Error"),"Check Total Error")</f>
        <v>Check Total OK</v>
      </c>
      <c r="B22" s="169">
        <f>SUM(B19:B21)</f>
        <v>5253889</v>
      </c>
      <c r="C22" s="169">
        <f>SUM(C19:C21)</f>
        <v>2143227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461728</v>
      </c>
      <c r="C36" s="173">
        <f>'DOE25'!G201+'DOE25'!G219+'DOE25'!G237+'DOE25'!G280+'DOE25'!G299+'DOE25'!G318</f>
        <v>109979</v>
      </c>
    </row>
    <row r="37" spans="1:3" x14ac:dyDescent="0.2">
      <c r="A37" t="s">
        <v>775</v>
      </c>
      <c r="B37" s="177">
        <v>108841</v>
      </c>
      <c r="C37" s="177">
        <f>109979-26996</f>
        <v>82983</v>
      </c>
    </row>
    <row r="38" spans="1:3" x14ac:dyDescent="0.2">
      <c r="A38" t="s">
        <v>776</v>
      </c>
      <c r="B38" s="177"/>
      <c r="C38" s="177"/>
    </row>
    <row r="39" spans="1:3" x14ac:dyDescent="0.2">
      <c r="A39" t="s">
        <v>777</v>
      </c>
      <c r="B39" s="177">
        <v>352887</v>
      </c>
      <c r="C39" s="177">
        <v>26996</v>
      </c>
    </row>
    <row r="40" spans="1:3" x14ac:dyDescent="0.2">
      <c r="A40" t="str">
        <f>IF(B36=B40,IF(C36=C40,"Check Total OK","Check Total Error"),"Check Total Error")</f>
        <v>Check Total OK</v>
      </c>
      <c r="B40" s="169">
        <f>SUM(B37:B39)</f>
        <v>461728</v>
      </c>
      <c r="C40" s="169">
        <f>SUM(C37:C39)</f>
        <v>109979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Merrimack Valley</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24689068</v>
      </c>
      <c r="D5" s="19">
        <f>SUM('DOE25'!L198:L201)+SUM('DOE25'!L216:L219)+SUM('DOE25'!L234:L237)-F5-G5-H5</f>
        <v>24582107</v>
      </c>
      <c r="E5" s="180"/>
      <c r="F5" s="181"/>
      <c r="G5" s="19">
        <f>SUM('DOE25'!J198:J201)+SUM('DOE25'!J216:J219)+SUM('DOE25'!J234:J237)</f>
        <v>101356</v>
      </c>
      <c r="H5" s="19">
        <f>SUM('DOE25'!K198:K201)+SUM('DOE25'!K216:K219)+SUM('DOE25'!K234:K237)</f>
        <v>5605</v>
      </c>
      <c r="I5" s="192"/>
    </row>
    <row r="6" spans="1:9" x14ac:dyDescent="0.2">
      <c r="A6" s="31">
        <v>2100</v>
      </c>
      <c r="B6" t="s">
        <v>796</v>
      </c>
      <c r="C6" s="206">
        <f t="shared" si="0"/>
        <v>5561572</v>
      </c>
      <c r="D6" s="19">
        <f>'DOE25'!L203+'DOE25'!L221+'DOE25'!L239-F6-G6-H6</f>
        <v>5231141</v>
      </c>
      <c r="E6" s="180"/>
      <c r="F6" s="181">
        <f>46429+31337+92631+89044+38700+29081</f>
        <v>327222</v>
      </c>
      <c r="G6" s="19">
        <f>'DOE25'!J203+'DOE25'!J221+'DOE25'!J239</f>
        <v>294</v>
      </c>
      <c r="H6" s="19">
        <f>'DOE25'!K203+'DOE25'!K221+'DOE25'!K239</f>
        <v>2915</v>
      </c>
      <c r="I6" s="192"/>
    </row>
    <row r="7" spans="1:9" x14ac:dyDescent="0.2">
      <c r="A7" s="31">
        <v>2200</v>
      </c>
      <c r="B7" t="s">
        <v>820</v>
      </c>
      <c r="C7" s="206">
        <f t="shared" si="0"/>
        <v>1391209</v>
      </c>
      <c r="D7" s="19">
        <f>'DOE25'!L204+'DOE25'!L222+'DOE25'!L240-F7-G7-H7</f>
        <v>1148391</v>
      </c>
      <c r="E7" s="180"/>
      <c r="F7" s="181"/>
      <c r="G7" s="19">
        <f>'DOE25'!J204+'DOE25'!J222+'DOE25'!J240</f>
        <v>242818</v>
      </c>
      <c r="H7" s="19">
        <f>'DOE25'!K204+'DOE25'!K222+'DOE25'!K240</f>
        <v>0</v>
      </c>
      <c r="I7" s="192"/>
    </row>
    <row r="8" spans="1:9" x14ac:dyDescent="0.2">
      <c r="A8" s="31">
        <v>2300</v>
      </c>
      <c r="B8" t="s">
        <v>797</v>
      </c>
      <c r="C8" s="206">
        <f t="shared" si="0"/>
        <v>820373</v>
      </c>
      <c r="D8" s="180"/>
      <c r="E8" s="19">
        <f>'DOE25'!L205+'DOE25'!L223+'DOE25'!L241-F8-G8-H8-D9-D11</f>
        <v>814291</v>
      </c>
      <c r="F8" s="181"/>
      <c r="G8" s="19">
        <f>'DOE25'!J205+'DOE25'!J223+'DOE25'!J241</f>
        <v>0</v>
      </c>
      <c r="H8" s="19">
        <f>'DOE25'!K205+'DOE25'!K223+'DOE25'!K241</f>
        <v>6082</v>
      </c>
      <c r="I8" s="192"/>
    </row>
    <row r="9" spans="1:9" ht="14.25" x14ac:dyDescent="0.2">
      <c r="A9" s="31">
        <v>2310</v>
      </c>
      <c r="B9" s="71" t="s">
        <v>887</v>
      </c>
      <c r="C9" s="206">
        <f t="shared" si="0"/>
        <v>164799</v>
      </c>
      <c r="D9" s="181">
        <v>164799</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2347388</v>
      </c>
      <c r="D12" s="19">
        <f>'DOE25'!L206+'DOE25'!L224+'DOE25'!L242-F12-G12-H12</f>
        <v>2214917</v>
      </c>
      <c r="E12" s="180"/>
      <c r="F12" s="181"/>
      <c r="G12" s="19">
        <f>'DOE25'!J206+'DOE25'!J224+'DOE25'!J242</f>
        <v>78898</v>
      </c>
      <c r="H12" s="19">
        <f>'DOE25'!K206+'DOE25'!K224+'DOE25'!K242</f>
        <v>53573</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4118290</v>
      </c>
      <c r="D14" s="19">
        <f>'DOE25'!L208+'DOE25'!L226+'DOE25'!L244-F14-G14-H14</f>
        <v>3884564</v>
      </c>
      <c r="E14" s="180"/>
      <c r="F14" s="181">
        <f>47300+49993+49723</f>
        <v>147016</v>
      </c>
      <c r="G14" s="19">
        <f>'DOE25'!J208+'DOE25'!J226+'DOE25'!J244</f>
        <v>86710</v>
      </c>
      <c r="H14" s="19">
        <f>'DOE25'!K208+'DOE25'!K226+'DOE25'!K244</f>
        <v>0</v>
      </c>
      <c r="I14" s="192"/>
    </row>
    <row r="15" spans="1:9" x14ac:dyDescent="0.2">
      <c r="A15" s="31">
        <v>2700</v>
      </c>
      <c r="B15" t="s">
        <v>799</v>
      </c>
      <c r="C15" s="206">
        <f t="shared" si="0"/>
        <v>2448693</v>
      </c>
      <c r="D15" s="19">
        <f>'DOE25'!L209+'DOE25'!L227+'DOE25'!L245-F15-G15-H15</f>
        <v>1892747</v>
      </c>
      <c r="E15" s="180"/>
      <c r="F15" s="181">
        <f>37775+72875+26125+34250+43863+26350+44500</f>
        <v>285738</v>
      </c>
      <c r="G15" s="19">
        <f>'DOE25'!J209+'DOE25'!J227+'DOE25'!J245</f>
        <v>269554</v>
      </c>
      <c r="H15" s="19">
        <f>'DOE25'!K209+'DOE25'!K227+'DOE25'!K245</f>
        <v>654</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1625573</v>
      </c>
      <c r="D22" s="180"/>
      <c r="E22" s="180"/>
      <c r="F22" s="180"/>
      <c r="G22" s="19">
        <f>'DOE25'!L256+'DOE25'!L337</f>
        <v>1625573</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757976</v>
      </c>
      <c r="D29" s="212">
        <f>'DOE25'!L359+'DOE25'!L360+'DOE25'!L361-'DOE25'!I368-F29-G29-H29-F39</f>
        <v>757976</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2341538</v>
      </c>
      <c r="D31" s="19">
        <f>'DOE25'!L291+'DOE25'!L310+'DOE25'!L329+'DOE25'!L334+'DOE25'!L335+'DOE25'!L336-F31-G31-H31</f>
        <v>1978639</v>
      </c>
      <c r="E31" s="180"/>
      <c r="F31" s="181"/>
      <c r="G31" s="19">
        <f>'DOE25'!J291+'DOE25'!J310+'DOE25'!J329+'DOE25'!J334+'DOE25'!J335+'DOE25'!J336</f>
        <v>358052</v>
      </c>
      <c r="H31" s="19">
        <f>'DOE25'!K291+'DOE25'!K310+'DOE25'!K329+'DOE25'!K334+'DOE25'!K335+'DOE25'!K336</f>
        <v>4847</v>
      </c>
      <c r="I31" s="192"/>
    </row>
    <row r="32" spans="1:9" ht="12" thickBot="1" x14ac:dyDescent="0.25">
      <c r="C32" s="207"/>
      <c r="G32" s="188"/>
      <c r="H32" s="188"/>
      <c r="I32" s="194"/>
    </row>
    <row r="33" spans="1:9" ht="12" thickTop="1" x14ac:dyDescent="0.2">
      <c r="B33" t="s">
        <v>809</v>
      </c>
      <c r="D33" s="182">
        <f t="shared" ref="D33:I33" si="1">SUM(D5:D31)</f>
        <v>41855281</v>
      </c>
      <c r="E33" s="182">
        <f t="shared" si="1"/>
        <v>814291</v>
      </c>
      <c r="F33" s="182">
        <f t="shared" si="1"/>
        <v>759976</v>
      </c>
      <c r="G33" s="182">
        <f t="shared" si="1"/>
        <v>2763255</v>
      </c>
      <c r="H33" s="182">
        <f t="shared" si="1"/>
        <v>73676</v>
      </c>
      <c r="I33" s="182">
        <f t="shared" si="1"/>
        <v>0</v>
      </c>
    </row>
    <row r="34" spans="1:9" ht="12" thickBot="1" x14ac:dyDescent="0.25"/>
    <row r="35" spans="1:9" ht="12" thickBot="1" x14ac:dyDescent="0.25">
      <c r="B35" s="188" t="s">
        <v>830</v>
      </c>
      <c r="D35" s="189">
        <f>E33</f>
        <v>814291</v>
      </c>
      <c r="E35" s="185"/>
      <c r="F35" s="295" t="s">
        <v>1608</v>
      </c>
      <c r="G35" s="296"/>
      <c r="H35" s="296"/>
      <c r="I35" s="297"/>
    </row>
    <row r="36" spans="1:9" ht="12" thickTop="1" x14ac:dyDescent="0.2">
      <c r="B36" t="s">
        <v>810</v>
      </c>
      <c r="D36" s="19">
        <f>D33</f>
        <v>41855281</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4"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Merrimack Valley</v>
      </c>
      <c r="B2">
        <f>'DOE25'!B2</f>
        <v>352</v>
      </c>
      <c r="J2" s="224" t="s">
        <v>1808</v>
      </c>
      <c r="K2" s="309">
        <f>SUM('DOE25'!L198:L201)+SUM('DOE25'!L216:L219)+SUM('DOE25'!L234:L237)+SUM('DOE25'!L277:L280)+SUM('DOE25'!L296:L299)+SUM('DOE25'!L315:L318)</f>
        <v>26445000</v>
      </c>
      <c r="L2" s="309">
        <f>'DOE25'!L203+'DOE25'!L221+'DOE25'!L239+'DOE25'!L282+'DOE25'!L301+'DOE25'!L320</f>
        <v>5640430</v>
      </c>
      <c r="M2" s="309">
        <f>'DOE25'!L204+'DOE25'!L222+'DOE25'!L240+'DOE25'!L283+'DOE25'!L302+'DOE25'!L321</f>
        <v>1729716</v>
      </c>
      <c r="N2" s="309">
        <f>'DOE25'!L206+'DOE25'!L224+'DOE25'!L242+'DOE25'!L285+'DOE25'!L304+'DOE25'!L323</f>
        <v>2347388</v>
      </c>
      <c r="O2" s="309">
        <f>'Salaries-Benefits'!B10+'Salaries-Benefits'!B12+'Salaries-Benefits'!B19+'Salaries-Benefits'!B21+'Salaries-Benefits'!B28+'Salaries-Benefits'!B30+'Salaries-Benefits'!B37+'Salaries-Benefits'!B39</f>
        <v>13311533</v>
      </c>
      <c r="P2" s="309">
        <f>'Salaries-Benefits'!B11+'Salaries-Benefits'!B20+'Salaries-Benefits'!B29+'Salaries-Benefits'!B38</f>
        <v>2855041</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-10442069</v>
      </c>
      <c r="L3" s="311">
        <f t="shared" ref="L3:P3" si="0">L21+L33+L43-L2</f>
        <v>-5640430</v>
      </c>
      <c r="M3" s="311">
        <f t="shared" si="0"/>
        <v>-1729716</v>
      </c>
      <c r="N3" s="311">
        <f t="shared" si="0"/>
        <v>-2347388</v>
      </c>
      <c r="O3" s="311">
        <f t="shared" si="0"/>
        <v>-13311533</v>
      </c>
      <c r="P3" s="311">
        <f t="shared" si="0"/>
        <v>-2855041</v>
      </c>
      <c r="Q3" s="310"/>
      <c r="R3" s="306"/>
      <c r="S3" s="215"/>
      <c r="T3" s="215"/>
      <c r="U3" s="216"/>
    </row>
    <row r="4" spans="1:21" ht="55.5" customHeight="1" thickBot="1" x14ac:dyDescent="0.25">
      <c r="A4" s="224" t="s">
        <v>1522</v>
      </c>
      <c r="B4" s="224" t="s">
        <v>1523</v>
      </c>
      <c r="C4" s="224" t="s">
        <v>896</v>
      </c>
      <c r="D4" s="224" t="s">
        <v>786</v>
      </c>
      <c r="E4" s="224" t="s">
        <v>786</v>
      </c>
      <c r="F4" s="228">
        <f>SUM(F5:F20)</f>
        <v>20106289</v>
      </c>
      <c r="G4" s="229">
        <f>'DOE25'!L212+'DOE25'!L291</f>
        <v>20106289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0</v>
      </c>
      <c r="E5" s="220">
        <v>0</v>
      </c>
      <c r="F5" s="232">
        <f>D5+E5</f>
        <v>0</v>
      </c>
      <c r="G5" s="223"/>
      <c r="H5" s="223"/>
      <c r="J5" s="223"/>
      <c r="K5" s="223"/>
      <c r="L5" s="223"/>
      <c r="M5" s="223"/>
      <c r="N5" s="223"/>
      <c r="O5" s="223"/>
      <c r="P5" s="223"/>
      <c r="Q5" s="223"/>
    </row>
    <row r="6" spans="1:21" x14ac:dyDescent="0.2">
      <c r="A6" t="str" cm="1">
        <f t="array" ref="A6">IFERROR(INDEX('School Tables'!$A$4:$G$325,'School Tables'!$J4,3),"")</f>
        <v>Boscawen Elementary School</v>
      </c>
      <c r="B6" s="230">
        <f>IFERROR(VLOOKUP(A6,'School Tables'!$C$3:$D$365,2,FALSE),"")</f>
        <v>22155</v>
      </c>
      <c r="C6" s="223" t="str">
        <f>IFERROR(INDEX('School Tables'!$B$3:$B$365,MATCH('School Level Expenditures'!B6,'School Tables'!$D$3:$D$365,0)),"")</f>
        <v>Merrimack Valley</v>
      </c>
      <c r="D6" s="220">
        <f>2107007+1921399-100224+848299-30669-69555+2274</f>
        <v>4678531</v>
      </c>
      <c r="E6" s="220">
        <f>336005-96628</f>
        <v>239377</v>
      </c>
      <c r="F6" s="232">
        <f t="shared" ref="F6:F20" si="1">D6+E6</f>
        <v>4917908</v>
      </c>
      <c r="G6" s="223"/>
      <c r="H6" s="223"/>
      <c r="J6" t="str">
        <f>A6</f>
        <v>Boscawen Elementary School</v>
      </c>
      <c r="K6" s="101">
        <f>'DOE25'!L198+'DOE25'!L199+'DOE25'!L234+'DOE25'!L278</f>
        <v>16002931</v>
      </c>
      <c r="L6" s="20"/>
      <c r="M6" s="308"/>
      <c r="N6" s="20"/>
      <c r="O6" s="20"/>
      <c r="P6" s="20"/>
      <c r="Q6" s="20"/>
    </row>
    <row r="7" spans="1:21" x14ac:dyDescent="0.2">
      <c r="A7" t="str" cm="1">
        <f t="array" ref="A7">IFERROR(INDEX('School Tables'!$A$4:$G$325,'School Tables'!$J5,3),"")</f>
        <v>Loudon Elementary School</v>
      </c>
      <c r="B7" s="230">
        <f>IFERROR(VLOOKUP(A7,'School Tables'!$C$3:$D$365,2,FALSE),"")</f>
        <v>22180</v>
      </c>
      <c r="C7" s="223" t="str">
        <f>IFERROR(INDEX('School Tables'!$B$3:$B$365,MATCH('School Level Expenditures'!B7,'School Tables'!$D$3:$D$365,0)),"")</f>
        <v>Merrimack Valley</v>
      </c>
      <c r="D7" s="220">
        <f>2095758+2238843-116783+988451-35736-81046+2650</f>
        <v>5092137</v>
      </c>
      <c r="E7" s="220">
        <f>391518-112593</f>
        <v>278925</v>
      </c>
      <c r="F7" s="232">
        <f t="shared" si="1"/>
        <v>5371062</v>
      </c>
      <c r="G7" s="223"/>
      <c r="H7" s="223"/>
      <c r="J7" t="str">
        <f t="shared" ref="J7:J20" si="2">A7</f>
        <v>Loudon Elementary School</v>
      </c>
      <c r="K7" s="20"/>
      <c r="L7" s="20"/>
      <c r="M7" s="308"/>
      <c r="N7" s="20"/>
      <c r="O7" s="20"/>
      <c r="P7" s="20"/>
      <c r="Q7" s="20"/>
    </row>
    <row r="8" spans="1:21" x14ac:dyDescent="0.2">
      <c r="A8" t="str" cm="1">
        <f t="array" ref="A8">IFERROR(INDEX('School Tables'!$A$4:$G$325,'School Tables'!$J6,3),"")</f>
        <v>Penacook Elementary School</v>
      </c>
      <c r="B8" s="230">
        <f>IFERROR(VLOOKUP(A8,'School Tables'!$C$3:$D$365,2,FALSE),"")</f>
        <v>22185</v>
      </c>
      <c r="C8" s="223" t="str">
        <f>IFERROR(INDEX('School Tables'!$B$3:$B$365,MATCH('School Level Expenditures'!B8,'School Tables'!$D$3:$D$365,0)),"")</f>
        <v>Merrimack Valley</v>
      </c>
      <c r="D8" s="220">
        <f>2560007+2684071-140007+1185019-42843-97164+3177</f>
        <v>6152260</v>
      </c>
      <c r="E8" s="220">
        <f>469377-134984</f>
        <v>334393</v>
      </c>
      <c r="F8" s="232">
        <f t="shared" si="1"/>
        <v>6486653</v>
      </c>
      <c r="G8" s="223"/>
      <c r="H8" s="223"/>
      <c r="J8" t="str">
        <f t="shared" si="2"/>
        <v>Penacook Elementary School</v>
      </c>
      <c r="K8" s="20"/>
      <c r="L8" s="20"/>
      <c r="M8" s="308"/>
      <c r="N8" s="20"/>
      <c r="O8" s="20"/>
      <c r="P8" s="20"/>
      <c r="Q8" s="20"/>
    </row>
    <row r="9" spans="1:21" x14ac:dyDescent="0.2">
      <c r="A9" t="str" cm="1">
        <f t="array" ref="A9">IFERROR(INDEX('School Tables'!$A$4:$G$325,'School Tables'!$J7,3),"")</f>
        <v>Salisbury Elementary School</v>
      </c>
      <c r="B9" s="230">
        <f>IFERROR(VLOOKUP(A9,'School Tables'!$C$3:$D$365,2,FALSE),"")</f>
        <v>22200</v>
      </c>
      <c r="C9" s="223" t="str">
        <f>IFERROR(INDEX('School Tables'!$B$3:$B$365,MATCH('School Level Expenditures'!B9,'School Tables'!$D$3:$D$365,0)),"")</f>
        <v>Merrimack Valley</v>
      </c>
      <c r="D9" s="220">
        <f>889777+542633-28305+239573-8661-19643+642</f>
        <v>1616016</v>
      </c>
      <c r="E9" s="220">
        <f>94893-27289</f>
        <v>67604</v>
      </c>
      <c r="F9" s="232">
        <f t="shared" si="1"/>
        <v>1683620</v>
      </c>
      <c r="G9" s="223"/>
      <c r="H9" s="223"/>
      <c r="J9" t="str">
        <f t="shared" si="2"/>
        <v>Salisbury Elementary School</v>
      </c>
      <c r="K9" s="20"/>
      <c r="L9" s="20"/>
      <c r="M9" s="308"/>
      <c r="N9" s="20"/>
      <c r="O9" s="20"/>
      <c r="P9" s="20"/>
      <c r="Q9" s="20"/>
    </row>
    <row r="10" spans="1:21" x14ac:dyDescent="0.2">
      <c r="A10" t="str" cm="1">
        <f t="array" ref="A10">IFERROR(INDEX('School Tables'!$A$4:$G$325,'School Tables'!$J8,3),"")</f>
        <v>Webster Elementary School</v>
      </c>
      <c r="B10" s="230">
        <f>IFERROR(VLOOKUP(A10,'School Tables'!$C$3:$D$365,2,FALSE),"")</f>
        <v>22205</v>
      </c>
      <c r="C10" s="223" t="str">
        <f>IFERROR(INDEX('School Tables'!$B$3:$B$365,MATCH('School Level Expenditures'!B10,'School Tables'!$D$3:$D$365,0)),"")</f>
        <v>Merrimack Valley</v>
      </c>
      <c r="D10" s="220">
        <f>624079+699252-36474+308720-11161-25313+827</f>
        <v>1559930</v>
      </c>
      <c r="E10" s="220">
        <f>122282-35166</f>
        <v>87116</v>
      </c>
      <c r="F10" s="232">
        <f t="shared" si="1"/>
        <v>1647046</v>
      </c>
      <c r="G10" s="223"/>
      <c r="H10" s="223"/>
      <c r="J10" t="str">
        <f t="shared" si="2"/>
        <v>Webster Elementary School</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19098874</v>
      </c>
      <c r="E21" s="262">
        <f>SUM(E5:E20)</f>
        <v>1007415</v>
      </c>
      <c r="F21" s="217"/>
      <c r="G21" s="217"/>
      <c r="H21" s="217"/>
      <c r="K21" s="263">
        <f t="shared" ref="K21:Q21" si="3">SUM(K5:K20)</f>
        <v>16002931</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9747668</v>
      </c>
      <c r="G24" s="229">
        <f>'DOE25'!L230+'DOE25'!L310</f>
        <v>9747668</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Merrimack Valley Middle School</v>
      </c>
      <c r="B26" s="230">
        <f>IFERROR(VLOOKUP(A26,'School Tables'!$N$4:$O$75,2,FALSE),"")</f>
        <v>26585</v>
      </c>
      <c r="C26" s="223" t="str">
        <f>IFERROR(INDEX('School Tables'!$M$4:$M$75,MATCH('School Level Expenditures'!A26,'School Tables'!$N$4:$N$75,0)),"")</f>
        <v>Merrimack Valley</v>
      </c>
      <c r="D26" s="220">
        <f>5559859+4112149-431960</f>
        <v>9240048</v>
      </c>
      <c r="E26" s="220">
        <f>712530-204910</f>
        <v>507620</v>
      </c>
      <c r="F26" s="232">
        <f t="shared" ref="F26:F32" si="4">D26+E26</f>
        <v>9747668</v>
      </c>
      <c r="G26" s="223"/>
      <c r="H26" s="223"/>
      <c r="J26" t="str">
        <f t="shared" ref="J26:J32" si="5">A26</f>
        <v>Merrimack Valley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9240048</v>
      </c>
      <c r="E33" s="262">
        <f>SUM(E25:E32)</f>
        <v>507620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14028973</v>
      </c>
      <c r="G36" s="229">
        <f>'DOE25'!L248+'DOE25'!L329</f>
        <v>14028973</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D37+E37</f>
        <v>0</v>
      </c>
      <c r="G37" s="223"/>
      <c r="H37" s="223"/>
      <c r="J37" s="223"/>
      <c r="K37" s="223"/>
      <c r="L37" s="224"/>
      <c r="M37" s="223"/>
      <c r="N37" s="223"/>
      <c r="O37" s="223"/>
      <c r="P37" s="223"/>
      <c r="Q37" s="223"/>
    </row>
    <row r="38" spans="1:18" x14ac:dyDescent="0.2">
      <c r="A38" t="str" cm="1">
        <f t="array" ref="A38">IFERROR(INDEX('School Tables'!$W$4:$AC$100,'School Tables'!$AF4,3),"")</f>
        <v>Merrimack Valley High School</v>
      </c>
      <c r="B38" s="230">
        <f>IFERROR(VLOOKUP(A38,'School Tables'!$Y$4:$Z$100,2,FALSE),"")</f>
        <v>22195</v>
      </c>
      <c r="C38" s="223" t="str">
        <f>IFERROR(INDEX('School Tables'!$X$4:$X$100,MATCH('School Level Expenditures'!A38,'School Tables'!$Y$4:$Y$100,0)),"")</f>
        <v>Merrimack Valley</v>
      </c>
      <c r="D38" s="220">
        <v>13202471</v>
      </c>
      <c r="E38" s="220">
        <v>826502</v>
      </c>
      <c r="F38" s="232">
        <f t="shared" ref="F38:F42" si="7">D38+E38</f>
        <v>14028973</v>
      </c>
      <c r="G38" s="223"/>
      <c r="H38" s="223"/>
      <c r="J38" t="str">
        <f t="shared" ref="J38:J42" si="8">A38</f>
        <v>Merrimack Valley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13202471</v>
      </c>
      <c r="E43" s="263">
        <f>SUM(E37:E42)</f>
        <v>826502</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Merrimack Valley</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714466</v>
      </c>
      <c r="D8" s="73">
        <f>'DOE25'!G9</f>
        <v>1032355</v>
      </c>
      <c r="E8" s="73">
        <f>'DOE25'!H9</f>
        <v>0</v>
      </c>
      <c r="F8" s="73">
        <f>'DOE25'!I9</f>
        <v>0</v>
      </c>
      <c r="G8" s="73">
        <f>'DOE25'!J9</f>
        <v>0</v>
      </c>
      <c r="H8" s="13">
        <f>SUM(C8:G8)</f>
        <v>1746821</v>
      </c>
      <c r="I8" s="90"/>
    </row>
    <row r="9" spans="1:9" x14ac:dyDescent="0.2">
      <c r="A9" s="1" t="s">
        <v>140</v>
      </c>
      <c r="B9" s="6">
        <v>110</v>
      </c>
      <c r="C9" s="73">
        <f>'DOE25'!F10</f>
        <v>37729</v>
      </c>
      <c r="D9" s="73">
        <f>'DOE25'!G10</f>
        <v>0</v>
      </c>
      <c r="E9" s="73">
        <f>'DOE25'!H10</f>
        <v>0</v>
      </c>
      <c r="F9" s="73">
        <f>'DOE25'!I10</f>
        <v>0</v>
      </c>
      <c r="G9" s="73">
        <f>'DOE25'!J10</f>
        <v>0</v>
      </c>
      <c r="H9" s="13">
        <f t="shared" ref="H9:H18" si="0">SUM(C9:G9)</f>
        <v>37729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1754421</v>
      </c>
      <c r="D11" s="73">
        <f>'DOE25'!G12</f>
        <v>0</v>
      </c>
      <c r="E11" s="73">
        <f>'DOE25'!H12</f>
        <v>169711</v>
      </c>
      <c r="F11" s="73">
        <f>'DOE25'!I12</f>
        <v>0</v>
      </c>
      <c r="G11" s="73">
        <f>'DOE25'!J12</f>
        <v>0</v>
      </c>
      <c r="H11" s="13">
        <f t="shared" si="0"/>
        <v>1924132</v>
      </c>
      <c r="I11" s="90"/>
    </row>
    <row r="12" spans="1:9" x14ac:dyDescent="0.2">
      <c r="A12" s="1" t="s">
        <v>143</v>
      </c>
      <c r="B12" s="6">
        <v>140</v>
      </c>
      <c r="C12" s="73">
        <f>'DOE25'!F13</f>
        <v>460758</v>
      </c>
      <c r="D12" s="73">
        <f>'DOE25'!G13</f>
        <v>-38929</v>
      </c>
      <c r="E12" s="73">
        <f>'DOE25'!H13</f>
        <v>1148558</v>
      </c>
      <c r="F12" s="73">
        <f>'DOE25'!I13</f>
        <v>0</v>
      </c>
      <c r="G12" s="73">
        <f>'DOE25'!J13</f>
        <v>1595919</v>
      </c>
      <c r="H12" s="13">
        <f t="shared" si="0"/>
        <v>3166306</v>
      </c>
      <c r="I12" s="90"/>
    </row>
    <row r="13" spans="1:9" x14ac:dyDescent="0.2">
      <c r="A13" s="1" t="s">
        <v>144</v>
      </c>
      <c r="B13" s="6">
        <v>150</v>
      </c>
      <c r="C13" s="73">
        <f>'DOE25'!F14</f>
        <v>4433</v>
      </c>
      <c r="D13" s="73">
        <f>'DOE25'!G14</f>
        <v>0</v>
      </c>
      <c r="E13" s="73">
        <f>'DOE25'!H14</f>
        <v>14913</v>
      </c>
      <c r="F13" s="73">
        <f>'DOE25'!I14</f>
        <v>0</v>
      </c>
      <c r="G13" s="73">
        <f>'DOE25'!J14</f>
        <v>0</v>
      </c>
      <c r="H13" s="13">
        <f t="shared" si="0"/>
        <v>19346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14390</v>
      </c>
      <c r="E15" s="73">
        <f>'DOE25'!H16</f>
        <v>0</v>
      </c>
      <c r="F15" s="73">
        <f>'DOE25'!I16</f>
        <v>0</v>
      </c>
      <c r="G15" s="23" t="s">
        <v>288</v>
      </c>
      <c r="H15" s="13">
        <f t="shared" si="0"/>
        <v>14390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2971807</v>
      </c>
      <c r="D18" s="38">
        <f>SUM(D8:D17)</f>
        <v>1007816</v>
      </c>
      <c r="E18" s="38">
        <f>SUM(E8:E17)</f>
        <v>1333182</v>
      </c>
      <c r="F18" s="38">
        <f>SUM(F8:F17)</f>
        <v>0</v>
      </c>
      <c r="G18" s="38">
        <f>SUM(G8:G17)</f>
        <v>1595919</v>
      </c>
      <c r="H18" s="38">
        <f t="shared" si="0"/>
        <v>6908724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723184</v>
      </c>
      <c r="E21" s="73">
        <f>'DOE25'!H22</f>
        <v>1200948</v>
      </c>
      <c r="F21" s="73">
        <f>'DOE25'!I22</f>
        <v>0</v>
      </c>
      <c r="G21" s="73">
        <f>'DOE25'!J22</f>
        <v>0</v>
      </c>
      <c r="H21" s="13">
        <f t="shared" ref="H21:H31" si="1">SUM(C21:G21)</f>
        <v>1924132</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248359</v>
      </c>
      <c r="D23" s="73">
        <f>'DOE25'!G24</f>
        <v>15892</v>
      </c>
      <c r="E23" s="73">
        <f>'DOE25'!H24</f>
        <v>0</v>
      </c>
      <c r="F23" s="73">
        <f>'DOE25'!I24</f>
        <v>0</v>
      </c>
      <c r="G23" s="73">
        <f>'DOE25'!J24</f>
        <v>0</v>
      </c>
      <c r="H23" s="13">
        <f t="shared" si="1"/>
        <v>264251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1764480</v>
      </c>
      <c r="D27" s="73">
        <f>'DOE25'!G28</f>
        <v>1</v>
      </c>
      <c r="E27" s="73">
        <f>'DOE25'!H28</f>
        <v>-1425</v>
      </c>
      <c r="F27" s="73">
        <f>'DOE25'!I28</f>
        <v>0</v>
      </c>
      <c r="G27" s="23" t="s">
        <v>288</v>
      </c>
      <c r="H27" s="13">
        <f t="shared" si="1"/>
        <v>1763056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445017.04</v>
      </c>
      <c r="D29" s="73">
        <f>'DOE25'!G30</f>
        <v>0</v>
      </c>
      <c r="E29" s="73">
        <f>'DOE25'!H30</f>
        <v>68922</v>
      </c>
      <c r="F29" s="73">
        <f>'DOE25'!I30</f>
        <v>0</v>
      </c>
      <c r="G29" s="23" t="s">
        <v>288</v>
      </c>
      <c r="H29" s="13">
        <f t="shared" si="1"/>
        <v>513939.04</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2457856.04</v>
      </c>
      <c r="D31" s="38">
        <f>SUM(D21:D30)</f>
        <v>739077</v>
      </c>
      <c r="E31" s="38">
        <f>SUM(E21:E30)</f>
        <v>1268445</v>
      </c>
      <c r="F31" s="38">
        <f>SUM(F21:F30)</f>
        <v>0</v>
      </c>
      <c r="G31" s="38">
        <f>SUM(G21:G30)</f>
        <v>0</v>
      </c>
      <c r="H31" s="38">
        <f t="shared" si="1"/>
        <v>4465378.04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268739</v>
      </c>
      <c r="E47" s="73">
        <f>'DOE25'!H48</f>
        <v>64737</v>
      </c>
      <c r="F47" s="73">
        <f>'DOE25'!I48</f>
        <v>0</v>
      </c>
      <c r="G47" s="73">
        <f>'DOE25'!J48</f>
        <v>1595919</v>
      </c>
      <c r="H47" s="13">
        <f t="shared" si="2"/>
        <v>1929395</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513950.96000000089</v>
      </c>
      <c r="D49" s="23" t="s">
        <v>288</v>
      </c>
      <c r="E49" s="23" t="s">
        <v>288</v>
      </c>
      <c r="F49" s="23" t="s">
        <v>288</v>
      </c>
      <c r="G49" s="23" t="s">
        <v>288</v>
      </c>
      <c r="H49" s="13">
        <f t="shared" si="2"/>
        <v>513950.96000000089</v>
      </c>
      <c r="I49" s="90"/>
    </row>
    <row r="50" spans="1:9" ht="12.75" thickTop="1" thickBot="1" x14ac:dyDescent="0.25">
      <c r="A50" s="35" t="s">
        <v>883</v>
      </c>
      <c r="B50" s="44"/>
      <c r="C50" s="38">
        <f>SUM(C34:C49)</f>
        <v>513950.96000000089</v>
      </c>
      <c r="D50" s="38">
        <f>SUM(D34:D49)</f>
        <v>268739</v>
      </c>
      <c r="E50" s="38">
        <f>SUM(E34:E49)</f>
        <v>64737</v>
      </c>
      <c r="F50" s="38">
        <f>SUM(F34:F49)</f>
        <v>0</v>
      </c>
      <c r="G50" s="38">
        <f>SUM(G34:G49)</f>
        <v>1595919</v>
      </c>
      <c r="H50" s="38">
        <f t="shared" si="2"/>
        <v>2443345.9600000009</v>
      </c>
      <c r="I50" s="90"/>
    </row>
    <row r="51" spans="1:9" ht="12" thickTop="1" x14ac:dyDescent="0.2">
      <c r="A51" s="35" t="s">
        <v>884</v>
      </c>
      <c r="B51" s="2"/>
      <c r="C51" s="38">
        <f>C50+C31</f>
        <v>2971807.0000000009</v>
      </c>
      <c r="D51" s="38">
        <f>D50+D31</f>
        <v>1007816</v>
      </c>
      <c r="E51" s="38">
        <f>E50+E31</f>
        <v>1333182</v>
      </c>
      <c r="F51" s="38">
        <f>F50+F31</f>
        <v>0</v>
      </c>
      <c r="G51" s="38">
        <f>G50+G31</f>
        <v>1595919</v>
      </c>
      <c r="H51" s="38">
        <f t="shared" si="2"/>
        <v>6908724.0000000009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26482023</v>
      </c>
      <c r="D56" s="73">
        <f>'DOE25'!G60</f>
        <v>0</v>
      </c>
      <c r="E56" s="73">
        <f>'DOE25'!H60</f>
        <v>0</v>
      </c>
      <c r="F56" s="73">
        <f>'DOE25'!I60</f>
        <v>0</v>
      </c>
      <c r="G56" s="73">
        <f>'DOE25'!J60</f>
        <v>0</v>
      </c>
      <c r="H56" s="13">
        <f t="shared" ref="H56:H63" si="3">SUM(C56:G56)</f>
        <v>26482023</v>
      </c>
      <c r="I56"/>
    </row>
    <row r="57" spans="1:9" x14ac:dyDescent="0.2">
      <c r="A57" s="1" t="s">
        <v>164</v>
      </c>
      <c r="B57" s="6" t="s">
        <v>165</v>
      </c>
      <c r="C57" s="73">
        <f>'DOE25'!F79</f>
        <v>1224107</v>
      </c>
      <c r="D57" s="23" t="s">
        <v>288</v>
      </c>
      <c r="E57" s="73">
        <f>'DOE25'!H79</f>
        <v>0</v>
      </c>
      <c r="F57" s="23" t="s">
        <v>288</v>
      </c>
      <c r="G57" s="23" t="s">
        <v>288</v>
      </c>
      <c r="H57" s="13">
        <f t="shared" si="3"/>
        <v>1224107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969</v>
      </c>
      <c r="D59" s="73">
        <f>'DOE25'!G96</f>
        <v>1388</v>
      </c>
      <c r="E59" s="73">
        <f>'DOE25'!H96</f>
        <v>0</v>
      </c>
      <c r="F59" s="73">
        <f>'DOE25'!I96</f>
        <v>0</v>
      </c>
      <c r="G59" s="73">
        <f>'DOE25'!J96</f>
        <v>46150</v>
      </c>
      <c r="H59" s="13">
        <f t="shared" si="3"/>
        <v>48507</v>
      </c>
      <c r="I59"/>
    </row>
    <row r="60" spans="1:9" x14ac:dyDescent="0.2">
      <c r="A60" s="1" t="s">
        <v>170</v>
      </c>
      <c r="B60" s="22" t="s">
        <v>171</v>
      </c>
      <c r="C60" s="23" t="s">
        <v>288</v>
      </c>
      <c r="D60" s="73">
        <f>'DOE25'!G97</f>
        <v>646783</v>
      </c>
      <c r="E60" s="23" t="s">
        <v>288</v>
      </c>
      <c r="F60" s="23" t="s">
        <v>288</v>
      </c>
      <c r="G60" s="23" t="s">
        <v>288</v>
      </c>
      <c r="H60" s="13">
        <f t="shared" si="3"/>
        <v>646783</v>
      </c>
      <c r="I60"/>
    </row>
    <row r="61" spans="1:9" ht="12" thickBot="1" x14ac:dyDescent="0.25">
      <c r="A61" s="1" t="s">
        <v>172</v>
      </c>
      <c r="B61" s="22" t="s">
        <v>173</v>
      </c>
      <c r="C61" s="73">
        <f>SUM('DOE25'!F98:F110)</f>
        <v>130964.62</v>
      </c>
      <c r="D61" s="73">
        <f>SUM('DOE25'!G98:G110)</f>
        <v>15810</v>
      </c>
      <c r="E61" s="73">
        <f>SUM('DOE25'!H98:H110)</f>
        <v>44178</v>
      </c>
      <c r="F61" s="73">
        <f>SUM('DOE25'!I98:I110)</f>
        <v>0</v>
      </c>
      <c r="G61" s="73">
        <f>SUM('DOE25'!J98:J110)</f>
        <v>0</v>
      </c>
      <c r="H61" s="13">
        <f t="shared" si="3"/>
        <v>190952.62</v>
      </c>
      <c r="I61"/>
    </row>
    <row r="62" spans="1:9" ht="12.75" thickTop="1" thickBot="1" x14ac:dyDescent="0.25">
      <c r="A62" s="28" t="s">
        <v>174</v>
      </c>
      <c r="B62" s="6"/>
      <c r="C62" s="93">
        <f>SUM(C57:C61)</f>
        <v>1356040.62</v>
      </c>
      <c r="D62" s="93">
        <f>SUM(D57:D61)</f>
        <v>663981</v>
      </c>
      <c r="E62" s="93">
        <f>SUM(E57:E61)</f>
        <v>44178</v>
      </c>
      <c r="F62" s="93">
        <f>SUM(F57:F61)</f>
        <v>0</v>
      </c>
      <c r="G62" s="93">
        <f>SUM(G57:G61)</f>
        <v>46150</v>
      </c>
      <c r="H62" s="13">
        <f t="shared" si="3"/>
        <v>2110349.62</v>
      </c>
      <c r="I62"/>
    </row>
    <row r="63" spans="1:9" ht="12" thickTop="1" x14ac:dyDescent="0.2">
      <c r="A63" s="28" t="s">
        <v>175</v>
      </c>
      <c r="B63" s="6"/>
      <c r="C63" s="21">
        <f>C56+C62</f>
        <v>27838063.620000001</v>
      </c>
      <c r="D63" s="21">
        <f>D56+D62</f>
        <v>663981</v>
      </c>
      <c r="E63" s="21">
        <f>E56+E62</f>
        <v>44178</v>
      </c>
      <c r="F63" s="21">
        <f>F56+F62</f>
        <v>0</v>
      </c>
      <c r="G63" s="21">
        <f>G56+G62</f>
        <v>46150</v>
      </c>
      <c r="H63" s="13">
        <f t="shared" si="3"/>
        <v>28592372.620000001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11056368.460000001</v>
      </c>
      <c r="D66" s="23" t="s">
        <v>288</v>
      </c>
      <c r="E66" s="23" t="s">
        <v>288</v>
      </c>
      <c r="F66" s="23" t="s">
        <v>288</v>
      </c>
      <c r="G66" s="23" t="s">
        <v>288</v>
      </c>
      <c r="H66" s="13">
        <f t="shared" ref="H66:H81" si="4">SUM(C66:G66)</f>
        <v>11056368.460000001</v>
      </c>
      <c r="I66"/>
    </row>
    <row r="67" spans="1:9" x14ac:dyDescent="0.2">
      <c r="A67" s="1" t="s">
        <v>770</v>
      </c>
      <c r="B67" s="6">
        <v>3112</v>
      </c>
      <c r="C67" s="73">
        <f>'DOE25'!F118</f>
        <v>2303942</v>
      </c>
      <c r="D67" s="23"/>
      <c r="E67" s="23"/>
      <c r="F67" s="23"/>
      <c r="G67" s="23"/>
      <c r="H67" s="13">
        <f t="shared" si="4"/>
        <v>2303942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36308.230000000003</v>
      </c>
      <c r="D69" s="73">
        <f>'DOE25'!G120</f>
        <v>0</v>
      </c>
      <c r="E69" s="73">
        <f>'DOE25'!H120</f>
        <v>0</v>
      </c>
      <c r="F69" s="73">
        <f>'DOE25'!I120</f>
        <v>0</v>
      </c>
      <c r="G69" s="73">
        <f>'DOE25'!J120</f>
        <v>0</v>
      </c>
      <c r="H69" s="13">
        <f t="shared" si="4"/>
        <v>36308.230000000003</v>
      </c>
      <c r="I69"/>
    </row>
    <row r="70" spans="1:9" ht="12" thickTop="1" x14ac:dyDescent="0.2">
      <c r="A70" s="28" t="s">
        <v>252</v>
      </c>
      <c r="B70" s="2"/>
      <c r="C70" s="97">
        <f>SUM(C66:C69)</f>
        <v>13396618.690000001</v>
      </c>
      <c r="D70" s="97">
        <f>D69</f>
        <v>0</v>
      </c>
      <c r="E70" s="97">
        <f>E69</f>
        <v>0</v>
      </c>
      <c r="F70" s="97">
        <f>F69</f>
        <v>0</v>
      </c>
      <c r="G70" s="97">
        <f>G69</f>
        <v>0</v>
      </c>
      <c r="H70" s="13">
        <f t="shared" si="4"/>
        <v>13396618.690000001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385558.65</v>
      </c>
      <c r="D75" s="23" t="s">
        <v>288</v>
      </c>
      <c r="E75" s="23" t="s">
        <v>288</v>
      </c>
      <c r="F75" s="23" t="s">
        <v>288</v>
      </c>
      <c r="G75" s="23" t="s">
        <v>288</v>
      </c>
      <c r="H75" s="13">
        <f t="shared" si="4"/>
        <v>385558.65</v>
      </c>
      <c r="I75"/>
    </row>
    <row r="76" spans="1:9" x14ac:dyDescent="0.2">
      <c r="A76" s="1" t="s">
        <v>257</v>
      </c>
      <c r="B76" s="6" t="s">
        <v>179</v>
      </c>
      <c r="C76" s="73">
        <f>SUM('DOE25'!F127:F130)</f>
        <v>27509</v>
      </c>
      <c r="D76" s="23" t="s">
        <v>288</v>
      </c>
      <c r="E76" s="73">
        <f>SUM('DOE25'!H127:H130)</f>
        <v>0</v>
      </c>
      <c r="F76" s="73">
        <f>SUM('DOE25'!I127:I130)</f>
        <v>0</v>
      </c>
      <c r="G76" s="23" t="s">
        <v>288</v>
      </c>
      <c r="H76" s="13">
        <f t="shared" si="4"/>
        <v>27509</v>
      </c>
      <c r="I76"/>
    </row>
    <row r="77" spans="1:9" ht="12" thickBot="1" x14ac:dyDescent="0.25">
      <c r="A77" s="1" t="s">
        <v>258</v>
      </c>
      <c r="B77" s="6" t="s">
        <v>180</v>
      </c>
      <c r="C77" s="73">
        <f>SUM('DOE25'!F131:F135)</f>
        <v>0</v>
      </c>
      <c r="D77" s="73">
        <f>SUM('DOE25'!G131:G135)</f>
        <v>70234</v>
      </c>
      <c r="E77" s="73">
        <f>SUM('DOE25'!H131:H135)</f>
        <v>0</v>
      </c>
      <c r="F77" s="73">
        <f>SUM('DOE25'!I131:I135)</f>
        <v>0</v>
      </c>
      <c r="G77" s="73">
        <f>SUM('DOE25'!J131:J135)</f>
        <v>0</v>
      </c>
      <c r="H77" s="13">
        <f t="shared" si="4"/>
        <v>70234</v>
      </c>
      <c r="I77"/>
    </row>
    <row r="78" spans="1:9" ht="12.75" thickTop="1" thickBot="1" x14ac:dyDescent="0.25">
      <c r="A78" s="28" t="s">
        <v>259</v>
      </c>
      <c r="B78" s="6"/>
      <c r="C78" s="93">
        <f>SUM(C72:C77)</f>
        <v>413067.65</v>
      </c>
      <c r="D78" s="93">
        <f>SUM(D72:D77)</f>
        <v>70234</v>
      </c>
      <c r="E78" s="93">
        <f>SUM(E72:E77)</f>
        <v>0</v>
      </c>
      <c r="F78" s="93">
        <f>SUM(F72:F77)</f>
        <v>0</v>
      </c>
      <c r="G78" s="93">
        <f>SUM(G72:G77)</f>
        <v>0</v>
      </c>
      <c r="H78" s="13">
        <f t="shared" si="4"/>
        <v>483301.65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13809686.340000002</v>
      </c>
      <c r="D81" s="93">
        <f>SUM(D79:D80)+D78+D70</f>
        <v>70234</v>
      </c>
      <c r="E81" s="93">
        <f>SUM(E79:E80)+E78+E70</f>
        <v>0</v>
      </c>
      <c r="F81" s="93">
        <f>SUM(F79:F80)+F78+F70</f>
        <v>0</v>
      </c>
      <c r="G81" s="93">
        <f>SUM(G79:G80)+G78+G70</f>
        <v>0</v>
      </c>
      <c r="H81" s="93">
        <f t="shared" si="4"/>
        <v>13879920.340000002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605794</v>
      </c>
      <c r="D88" s="253">
        <f>SUM('DOE25'!G153:G162)</f>
        <v>494374</v>
      </c>
      <c r="E88" s="253">
        <f>SUM('DOE25'!H153:H162)</f>
        <v>3277638</v>
      </c>
      <c r="F88" s="253">
        <f>SUM('DOE25'!I153:I162)</f>
        <v>0</v>
      </c>
      <c r="G88" s="23" t="s">
        <v>288</v>
      </c>
      <c r="H88" s="13">
        <f t="shared" si="5"/>
        <v>4377806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605794</v>
      </c>
      <c r="D91" s="94">
        <f>SUM(D85:D90)</f>
        <v>494374</v>
      </c>
      <c r="E91" s="94">
        <f>SUM(E85:E90)</f>
        <v>3277638</v>
      </c>
      <c r="F91" s="94">
        <f>SUM(F85:F90)</f>
        <v>0</v>
      </c>
      <c r="G91" s="23" t="s">
        <v>288</v>
      </c>
      <c r="H91" s="13">
        <f t="shared" si="5"/>
        <v>4377806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300000</v>
      </c>
      <c r="H96" s="13">
        <f t="shared" si="5"/>
        <v>300000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300000</v>
      </c>
      <c r="H103" s="68">
        <f t="shared" si="5"/>
        <v>300000</v>
      </c>
    </row>
    <row r="104" spans="1:8" ht="12.75" thickTop="1" thickBot="1" x14ac:dyDescent="0.25">
      <c r="A104" s="32" t="s">
        <v>761</v>
      </c>
      <c r="C104" s="68">
        <f>C63+C81+C91+C103</f>
        <v>42253543.960000001</v>
      </c>
      <c r="D104" s="68">
        <f>D63+D81+D91+D103</f>
        <v>1228589</v>
      </c>
      <c r="E104" s="68">
        <f>E63+E81+E91+E103</f>
        <v>3321816</v>
      </c>
      <c r="F104" s="68">
        <f>F63+F81+F91+F103</f>
        <v>0</v>
      </c>
      <c r="G104" s="68">
        <f>G63+G81+G103</f>
        <v>346150</v>
      </c>
      <c r="H104" s="68">
        <f t="shared" si="5"/>
        <v>47150098.960000001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15204002</v>
      </c>
      <c r="D109" s="23" t="s">
        <v>288</v>
      </c>
      <c r="E109" s="73">
        <f>('DOE25'!L277)+('DOE25'!L296)+('DOE25'!L315)</f>
        <v>911021</v>
      </c>
      <c r="F109" s="23" t="s">
        <v>288</v>
      </c>
      <c r="G109" s="23" t="s">
        <v>288</v>
      </c>
      <c r="H109" s="13">
        <f t="shared" ref="H109:H115" si="6">SUM(C109:G109)</f>
        <v>16115023</v>
      </c>
    </row>
    <row r="110" spans="1:8" x14ac:dyDescent="0.2">
      <c r="A110" t="s">
        <v>198</v>
      </c>
      <c r="B110" s="31" t="s">
        <v>199</v>
      </c>
      <c r="C110" s="73">
        <f>('DOE25'!L199)+('DOE25'!L217)+('DOE25'!L235)</f>
        <v>8439746</v>
      </c>
      <c r="D110" s="23" t="s">
        <v>288</v>
      </c>
      <c r="E110" s="73">
        <f>('DOE25'!L278)+('DOE25'!L297)+('DOE25'!L316)</f>
        <v>802045</v>
      </c>
      <c r="F110" s="23" t="s">
        <v>288</v>
      </c>
      <c r="G110" s="23" t="s">
        <v>288</v>
      </c>
      <c r="H110" s="13">
        <f t="shared" si="6"/>
        <v>9241791</v>
      </c>
    </row>
    <row r="111" spans="1:8" x14ac:dyDescent="0.2">
      <c r="A111" t="s">
        <v>200</v>
      </c>
      <c r="B111" s="31" t="s">
        <v>165</v>
      </c>
      <c r="C111" s="73">
        <f>('DOE25'!L200)+('DOE25'!L218)+('DOE25'!L236)</f>
        <v>347595</v>
      </c>
      <c r="D111" s="23" t="s">
        <v>288</v>
      </c>
      <c r="E111" s="73">
        <f>('DOE25'!L279)+('DOE25'!L298)+('DOE25'!L317)</f>
        <v>0</v>
      </c>
      <c r="F111" s="23" t="s">
        <v>288</v>
      </c>
      <c r="G111" s="23" t="s">
        <v>288</v>
      </c>
      <c r="H111" s="13">
        <f t="shared" si="6"/>
        <v>347595</v>
      </c>
    </row>
    <row r="112" spans="1:8" x14ac:dyDescent="0.2">
      <c r="A112" t="s">
        <v>201</v>
      </c>
      <c r="B112" s="31" t="s">
        <v>167</v>
      </c>
      <c r="C112" s="73">
        <f>('DOE25'!L201)+('DOE25'!L219)+('DOE25'!L237)</f>
        <v>697725</v>
      </c>
      <c r="D112" s="23" t="s">
        <v>288</v>
      </c>
      <c r="E112" s="73">
        <f>+('DOE25'!L280)+('DOE25'!L299)+('DOE25'!L318)</f>
        <v>42866</v>
      </c>
      <c r="F112" s="23" t="s">
        <v>288</v>
      </c>
      <c r="G112" s="23" t="s">
        <v>288</v>
      </c>
      <c r="H112" s="13">
        <f t="shared" si="6"/>
        <v>740591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24689068</v>
      </c>
      <c r="D115" s="68">
        <f>SUM(D109:D114)</f>
        <v>0</v>
      </c>
      <c r="E115" s="68">
        <f>SUM(E109:E114)</f>
        <v>1755932</v>
      </c>
      <c r="F115" s="68">
        <f>SUM(F109:F114)</f>
        <v>0</v>
      </c>
      <c r="G115" s="68">
        <f>SUM(G109:G114)</f>
        <v>0</v>
      </c>
      <c r="H115" s="68">
        <f t="shared" si="6"/>
        <v>26445000</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5561572</v>
      </c>
      <c r="D118" s="23" t="s">
        <v>288</v>
      </c>
      <c r="E118" s="73">
        <f>+('DOE25'!L282)+('DOE25'!L301)+('DOE25'!L320)</f>
        <v>78858</v>
      </c>
      <c r="F118" s="23" t="s">
        <v>288</v>
      </c>
      <c r="G118" s="23" t="s">
        <v>288</v>
      </c>
      <c r="H118" s="13">
        <f t="shared" ref="H118:H145" si="7">SUM(C118:G118)</f>
        <v>5640430</v>
      </c>
    </row>
    <row r="119" spans="1:8" x14ac:dyDescent="0.2">
      <c r="A119" t="s">
        <v>208</v>
      </c>
      <c r="B119" s="31" t="s">
        <v>209</v>
      </c>
      <c r="C119" s="73">
        <f>('DOE25'!L204)+('DOE25'!L222)+('DOE25'!L240)</f>
        <v>1391209</v>
      </c>
      <c r="D119" s="23" t="s">
        <v>288</v>
      </c>
      <c r="E119" s="73">
        <f>+('DOE25'!L283)+('DOE25'!L302)+('DOE25'!L321)</f>
        <v>338507</v>
      </c>
      <c r="F119" s="23" t="s">
        <v>288</v>
      </c>
      <c r="G119" s="23" t="s">
        <v>288</v>
      </c>
      <c r="H119" s="13">
        <f t="shared" si="7"/>
        <v>1729716</v>
      </c>
    </row>
    <row r="120" spans="1:8" x14ac:dyDescent="0.2">
      <c r="A120" t="s">
        <v>210</v>
      </c>
      <c r="B120" s="31" t="s">
        <v>211</v>
      </c>
      <c r="C120" s="73">
        <f>('DOE25'!L205)+('DOE25'!L223)+('DOE25'!L241)</f>
        <v>985172</v>
      </c>
      <c r="D120" s="23" t="s">
        <v>288</v>
      </c>
      <c r="E120" s="73">
        <f>+('DOE25'!L284)+('DOE25'!L303)+('DOE25'!L322)</f>
        <v>0</v>
      </c>
      <c r="F120" s="23" t="s">
        <v>288</v>
      </c>
      <c r="G120" s="23" t="s">
        <v>288</v>
      </c>
      <c r="H120" s="13">
        <f t="shared" si="7"/>
        <v>985172</v>
      </c>
    </row>
    <row r="121" spans="1:8" x14ac:dyDescent="0.2">
      <c r="A121" t="s">
        <v>212</v>
      </c>
      <c r="B121" s="31" t="s">
        <v>213</v>
      </c>
      <c r="C121" s="73">
        <f>('DOE25'!L206)+('DOE25'!L224)+('DOE25'!L242)</f>
        <v>2347388</v>
      </c>
      <c r="D121" s="23" t="s">
        <v>288</v>
      </c>
      <c r="E121" s="73">
        <f>+('DOE25'!L285)+('DOE25'!L304)+('DOE25'!L323)</f>
        <v>0</v>
      </c>
      <c r="F121" s="23" t="s">
        <v>288</v>
      </c>
      <c r="G121" s="23" t="s">
        <v>288</v>
      </c>
      <c r="H121" s="13">
        <f t="shared" si="7"/>
        <v>2347388</v>
      </c>
    </row>
    <row r="122" spans="1:8" x14ac:dyDescent="0.2">
      <c r="A122" t="s">
        <v>214</v>
      </c>
      <c r="B122" s="31" t="s">
        <v>215</v>
      </c>
      <c r="C122" s="73">
        <f>('DOE25'!L207)+('DOE25'!L225)+('DOE25'!L243)</f>
        <v>0</v>
      </c>
      <c r="D122" s="23" t="s">
        <v>288</v>
      </c>
      <c r="E122" s="73">
        <f>+('DOE25'!L286)+('DOE25'!L305)+('DOE25'!L324)</f>
        <v>32842</v>
      </c>
      <c r="F122" s="23" t="s">
        <v>288</v>
      </c>
      <c r="G122" s="23" t="s">
        <v>288</v>
      </c>
      <c r="H122" s="13">
        <f t="shared" si="7"/>
        <v>32842</v>
      </c>
    </row>
    <row r="123" spans="1:8" x14ac:dyDescent="0.2">
      <c r="A123" t="s">
        <v>216</v>
      </c>
      <c r="B123" s="31" t="s">
        <v>217</v>
      </c>
      <c r="C123" s="73">
        <f>('DOE25'!L208)+('DOE25'!L226)+('DOE25'!L244)</f>
        <v>4118290</v>
      </c>
      <c r="D123" s="23" t="s">
        <v>288</v>
      </c>
      <c r="E123" s="73">
        <f>+('DOE25'!L287)+('DOE25'!L306)+('DOE25'!L325)</f>
        <v>81164</v>
      </c>
      <c r="F123" s="23" t="s">
        <v>288</v>
      </c>
      <c r="G123" s="23" t="s">
        <v>288</v>
      </c>
      <c r="H123" s="13">
        <f t="shared" si="7"/>
        <v>4199454</v>
      </c>
    </row>
    <row r="124" spans="1:8" x14ac:dyDescent="0.2">
      <c r="A124" t="s">
        <v>218</v>
      </c>
      <c r="B124" s="31" t="s">
        <v>219</v>
      </c>
      <c r="C124" s="73">
        <f>('DOE25'!L209)+('DOE25'!L227)+('DOE25'!L245+'DOE25'!L255)</f>
        <v>2448693</v>
      </c>
      <c r="D124" s="23" t="s">
        <v>288</v>
      </c>
      <c r="E124" s="73">
        <f>+('DOE25'!L288)+('DOE25'!L307)+('DOE25'!L326)</f>
        <v>7884</v>
      </c>
      <c r="F124" s="23" t="s">
        <v>288</v>
      </c>
      <c r="G124" s="23" t="s">
        <v>288</v>
      </c>
      <c r="H124" s="13">
        <f t="shared" si="7"/>
        <v>2456577</v>
      </c>
    </row>
    <row r="125" spans="1:8" x14ac:dyDescent="0.2">
      <c r="A125" t="s">
        <v>220</v>
      </c>
      <c r="B125" s="31" t="s">
        <v>221</v>
      </c>
      <c r="C125" s="73">
        <f>('DOE25'!L210)+('DOE25'!L228)+('DOE25'!L246)</f>
        <v>0</v>
      </c>
      <c r="D125" s="23" t="s">
        <v>288</v>
      </c>
      <c r="E125" s="73">
        <f>+('DOE25'!L289)+('DOE25'!L308)+('DOE25'!L327)</f>
        <v>46351</v>
      </c>
      <c r="F125" s="23" t="s">
        <v>288</v>
      </c>
      <c r="G125" s="23" t="s">
        <v>288</v>
      </c>
      <c r="H125" s="13">
        <f t="shared" si="7"/>
        <v>46351</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1228787</v>
      </c>
      <c r="E127" s="23" t="s">
        <v>288</v>
      </c>
      <c r="F127" s="23" t="s">
        <v>288</v>
      </c>
      <c r="G127" s="23" t="s">
        <v>288</v>
      </c>
      <c r="H127" s="13">
        <f t="shared" si="7"/>
        <v>1228787</v>
      </c>
    </row>
    <row r="128" spans="1:8" ht="12.75" thickTop="1" thickBot="1" x14ac:dyDescent="0.25">
      <c r="A128" s="32" t="s">
        <v>226</v>
      </c>
      <c r="C128" s="68">
        <f>SUM(C118:C127)</f>
        <v>16852324</v>
      </c>
      <c r="D128" s="68">
        <f>SUM(D118:D127)</f>
        <v>1228787</v>
      </c>
      <c r="E128" s="68">
        <f>SUM(E118:E127)</f>
        <v>585606</v>
      </c>
      <c r="F128" s="68">
        <f>SUM(F118:F127)</f>
        <v>0</v>
      </c>
      <c r="G128" s="68">
        <f>SUM(G118:G127)</f>
        <v>0</v>
      </c>
      <c r="H128" s="68">
        <f t="shared" si="7"/>
        <v>18666717</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680373</v>
      </c>
      <c r="D130" s="23" t="s">
        <v>288</v>
      </c>
      <c r="E130" s="92">
        <f>'DOE25'!L337</f>
        <v>945200</v>
      </c>
      <c r="F130" s="92">
        <f>SUM('DOE25'!L375:'DOE25'!L381)</f>
        <v>0</v>
      </c>
      <c r="G130" s="23" t="s">
        <v>288</v>
      </c>
      <c r="H130" s="13">
        <f t="shared" si="7"/>
        <v>1625573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346150</v>
      </c>
      <c r="D139" s="23" t="s">
        <v>288</v>
      </c>
      <c r="E139" s="23" t="s">
        <v>288</v>
      </c>
      <c r="F139" s="23" t="s">
        <v>288</v>
      </c>
      <c r="G139" s="23" t="s">
        <v>288</v>
      </c>
      <c r="H139" s="13">
        <f t="shared" si="7"/>
        <v>346150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-46150</v>
      </c>
      <c r="D141" s="23" t="s">
        <v>288</v>
      </c>
      <c r="E141" s="23" t="s">
        <v>288</v>
      </c>
      <c r="F141" s="23" t="s">
        <v>288</v>
      </c>
      <c r="G141" s="23" t="s">
        <v>288</v>
      </c>
      <c r="H141" s="13">
        <f t="shared" si="7"/>
        <v>-46150</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980373</v>
      </c>
      <c r="D144" s="98">
        <f>SUM(D130:D143)</f>
        <v>0</v>
      </c>
      <c r="E144" s="98">
        <f>SUM(E130:E143)</f>
        <v>945200</v>
      </c>
      <c r="F144" s="98">
        <f>SUM(F130:F143)</f>
        <v>0</v>
      </c>
      <c r="G144" s="98">
        <f>SUM(G130:G143)</f>
        <v>0</v>
      </c>
      <c r="H144" s="98">
        <f t="shared" si="7"/>
        <v>1925573</v>
      </c>
    </row>
    <row r="145" spans="1:9" ht="12.75" thickTop="1" thickBot="1" x14ac:dyDescent="0.25">
      <c r="A145" s="32" t="s">
        <v>244</v>
      </c>
      <c r="C145" s="68">
        <f>(C115+C128+C144)</f>
        <v>42521765</v>
      </c>
      <c r="D145" s="68">
        <f>(D115+D128+D144)</f>
        <v>1228787</v>
      </c>
      <c r="E145" s="68">
        <f>(E115+E128+E144)</f>
        <v>3286738</v>
      </c>
      <c r="F145" s="68">
        <f>(F115+F128+F144)</f>
        <v>0</v>
      </c>
      <c r="G145" s="68">
        <f>(G115+G128+G144)</f>
        <v>0</v>
      </c>
      <c r="H145" s="68">
        <f t="shared" si="7"/>
        <v>47037290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Merrimack Valley</v>
      </c>
    </row>
    <row r="3" spans="1:4" x14ac:dyDescent="0.2">
      <c r="B3" s="137" t="s">
        <v>1799</v>
      </c>
    </row>
    <row r="4" spans="1:4" x14ac:dyDescent="0.2">
      <c r="B4" t="s">
        <v>61</v>
      </c>
      <c r="C4" s="129">
        <f>IF('DOE25'!F666+'DOE25'!F671=0,0,ROUND('DOE25'!F673,0))</f>
        <v>19201</v>
      </c>
    </row>
    <row r="5" spans="1:4" x14ac:dyDescent="0.2">
      <c r="B5" t="s">
        <v>700</v>
      </c>
      <c r="C5" s="129">
        <f>IF('DOE25'!G666+'DOE25'!G671=0,0,ROUND('DOE25'!G673,0))</f>
        <v>18124</v>
      </c>
    </row>
    <row r="6" spans="1:4" x14ac:dyDescent="0.2">
      <c r="B6" t="s">
        <v>62</v>
      </c>
      <c r="C6" s="129">
        <f>IF('DOE25'!H666+'DOE25'!H671=0,0,ROUND('DOE25'!H673,0))</f>
        <v>16909</v>
      </c>
    </row>
    <row r="7" spans="1:4" x14ac:dyDescent="0.2">
      <c r="B7" t="s">
        <v>701</v>
      </c>
      <c r="C7" s="129">
        <f>IF('DOE25'!I666+'DOE25'!I671=0,0,ROUND('DOE25'!I673,0))</f>
        <v>18178</v>
      </c>
    </row>
    <row r="9" spans="1:4" x14ac:dyDescent="0.2">
      <c r="A9" s="136" t="s">
        <v>94</v>
      </c>
      <c r="B9" s="137" t="s">
        <v>1800</v>
      </c>
      <c r="C9" s="131" t="s">
        <v>720</v>
      </c>
      <c r="D9" s="131" t="s">
        <v>721</v>
      </c>
    </row>
    <row r="10" spans="1:4" x14ac:dyDescent="0.2">
      <c r="A10">
        <v>1100</v>
      </c>
      <c r="B10" t="s">
        <v>702</v>
      </c>
      <c r="C10" s="129">
        <f>ROUND('DOE25'!L198+'DOE25'!L216+'DOE25'!L234+'DOE25'!L277+'DOE25'!L296+'DOE25'!L315,0)</f>
        <v>16115023</v>
      </c>
      <c r="D10" s="132">
        <f>ROUND((C10/$C$28)*100,1)</f>
        <v>36.299999999999997</v>
      </c>
    </row>
    <row r="11" spans="1:4" x14ac:dyDescent="0.2">
      <c r="A11">
        <v>1200</v>
      </c>
      <c r="B11" t="s">
        <v>703</v>
      </c>
      <c r="C11" s="129">
        <f>ROUND('DOE25'!L199+'DOE25'!L217+'DOE25'!L235+'DOE25'!L278+'DOE25'!L297+'DOE25'!L316,0)</f>
        <v>9241791</v>
      </c>
      <c r="D11" s="132">
        <f>ROUND((C11/$C$28)*100,1)</f>
        <v>20.8</v>
      </c>
    </row>
    <row r="12" spans="1:4" x14ac:dyDescent="0.2">
      <c r="A12">
        <v>1300</v>
      </c>
      <c r="B12" t="s">
        <v>704</v>
      </c>
      <c r="C12" s="129">
        <f>ROUND('DOE25'!L200+'DOE25'!L218+'DOE25'!L236+'DOE25'!L279+'DOE25'!L298+'DOE25'!L317,0)</f>
        <v>347595</v>
      </c>
      <c r="D12" s="132">
        <f>ROUND((C12/$C$28)*100,1)</f>
        <v>0.8</v>
      </c>
    </row>
    <row r="13" spans="1:4" x14ac:dyDescent="0.2">
      <c r="A13">
        <v>1400</v>
      </c>
      <c r="B13" t="s">
        <v>705</v>
      </c>
      <c r="C13" s="129">
        <f>ROUND('DOE25'!L201+'DOE25'!L219+'DOE25'!L237+'DOE25'!L280+'DOE25'!L299+'DOE25'!L318,0)</f>
        <v>740591</v>
      </c>
      <c r="D13" s="132">
        <f>ROUND((C13/$C$28)*100,1)</f>
        <v>1.7</v>
      </c>
    </row>
    <row r="14" spans="1:4" x14ac:dyDescent="0.2">
      <c r="D14" s="132"/>
    </row>
    <row r="15" spans="1:4" x14ac:dyDescent="0.2">
      <c r="A15">
        <v>2100</v>
      </c>
      <c r="B15" t="s">
        <v>706</v>
      </c>
      <c r="C15" s="129">
        <f>ROUND('DOE25'!L203+'DOE25'!L221+'DOE25'!L239+'DOE25'!L282+'DOE25'!L301+'DOE25'!L320,0)</f>
        <v>5640430</v>
      </c>
      <c r="D15" s="132">
        <f t="shared" ref="D15:D27" si="0">ROUND((C15/$C$28)*100,1)</f>
        <v>12.7</v>
      </c>
    </row>
    <row r="16" spans="1:4" x14ac:dyDescent="0.2">
      <c r="A16">
        <v>2200</v>
      </c>
      <c r="B16" t="s">
        <v>707</v>
      </c>
      <c r="C16" s="129">
        <f>ROUND('DOE25'!L204+'DOE25'!L222+'DOE25'!L240+'DOE25'!L283+'DOE25'!L302+'DOE25'!L321,0)</f>
        <v>1729716</v>
      </c>
      <c r="D16" s="132">
        <f t="shared" si="0"/>
        <v>3.9</v>
      </c>
    </row>
    <row r="17" spans="1:4" x14ac:dyDescent="0.2">
      <c r="A17" s="133" t="s">
        <v>723</v>
      </c>
      <c r="B17" t="s">
        <v>738</v>
      </c>
      <c r="C17" s="129">
        <f>ROUND('DOE25'!L205+'DOE25'!L210+'DOE25'!L223+'DOE25'!L228+'DOE25'!L241+'DOE25'!L246+'DOE25'!L284+'DOE25'!L289+'DOE25'!L303+'DOE25'!L308+'DOE25'!L322+'DOE25'!L327,0)</f>
        <v>1031523</v>
      </c>
      <c r="D17" s="132">
        <f t="shared" si="0"/>
        <v>2.2999999999999998</v>
      </c>
    </row>
    <row r="18" spans="1:4" x14ac:dyDescent="0.2">
      <c r="A18">
        <v>2400</v>
      </c>
      <c r="B18" t="s">
        <v>711</v>
      </c>
      <c r="C18" s="129">
        <f>ROUND('DOE25'!L206+'DOE25'!L224+'DOE25'!L242+'DOE25'!L285+'DOE25'!L304+'DOE25'!L323,0)</f>
        <v>2347388</v>
      </c>
      <c r="D18" s="132">
        <f t="shared" si="0"/>
        <v>5.3</v>
      </c>
    </row>
    <row r="19" spans="1:4" x14ac:dyDescent="0.2">
      <c r="A19">
        <v>2500</v>
      </c>
      <c r="B19" t="s">
        <v>708</v>
      </c>
      <c r="C19" s="129">
        <f>ROUND('DOE25'!L207+'DOE25'!L225+'DOE25'!L243+'DOE25'!L286+'DOE25'!L305+'DOE25'!L324,0)</f>
        <v>32842</v>
      </c>
      <c r="D19" s="132">
        <f t="shared" si="0"/>
        <v>0.1</v>
      </c>
    </row>
    <row r="20" spans="1:4" x14ac:dyDescent="0.2">
      <c r="A20">
        <v>2600</v>
      </c>
      <c r="B20" t="s">
        <v>709</v>
      </c>
      <c r="C20" s="129">
        <f>ROUND('DOE25'!L208+'DOE25'!L226+'DOE25'!L244+'DOE25'!L287+'DOE25'!L306+'DOE25'!L325,0)</f>
        <v>4199454</v>
      </c>
      <c r="D20" s="132">
        <f t="shared" si="0"/>
        <v>9.4</v>
      </c>
    </row>
    <row r="21" spans="1:4" x14ac:dyDescent="0.2">
      <c r="A21">
        <v>2700</v>
      </c>
      <c r="B21" t="s">
        <v>710</v>
      </c>
      <c r="C21" s="129">
        <f>ROUND('DOE25'!L209+'DOE25'!L227+'DOE25'!L245+'DOE25'!L288+'DOE25'!L307+'DOE25'!L326,0)</f>
        <v>2456577</v>
      </c>
      <c r="D21" s="132">
        <f t="shared" si="0"/>
        <v>5.5</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566194</v>
      </c>
      <c r="D27" s="132">
        <f t="shared" si="0"/>
        <v>1.3</v>
      </c>
    </row>
    <row r="28" spans="1:4" x14ac:dyDescent="0.2">
      <c r="B28" s="136" t="s">
        <v>719</v>
      </c>
      <c r="C28" s="130">
        <f>SUM(C10:C27)</f>
        <v>44449124</v>
      </c>
      <c r="D28" s="134">
        <f>ROUND(SUM(D10:D27),0)</f>
        <v>100</v>
      </c>
    </row>
    <row r="29" spans="1:4" x14ac:dyDescent="0.2">
      <c r="A29">
        <v>4000</v>
      </c>
      <c r="B29" t="s">
        <v>724</v>
      </c>
      <c r="C29" s="129">
        <f>ROUND('DOE25'!L256+'DOE25'!L337+'DOE25'!L375+'DOE25'!L376+'DOE25'!L377+'DOE25'!L378+'DOE25'!L379+'DOE25'!L380+'DOE25'!L381,0)</f>
        <v>1625573</v>
      </c>
    </row>
    <row r="30" spans="1:4" x14ac:dyDescent="0.2">
      <c r="B30" s="136" t="s">
        <v>725</v>
      </c>
      <c r="C30" s="130">
        <f>SUM(C28:C29)</f>
        <v>46074697</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26482023</v>
      </c>
      <c r="D35" s="132">
        <f t="shared" ref="D35:D40" si="1">ROUND((C35/$C$41)*100,1)</f>
        <v>57.3</v>
      </c>
    </row>
    <row r="36" spans="1:4" x14ac:dyDescent="0.2">
      <c r="B36" s="71" t="s">
        <v>739</v>
      </c>
      <c r="C36" s="129">
        <f>SUM('DOE25'!F112:J112)-SUM('DOE25'!G97:G110)+('DOE25'!F175+'DOE25'!F176+'DOE25'!I175+'DOE25'!I176)-C35</f>
        <v>1447756.620000001</v>
      </c>
      <c r="D36" s="132">
        <f t="shared" si="1"/>
        <v>3.1</v>
      </c>
    </row>
    <row r="37" spans="1:4" x14ac:dyDescent="0.2">
      <c r="A37" s="133" t="s">
        <v>834</v>
      </c>
      <c r="B37" s="71" t="s">
        <v>728</v>
      </c>
      <c r="C37" s="129">
        <f>ROUND('DOE25'!F117+'DOE25'!F118,0)</f>
        <v>13360310</v>
      </c>
      <c r="D37" s="132">
        <f t="shared" si="1"/>
        <v>28.9</v>
      </c>
    </row>
    <row r="38" spans="1:4" x14ac:dyDescent="0.2">
      <c r="A38" s="133" t="s">
        <v>734</v>
      </c>
      <c r="B38" s="71" t="s">
        <v>729</v>
      </c>
      <c r="C38" s="129">
        <f>ROUND(SUM('DOE25'!F140:J140)-SUM('DOE25'!F117:F119),0)</f>
        <v>519610</v>
      </c>
      <c r="D38" s="132">
        <f t="shared" si="1"/>
        <v>1.1000000000000001</v>
      </c>
    </row>
    <row r="39" spans="1:4" x14ac:dyDescent="0.2">
      <c r="A39">
        <v>4000</v>
      </c>
      <c r="B39" s="71" t="s">
        <v>730</v>
      </c>
      <c r="C39" s="129">
        <f>ROUND('DOE25'!F170+'DOE25'!G170+'DOE25'!H170+'DOE25'!I170,0)</f>
        <v>4377806</v>
      </c>
      <c r="D39" s="132">
        <f t="shared" si="1"/>
        <v>9.5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46187505.620000005</v>
      </c>
      <c r="D41" s="134">
        <f>SUM(D35:D40)</f>
        <v>99.899999999999991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Merrimack Valley</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28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43</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57</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164</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f>IFERROR(SMALL($I$4:$I$325,ROWS($I$4:I6)),"")</f>
        <v>234</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f>IFERROR(SMALL($I$4:$I$325,ROWS($I$4:I7)),"")</f>
        <v>260</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f>IFERROR(SMALL($I$4:$I$325,ROWS($I$4:I8)),"")</f>
        <v>306</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f>IF('School Level Expenditures'!$B$2=A31,'School Tables'!H31,"")</f>
        <v>28</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f>IF('School Level Expenditures'!$B$2='School Tables'!L46,'School Tables'!S46,"")</f>
        <v>43</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f>IF('School Level Expenditures'!$B$2='School Tables'!W60,'School Tables'!AD60,"")</f>
        <v>57</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f>IF('School Level Expenditures'!$B$2=A167,'School Tables'!H167,"")</f>
        <v>164</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f>IF('School Level Expenditures'!$B$2=A237,'School Tables'!H237,"")</f>
        <v>234</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f>IF('School Level Expenditures'!$B$2=A263,'School Tables'!H263,"")</f>
        <v>260</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f>IF('School Level Expenditures'!$B$2=A309,'School Tables'!H309,"")</f>
        <v>306</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10c9d99-3472-4092-b024-1e9134c86f41">
      <Terms xmlns="http://schemas.microsoft.com/office/infopath/2007/PartnerControls"/>
    </lcf76f155ced4ddcb4097134ff3c332f>
    <TaxCatchAll xmlns="706f0e18-1265-46da-8557-a15a9e53d0b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6" ma:contentTypeDescription="Create a new document." ma:contentTypeScope="" ma:versionID="e3d83acc564a31a39d83d86e3cc17b4f">
  <xsd:schema xmlns:xsd="http://www.w3.org/2001/XMLSchema" xmlns:xs="http://www.w3.org/2001/XMLSchema" xmlns:p="http://schemas.microsoft.com/office/2006/metadata/properties" xmlns:ns2="e10c9d99-3472-4092-b024-1e9134c86f41" xmlns:ns3="706f0e18-1265-46da-8557-a15a9e53d0bb" targetNamespace="http://schemas.microsoft.com/office/2006/metadata/properties" ma:root="true" ma:fieldsID="7803abb13937816be934b8d310538de6" ns2:_="" ns3:_="">
    <xsd:import namespace="e10c9d99-3472-4092-b024-1e9134c86f41"/>
    <xsd:import namespace="706f0e18-1265-46da-8557-a15a9e53d0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73093f1-590b-4b70-8555-b35eb674b5c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6f0e18-1265-46da-8557-a15a9e53d0b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40f42f8-1049-4a72-b822-986d0a89c6e2}" ma:internalName="TaxCatchAll" ma:showField="CatchAllData" ma:web="706f0e18-1265-46da-8557-a15a9e53d0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B61E41-190F-45A1-8D17-2327B7DF0A48}">
  <ds:schemaRefs>
    <ds:schemaRef ds:uri="http://purl.org/dc/terms/"/>
    <ds:schemaRef ds:uri="http://schemas.microsoft.com/office/infopath/2007/PartnerControls"/>
    <ds:schemaRef ds:uri="http://schemas.microsoft.com/office/2006/documentManagement/types"/>
    <ds:schemaRef ds:uri="http://www.w3.org/XML/1998/namespace"/>
    <ds:schemaRef ds:uri="http://purl.org/dc/dcmitype/"/>
    <ds:schemaRef ds:uri="706f0e18-1265-46da-8557-a15a9e53d0bb"/>
    <ds:schemaRef ds:uri="http://purl.org/dc/elements/1.1/"/>
    <ds:schemaRef ds:uri="http://schemas.openxmlformats.org/package/2006/metadata/core-properties"/>
    <ds:schemaRef ds:uri="e10c9d99-3472-4092-b024-1e9134c86f41"/>
    <ds:schemaRef ds:uri="http://schemas.microsoft.com/office/2006/metadata/properties"/>
  </ds:schemaRefs>
</ds:datastoreItem>
</file>

<file path=customXml/itemProps2.xml><?xml version="1.0" encoding="utf-8"?>
<ds:datastoreItem xmlns:ds="http://schemas.openxmlformats.org/officeDocument/2006/customXml" ds:itemID="{879A3407-7B0B-42D8-BEF0-2659515691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706f0e18-1265-46da-8557-a15a9e53d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C4A815-0A8A-4506-A94F-9E1200B9E6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2023-08-14T19:58:30Z</cp:lastPrinted>
  <dcterms:created xsi:type="dcterms:W3CDTF">1997-12-04T19:04:30Z</dcterms:created>
  <dcterms:modified xsi:type="dcterms:W3CDTF">2023-12-28T19:11:26Z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0x01010010571A22EEC1C7428E87E013D40CF161</vt:lpwstr>
  </property>
  <property fmtid="{D5CDD505-2E9C-101B-9397-08002B2CF9AE}" pid="3" name="MediaServiceImageTags">
    <vt:lpwstr/>
  </property>
</Properties>
</file>