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B15E5B91-AC0E-4765-AFE0-34B87877AD6F}"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8" i="1" l="1"/>
  <c r="J592" i="1"/>
  <c r="I592" i="1"/>
  <c r="H592" i="1"/>
  <c r="H209" i="1"/>
  <c r="H227" i="1"/>
  <c r="H245" i="1"/>
  <c r="F110" i="1" l="1"/>
  <c r="F117" i="1"/>
  <c r="F31" i="13" l="1"/>
  <c r="D10" i="14"/>
  <c r="D9" i="14"/>
  <c r="D8" i="14"/>
  <c r="D7" i="14"/>
  <c r="D6" i="14"/>
  <c r="D9" i="13" l="1"/>
  <c r="H162" i="1" l="1"/>
  <c r="H155" i="1"/>
  <c r="J528" i="1" l="1"/>
  <c r="J527" i="1"/>
  <c r="H377" i="1" l="1"/>
  <c r="G320" i="1" l="1"/>
  <c r="I320" i="1"/>
  <c r="I282" i="1"/>
  <c r="I277" i="1"/>
  <c r="H325" i="1"/>
  <c r="H306" i="1"/>
  <c r="H287" i="1"/>
  <c r="I289" i="1"/>
  <c r="H288" i="1"/>
  <c r="H285" i="1"/>
  <c r="G285" i="1"/>
  <c r="F285" i="1"/>
  <c r="I283" i="1"/>
  <c r="H283" i="1"/>
  <c r="K320" i="1"/>
  <c r="K301" i="1"/>
  <c r="K282" i="1"/>
  <c r="K527" i="1" s="1"/>
  <c r="F320" i="1"/>
  <c r="G301" i="1"/>
  <c r="F301" i="1"/>
  <c r="G397" i="1" l="1"/>
  <c r="H22" i="1"/>
  <c r="H14" i="1"/>
  <c r="H9" i="1"/>
  <c r="H24" i="1"/>
  <c r="J280" i="1"/>
  <c r="G40" i="1"/>
  <c r="H401" i="1"/>
  <c r="H397" i="1"/>
  <c r="H379" i="1" l="1"/>
  <c r="G283" i="1"/>
  <c r="F283" i="1"/>
  <c r="J244" i="1" l="1"/>
  <c r="I244" i="1"/>
  <c r="H244" i="1"/>
  <c r="G244" i="1"/>
  <c r="F244" i="1"/>
  <c r="J226" i="1"/>
  <c r="H226" i="1"/>
  <c r="I226" i="1"/>
  <c r="G226" i="1"/>
  <c r="F226" i="1"/>
  <c r="J208" i="1"/>
  <c r="I208" i="1"/>
  <c r="H208" i="1"/>
  <c r="G208" i="1"/>
  <c r="F208" i="1"/>
  <c r="I242" i="1"/>
  <c r="G242" i="1"/>
  <c r="F242" i="1"/>
  <c r="I224" i="1"/>
  <c r="H224" i="1"/>
  <c r="G224" i="1"/>
  <c r="F224" i="1"/>
  <c r="I206" i="1"/>
  <c r="G206" i="1"/>
  <c r="F206" i="1"/>
  <c r="I240" i="1"/>
  <c r="H240" i="1"/>
  <c r="G240" i="1"/>
  <c r="F240" i="1"/>
  <c r="I222" i="1"/>
  <c r="H222" i="1"/>
  <c r="G222" i="1"/>
  <c r="F222" i="1"/>
  <c r="I204" i="1"/>
  <c r="H204" i="1"/>
  <c r="G204" i="1"/>
  <c r="F204" i="1"/>
  <c r="K239" i="1"/>
  <c r="K529" i="1" s="1"/>
  <c r="J239" i="1"/>
  <c r="J529" i="1" s="1"/>
  <c r="I239" i="1"/>
  <c r="I529" i="1" s="1"/>
  <c r="H239" i="1"/>
  <c r="H529" i="1" s="1"/>
  <c r="G239" i="1"/>
  <c r="G529" i="1" s="1"/>
  <c r="F239" i="1"/>
  <c r="F529" i="1" s="1"/>
  <c r="K221" i="1"/>
  <c r="K528" i="1" s="1"/>
  <c r="I221" i="1"/>
  <c r="I528" i="1" s="1"/>
  <c r="H221" i="1"/>
  <c r="H528" i="1" s="1"/>
  <c r="G221" i="1"/>
  <c r="G528" i="1" s="1"/>
  <c r="F221" i="1"/>
  <c r="F528" i="1" s="1"/>
  <c r="I203" i="1"/>
  <c r="I527" i="1" s="1"/>
  <c r="H203" i="1"/>
  <c r="H527" i="1" s="1"/>
  <c r="G203" i="1"/>
  <c r="G527" i="1" s="1"/>
  <c r="F203" i="1"/>
  <c r="F527" i="1" s="1"/>
  <c r="K235" i="1"/>
  <c r="K524" i="1" s="1"/>
  <c r="J235" i="1"/>
  <c r="J524" i="1" s="1"/>
  <c r="I235" i="1"/>
  <c r="I524" i="1" s="1"/>
  <c r="H235" i="1"/>
  <c r="H524" i="1" s="1"/>
  <c r="G235" i="1"/>
  <c r="G524" i="1" s="1"/>
  <c r="F235" i="1"/>
  <c r="F524" i="1" s="1"/>
  <c r="K217" i="1"/>
  <c r="K523" i="1" s="1"/>
  <c r="J217" i="1"/>
  <c r="J523" i="1" s="1"/>
  <c r="I217" i="1"/>
  <c r="I523" i="1" s="1"/>
  <c r="H217" i="1"/>
  <c r="H523" i="1" s="1"/>
  <c r="G217" i="1"/>
  <c r="G523" i="1" s="1"/>
  <c r="F217" i="1"/>
  <c r="F523" i="1" s="1"/>
  <c r="K199" i="1"/>
  <c r="K522" i="1" s="1"/>
  <c r="J199" i="1"/>
  <c r="J522" i="1" s="1"/>
  <c r="I199" i="1"/>
  <c r="I522" i="1" s="1"/>
  <c r="H199" i="1"/>
  <c r="H522" i="1" s="1"/>
  <c r="G199" i="1"/>
  <c r="G522" i="1" s="1"/>
  <c r="F199" i="1"/>
  <c r="F522" i="1" s="1"/>
  <c r="K234" i="1"/>
  <c r="J234" i="1"/>
  <c r="H234" i="1"/>
  <c r="G234" i="1"/>
  <c r="F234" i="1"/>
  <c r="K216" i="1"/>
  <c r="J216" i="1"/>
  <c r="H216" i="1"/>
  <c r="G216" i="1"/>
  <c r="F216" i="1"/>
  <c r="K198" i="1"/>
  <c r="J198" i="1"/>
  <c r="H198" i="1"/>
  <c r="G198" i="1"/>
  <c r="F198" i="1"/>
  <c r="H201" i="1"/>
  <c r="G201" i="1"/>
  <c r="F201" i="1"/>
  <c r="K206" i="1" l="1"/>
  <c r="J206" i="1"/>
  <c r="H206" i="1"/>
  <c r="J204" i="1"/>
  <c r="H159" i="1" l="1"/>
  <c r="H154" i="1"/>
  <c r="H102" i="1"/>
  <c r="G158" i="1"/>
  <c r="F120" i="1"/>
  <c r="F68" i="1"/>
  <c r="F63" i="1"/>
  <c r="F57"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H25" i="2" s="1"/>
  <c r="C26" i="2"/>
  <c r="H26" i="2" s="1"/>
  <c r="F26" i="2"/>
  <c r="C27" i="2"/>
  <c r="D27" i="2"/>
  <c r="E27" i="2"/>
  <c r="F27" i="2"/>
  <c r="C28" i="2"/>
  <c r="D28" i="2"/>
  <c r="E28" i="2"/>
  <c r="F28" i="2"/>
  <c r="C29" i="2"/>
  <c r="D29" i="2"/>
  <c r="E29" i="2"/>
  <c r="H29" i="2" s="1"/>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5" i="2"/>
  <c r="F85" i="2"/>
  <c r="C87" i="2"/>
  <c r="H87" i="2" s="1"/>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G644" i="1"/>
  <c r="G645" i="1"/>
  <c r="H653" i="1"/>
  <c r="G654" i="1"/>
  <c r="H654" i="1"/>
  <c r="H655" i="1"/>
  <c r="H656" i="1"/>
  <c r="I170" i="1"/>
  <c r="H58" i="2" l="1"/>
  <c r="H96" i="2"/>
  <c r="H69" i="2"/>
  <c r="H47" i="2"/>
  <c r="H30" i="2"/>
  <c r="H28" i="2"/>
  <c r="H17" i="2"/>
  <c r="H15" i="2"/>
  <c r="H143" i="2"/>
  <c r="H102" i="2"/>
  <c r="H100" i="2"/>
  <c r="H98" i="2"/>
  <c r="H73" i="2"/>
  <c r="H24" i="2"/>
  <c r="H11" i="2"/>
  <c r="E124" i="2"/>
  <c r="G663" i="1"/>
  <c r="H89" i="2"/>
  <c r="H72" i="2"/>
  <c r="H132" i="2"/>
  <c r="H44" i="2"/>
  <c r="H48" i="2"/>
  <c r="I409" i="1"/>
  <c r="H94" i="2"/>
  <c r="H27" i="2"/>
  <c r="H113" i="2"/>
  <c r="J112" i="1"/>
  <c r="H57" i="2"/>
  <c r="E121" i="2"/>
  <c r="H35" i="2"/>
  <c r="H9" i="2"/>
  <c r="C12" i="10"/>
  <c r="H59" i="2"/>
  <c r="H36" i="2"/>
  <c r="H101" i="2"/>
  <c r="H99" i="2"/>
  <c r="H79" i="2"/>
  <c r="H76" i="2"/>
  <c r="E125" i="2"/>
  <c r="G646" i="1"/>
  <c r="G651" i="1"/>
  <c r="J651" i="1" s="1"/>
  <c r="H13" i="2"/>
  <c r="J652" i="1"/>
  <c r="H23" i="2"/>
  <c r="H8" i="2"/>
  <c r="H12" i="2"/>
  <c r="G662" i="1"/>
  <c r="D29" i="13"/>
  <c r="C29" i="13" s="1"/>
  <c r="H125" i="2"/>
  <c r="A40" i="12"/>
  <c r="E112" i="2"/>
  <c r="D15" i="13"/>
  <c r="C15" i="13" s="1"/>
  <c r="C121" i="2"/>
  <c r="C120" i="2"/>
  <c r="H120" i="2" s="1"/>
  <c r="C110" i="2"/>
  <c r="N2" i="14"/>
  <c r="N3" i="14" s="1"/>
  <c r="C119" i="2"/>
  <c r="M2" i="14"/>
  <c r="M3" i="14" s="1"/>
  <c r="C112" i="2"/>
  <c r="C13" i="10"/>
  <c r="D6" i="13"/>
  <c r="C6" i="13" s="1"/>
  <c r="L2" i="14"/>
  <c r="L3" i="14" s="1"/>
  <c r="K2" i="14"/>
  <c r="K3" i="14" s="1"/>
  <c r="H61" i="2"/>
  <c r="D78" i="2"/>
  <c r="H77"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A22" i="12"/>
  <c r="J653" i="1"/>
  <c r="G572" i="1"/>
  <c r="I435" i="1"/>
  <c r="G435" i="1"/>
  <c r="I664" i="1"/>
  <c r="B17" i="16" l="1"/>
  <c r="B19" i="16" s="1"/>
  <c r="G473" i="1"/>
  <c r="H78" i="2"/>
  <c r="H21" i="2"/>
  <c r="H42" i="2"/>
  <c r="H85" i="2"/>
  <c r="H121" i="2"/>
  <c r="H16" i="2"/>
  <c r="I663" i="1"/>
  <c r="H123" i="2"/>
  <c r="H134" i="2"/>
  <c r="E51" i="2"/>
  <c r="H112" i="2"/>
  <c r="G637" i="1"/>
  <c r="I473" i="1"/>
  <c r="H31" i="2"/>
  <c r="H18" i="2"/>
  <c r="H50" i="2"/>
  <c r="G647" i="1"/>
  <c r="J469" i="1"/>
  <c r="I662" i="1"/>
  <c r="D128" i="2"/>
  <c r="D145" i="2" s="1"/>
  <c r="H127" i="2"/>
  <c r="H122" i="2"/>
  <c r="H119" i="2"/>
  <c r="E128" i="2"/>
  <c r="H118" i="2"/>
  <c r="H110" i="2"/>
  <c r="H103" i="2"/>
  <c r="H62" i="2"/>
  <c r="H91" i="2"/>
  <c r="C81" i="2"/>
  <c r="H81" i="2" s="1"/>
  <c r="F194" i="1"/>
  <c r="F469" i="1" s="1"/>
  <c r="M24" i="14"/>
  <c r="F661" i="1"/>
  <c r="F665" i="1" s="1"/>
  <c r="F670" i="1" s="1"/>
  <c r="E115" i="2"/>
  <c r="H109" i="2"/>
  <c r="F144" i="2"/>
  <c r="H130" i="2"/>
  <c r="H661" i="1"/>
  <c r="H665" i="1" s="1"/>
  <c r="H194" i="1"/>
  <c r="H649" i="1"/>
  <c r="J649" i="1" s="1"/>
  <c r="C141" i="2"/>
  <c r="F51" i="2"/>
  <c r="G36" i="14"/>
  <c r="H36" i="14" s="1"/>
  <c r="E104" i="2"/>
  <c r="C36" i="10"/>
  <c r="L435" i="1"/>
  <c r="G104" i="2"/>
  <c r="L339" i="1"/>
  <c r="L353" i="1" s="1"/>
  <c r="I194" i="1"/>
  <c r="G636" i="1"/>
  <c r="G51" i="2"/>
  <c r="D104" i="2"/>
  <c r="L409" i="1"/>
  <c r="C27" i="10"/>
  <c r="C28" i="10" s="1"/>
  <c r="D23" i="10" s="1"/>
  <c r="G4" i="14"/>
  <c r="H4" i="14" s="1"/>
  <c r="I4" i="14" s="1"/>
  <c r="L54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C51" i="2"/>
  <c r="G632" i="1"/>
  <c r="G194" i="1"/>
  <c r="G627" i="1"/>
  <c r="J52" i="1"/>
  <c r="H622" i="1" s="1"/>
  <c r="J622" i="1" s="1"/>
  <c r="C38" i="10"/>
  <c r="G629" i="1" l="1"/>
  <c r="G469" i="1"/>
  <c r="G631" i="1"/>
  <c r="I469" i="1"/>
  <c r="H636" i="1"/>
  <c r="J636" i="1" s="1"/>
  <c r="G475" i="1"/>
  <c r="F471" i="1"/>
  <c r="H628" i="1"/>
  <c r="G628" i="1"/>
  <c r="G630" i="1"/>
  <c r="H469" i="1"/>
  <c r="G639" i="1"/>
  <c r="J473" i="1"/>
  <c r="G634" i="1"/>
  <c r="H473" i="1"/>
  <c r="H637" i="1"/>
  <c r="I475" i="1"/>
  <c r="J637" i="1"/>
  <c r="G633" i="1"/>
  <c r="F473" i="1"/>
  <c r="H51" i="2"/>
  <c r="H632" i="1"/>
  <c r="J632" i="1" s="1"/>
  <c r="J471" i="1"/>
  <c r="H638" i="1"/>
  <c r="C144" i="2"/>
  <c r="H144" i="2" s="1"/>
  <c r="H141" i="2"/>
  <c r="H128" i="2"/>
  <c r="C104" i="2"/>
  <c r="H104" i="2" s="1"/>
  <c r="H63" i="2"/>
  <c r="M36" i="14"/>
  <c r="I36" i="14"/>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H629" i="1" l="1"/>
  <c r="J629" i="1" s="1"/>
  <c r="G471" i="1"/>
  <c r="G477" i="1" s="1"/>
  <c r="H631" i="1"/>
  <c r="J631" i="1" s="1"/>
  <c r="I471" i="1"/>
  <c r="I477" i="1" s="1"/>
  <c r="H626" i="1" s="1"/>
  <c r="J626" i="1" s="1"/>
  <c r="J628" i="1"/>
  <c r="H471" i="1"/>
  <c r="H630" i="1"/>
  <c r="J630" i="1" s="1"/>
  <c r="C145" i="2"/>
  <c r="H145" i="2" s="1"/>
  <c r="H639" i="1"/>
  <c r="J475" i="1"/>
  <c r="J477" i="1" s="1"/>
  <c r="H627" i="1" s="1"/>
  <c r="J639" i="1"/>
  <c r="H634" i="1"/>
  <c r="J634" i="1" s="1"/>
  <c r="H475" i="1"/>
  <c r="H477" i="1" s="1"/>
  <c r="H625" i="1" s="1"/>
  <c r="J625" i="1" s="1"/>
  <c r="H633" i="1"/>
  <c r="J633" i="1" s="1"/>
  <c r="F475" i="1"/>
  <c r="F477" i="1" s="1"/>
  <c r="H623" i="1" s="1"/>
  <c r="J623" i="1" s="1"/>
  <c r="J638" i="1"/>
  <c r="I670" i="1"/>
  <c r="I673" i="1" s="1"/>
  <c r="C7" i="10" s="1"/>
  <c r="F673" i="1"/>
  <c r="C4" i="10" s="1"/>
  <c r="I668" i="1"/>
  <c r="D28" i="10"/>
  <c r="D37" i="10"/>
  <c r="D36" i="10"/>
  <c r="D35" i="10"/>
  <c r="D40" i="10"/>
  <c r="D39" i="10"/>
  <c r="H624" i="1" l="1"/>
  <c r="J624" i="1" s="1"/>
  <c r="B33" i="16"/>
  <c r="J627" i="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<sst xmlns="http://schemas.openxmlformats.org/spreadsheetml/2006/main" count="6558" uniqueCount="1813">
  <si>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</si>
  <si>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</si>
  <si>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</si>
  <si>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</si>
  <si>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</si>
  <si>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</si>
  <si>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</si>
  <si>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</si>
  <si>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</si>
  <si>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</si>
  <si>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</si>
  <si>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</si>
  <si>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</si>
  <si>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</si>
  <si>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</si>
  <si>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</si>
  <si>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</si>
  <si>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</si>
  <si>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</si>
  <si>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</si>
  <si>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</si>
  <si>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</si>
  <si>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</si>
  <si>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</si>
  <si>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</si>
  <si>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</si>
  <si>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</si>
  <si>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</si>
  <si>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</si>
  <si>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</si>
  <si>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</si>
  <si>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</si>
  <si>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</si>
  <si>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</si>
  <si>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</si>
  <si>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</si>
  <si>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</si>
  <si>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</si>
  <si>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</si>
  <si>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</si>
  <si>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</si>
  <si>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</si>
  <si>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</si>
  <si>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</si>
  <si>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</si>
  <si>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</si>
  <si>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</si>
  <si>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</si>
  <si>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</si>
  <si>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</si>
  <si>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</si>
  <si>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</si>
  <si>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</si>
  <si>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</si>
  <si>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</si>
  <si>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</si>
  <si>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</si>
  <si>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</si>
  <si>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</si>
  <si>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</si>
  <si>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</si>
  <si>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</si>
  <si>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</si>
  <si>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</si>
  <si>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</si>
  <si>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</si>
  <si>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</si>
  <si>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</si>
  <si>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</si>
  <si>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</si>
  <si>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</si>
  <si>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</si>
  <si>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</si>
  <si>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</si>
  <si>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</si>
  <si>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</si>
  <si>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</si>
  <si>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</si>
  <si>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</si>
  <si>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</si>
  <si>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</si>
  <si>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</si>
  <si>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</si>
  <si>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</si>
  <si>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</si>
  <si>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</si>
  <si>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</si>
  <si>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</si>
  <si>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</si>
  <si>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</si>
  <si>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</si>
  <si>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</si>
  <si>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</si>
  <si>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</si>
  <si>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</si>
  <si>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</si>
  <si>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</si>
  <si>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</si>
  <si>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</si>
  <si>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</si>
  <si>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</si>
  <si>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</si>
  <si>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</si>
  <si>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</si>
  <si>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</si>
  <si>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</si>
  <si>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</si>
  <si>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</si>
  <si>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</si>
  <si>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</si>
  <si>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</si>
  <si>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</si>
  <si>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</si>
  <si>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</si>
  <si>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</si>
  <si>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</si>
  <si>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</si>
  <si>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</si>
  <si>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</si>
  <si>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</si>
  <si>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</si>
  <si>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</si>
  <si>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</si>
  <si>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</si>
  <si>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</si>
  <si>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</si>
  <si>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</si>
  <si>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</si>
  <si>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</si>
  <si>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</si>
  <si>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</si>
  <si>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</si>
  <si>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</si>
  <si>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</si>
  <si>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</si>
  <si>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</si>
  <si>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</si>
  <si>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</si>
  <si>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</si>
  <si>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</si>
  <si>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</si>
  <si>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</si>
  <si>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</si>
  <si>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</si>
  <si>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</si>
  <si>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</si>
  <si>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</si>
  <si>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</si>
  <si>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</si>
  <si>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</si>
  <si>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</si>
  <si>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</si>
  <si>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</si>
  <si>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</si>
  <si>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</si>
  <si>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</si>
  <si>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</si>
  <si>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</si>
  <si>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</si>
  <si>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</si>
  <si>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</si>
  <si>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</si>
  <si>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</si>
  <si>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</si>
  <si>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</si>
  <si>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</si>
  <si>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</si>
  <si>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</si>
  <si>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</si>
  <si>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</si>
  <si>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</si>
  <si>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</si>
  <si>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</si>
  <si>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</si>
  <si>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</si>
  <si>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</si>
  <si>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</si>
  <si>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</si>
  <si>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</si>
  <si>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</si>
  <si>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</si>
  <si>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</si>
  <si>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</si>
  <si>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</si>
  <si>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</si>
  <si>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</si>
  <si>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</si>
  <si>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</si>
  <si>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</si>
  <si>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</si>
  <si>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</si>
  <si>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</si>
  <si>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</si>
  <si>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</si>
  <si>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</si>
  <si>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</si>
  <si>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</si>
  <si>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</si>
  <si>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</si>
  <si>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</si>
  <si>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</si>
  <si>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</si>
  <si>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</si>
  <si>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</si>
  <si>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</si>
  <si>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</si>
  <si>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</si>
  <si>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</si>
  <si>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</si>
  <si>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</si>
  <si>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</si>
  <si>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</si>
  <si>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</si>
  <si>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</si>
  <si>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</si>
  <si>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</si>
  <si>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</si>
  <si>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</si>
  <si>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</si>
  <si>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</si>
  <si>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</si>
  <si>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</si>
  <si>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</si>
  <si>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</si>
  <si>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</si>
  <si>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</si>
  <si>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</si>
  <si>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</si>
  <si>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</si>
  <si>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</si>
  <si>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</si>
  <si>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</si>
  <si>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</si>
  <si>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</si>
  <si>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</si>
  <si>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</si>
  <si>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</si>
  <si>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</si>
  <si>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</si>
  <si>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</si>
  <si>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</si>
  <si>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</si>
  <si>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</si>
  <si>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</si>
  <si>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</si>
  <si>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</si>
  <si>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</si>
  <si>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</si>
  <si>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</si>
  <si>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</si>
  <si>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</si>
  <si>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</si>
  <si>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</si>
  <si>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</si>
  <si>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</si>
  <si>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</si>
  <si>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</si>
  <si>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</si>
  <si>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</si>
  <si>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</si>
  <si>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</si>
  <si>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</si>
  <si>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</si>
  <si>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</si>
  <si>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</si>
  <si>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</si>
  <si>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</si>
  <si>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</si>
  <si>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</si>
  <si>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</si>
  <si>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</si>
  <si>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</si>
  <si>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</si>
  <si>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</si>
  <si>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</si>
  <si>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</si>
  <si>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</si>
  <si>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</si>
  <si>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</si>
  <si>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</si>
  <si>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</si>
  <si>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</si>
  <si>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</si>
  <si>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</si>
  <si>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</si>
  <si>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</si>
  <si>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</si>
  <si>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</si>
  <si>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</si>
  <si>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</si>
  <si>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</si>
  <si>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</si>
  <si>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</si>
  <si>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</si>
  <si>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</si>
  <si>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</si>
  <si>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</si>
  <si>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</si>
  <si>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</si>
  <si>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</si>
  <si>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</si>
  <si>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</si>
  <si>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</si>
  <si>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</si>
  <si>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</si>
  <si>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</si>
  <si>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</si>
  <si>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</si>
  <si>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</si>
  <si>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</si>
  <si>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</si>
  <si>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</si>
  <si>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</si>
  <si>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</si>
  <si>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</si>
  <si>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</si>
  <si>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</si>
  <si>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</si>
  <si>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</si>
  <si>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</si>
  <si>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</si>
  <si>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</si>
  <si>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</si>
  <si>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</si>
  <si>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</si>
  <si>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</si>
  <si>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</si>
  <si>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</si>
  <si>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</si>
  <si>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</si>
  <si>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</si>
  <si>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</si>
  <si>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</si>
  <si>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</si>
  <si>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</si>
  <si>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</si>
  <si>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</si>
  <si>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</si>
  <si>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</si>
  <si>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</si>
  <si>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</si>
  <si>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</si>
  <si>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</si>
  <si>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</si>
  <si>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</si>
  <si>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</si>
  <si>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</si>
  <si>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</si>
  <si>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</si>
  <si>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</si>
  <si>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</si>
  <si>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</si>
  <si>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</si>
  <si>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</si>
  <si>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</si>
  <si>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</si>
  <si>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</si>
  <si>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</si>
  <si>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</si>
  <si>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</si>
  <si>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</si>
  <si>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</si>
  <si>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</si>
  <si>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</si>
  <si>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</si>
  <si>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</si>
  <si>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</si>
  <si>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</si>
  <si>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</si>
  <si>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</si>
  <si>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</si>
  <si>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</si>
  <si>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</si>
  <si>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</si>
  <si>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</si>
  <si>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</si>
  <si>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</si>
  <si>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</si>
  <si>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</si>
  <si>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</si>
  <si>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</si>
  <si>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</si>
  <si>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</si>
  <si>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</si>
  <si>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</si>
  <si>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</si>
  <si>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</si>
  <si>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</si>
  <si>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</si>
  <si>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</si>
  <si>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</si>
  <si>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</si>
  <si>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</si>
  <si>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</si>
  <si>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</si>
  <si>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</si>
  <si>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</si>
  <si>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</si>
  <si>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</si>
  <si>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</si>
  <si>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</si>
  <si>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</si>
  <si>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</si>
  <si>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</si>
  <si>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</si>
  <si>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</si>
  <si>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</si>
  <si>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</si>
  <si>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</si>
  <si>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</si>
  <si>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</si>
  <si>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</si>
  <si>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</si>
  <si>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</si>
  <si>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</si>
  <si>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</si>
  <si>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</si>
  <si>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</si>
  <si>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</si>
  <si>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</si>
  <si>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</si>
  <si>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</si>
  <si>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</si>
  <si>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</si>
  <si>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</si>
  <si>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</si>
  <si>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</si>
  <si>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</si>
  <si>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</si>
  <si>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</si>
  <si>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</si>
  <si>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</si>
  <si>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</si>
  <si>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</si>
  <si>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</si>
  <si>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</si>
  <si>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</si>
  <si>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</si>
  <si>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</si>
  <si>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</si>
  <si>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</si>
  <si>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</si>
  <si>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</si>
  <si>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</si>
  <si>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</si>
  <si>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</si>
  <si>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</si>
  <si>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</si>
  <si>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</si>
  <si>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</si>
  <si>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</si>
  <si>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</si>
  <si>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</si>
  <si>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</si>
  <si>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</si>
  <si>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</si>
  <si>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</si>
  <si>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</si>
  <si>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</si>
  <si>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</si>
  <si>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</si>
  <si>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</si>
  <si>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</si>
  <si>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</si>
  <si>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</si>
  <si>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</si>
  <si>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</si>
  <si>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</si>
  <si>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</si>
  <si>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</si>
  <si>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</si>
  <si>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</si>
  <si>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</si>
  <si>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</si>
  <si>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</si>
  <si>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</si>
  <si>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</si>
  <si>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</si>
  <si>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</si>
  <si>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</si>
  <si>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</si>
  <si>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</si>
  <si>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</si>
  <si>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</si>
  <si>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</si>
  <si>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</si>
  <si>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</si>
  <si>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</si>
  <si>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</si>
  <si>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</si>
  <si>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</si>
  <si>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</si>
  <si>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</si>
  <si>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</si>
  <si>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</si>
  <si>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</si>
  <si>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</si>
  <si>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</si>
  <si>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</si>
  <si>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</si>
  <si>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</si>
  <si>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</si>
  <si>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</si>
  <si>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</si>
  <si>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</si>
  <si>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</si>
  <si>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</si>
  <si>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</si>
  <si>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</si>
  <si>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</si>
  <si>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</si>
  <si>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</si>
  <si>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</si>
  <si>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</si>
  <si>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</si>
  <si>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</si>
  <si>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</si>
  <si>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</si>
  <si>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</si>
  <si>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</si>
  <si>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</si>
  <si>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</si>
  <si>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</si>
  <si>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</si>
  <si>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</si>
  <si>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</si>
  <si>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</si>
  <si>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</si>
  <si>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</si>
  <si>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</si>
  <si>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</si>
  <si>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</si>
  <si>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</si>
  <si>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</si>
  <si>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</si>
  <si>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</si>
  <si>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</si>
  <si>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</si>
  <si>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</si>
  <si>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</si>
  <si>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</si>
  <si>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</si>
  <si>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</si>
  <si>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</si>
  <si>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</si>
  <si>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</si>
  <si>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</si>
  <si>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</si>
  <si>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</si>
  <si>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</si>
  <si>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</si>
  <si>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</si>
  <si>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</si>
  <si>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</si>
  <si>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</si>
  <si>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</si>
  <si>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</si>
  <si>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</si>
  <si>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</si>
  <si>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</si>
  <si>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</si>
  <si>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</si>
  <si>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</si>
  <si>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</si>
  <si>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</si>
  <si>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</si>
  <si>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</si>
  <si>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</si>
  <si>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</si>
  <si>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</si>
  <si>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</si>
  <si>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</si>
  <si>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</si>
  <si>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</si>
  <si>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</si>
  <si>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</si>
  <si>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</si>
  <si>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</si>
  <si>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</si>
  <si>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</si>
  <si>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</si>
  <si>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</si>
  <si>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</si>
  <si>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</si>
  <si>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</si>
  <si>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</si>
  <si>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</si>
  <si>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</si>
  <si>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</si>
  <si>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</si>
  <si>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</si>
  <si>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</si>
  <si>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</si>
  <si>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</si>
  <si>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</si>
  <si>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</si>
  <si>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</si>
  <si>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</si>
  <si>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</si>
  <si>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</si>
  <si>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</si>
  <si>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</si>
  <si>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</si>
  <si>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</si>
  <si>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</si>
  <si>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</si>
  <si>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</si>
  <si>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</si>
  <si>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</si>
  <si>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</si>
  <si>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</si>
  <si>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</si>
  <si>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</si>
  <si>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</si>
  <si>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</si>
  <si>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</si>
  <si>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</si>
  <si>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</si>
  <si>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</si>
  <si>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</si>
  <si>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</si>
  <si>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</si>
  <si>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</si>
  <si>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</si>
  <si>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</si>
  <si>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</si>
  <si>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</si>
  <si>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</si>
  <si>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</si>
  <si>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</si>
  <si>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</si>
  <si>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</si>
  <si>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</si>
  <si>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</si>
  <si>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</si>
  <si>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</si>
  <si>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</si>
  <si>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</si>
  <si>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</si>
  <si>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</si>
  <si>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</si>
  <si>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</si>
  <si>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</si>
  <si>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</si>
  <si>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</si>
  <si>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</si>
  <si>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</si>
  <si>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</si>
  <si>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</si>
  <si>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</si>
  <si>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</si>
  <si>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</si>
  <si>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</si>
  <si>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</si>
  <si>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</si>
  <si>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</si>
  <si>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</si>
  <si>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</si>
  <si>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</si>
  <si>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</si>
  <si>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</si>
  <si>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</si>
  <si>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</si>
  <si>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</si>
  <si>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</si>
  <si>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</si>
  <si>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</si>
  <si>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</si>
  <si>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</si>
  <si>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</si>
  <si>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</si>
  <si>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</si>
  <si>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</si>
  <si>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</si>
  <si>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</si>
  <si>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</si>
  <si>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</si>
  <si>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</si>
  <si>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</si>
  <si>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</si>
  <si>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</si>
  <si>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</si>
  <si>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</si>
  <si>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</si>
  <si>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</si>
  <si>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</si>
  <si>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</si>
  <si>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</si>
  <si>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</si>
  <si>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</si>
  <si>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</si>
  <si>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</si>
  <si>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</si>
  <si>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</si>
  <si>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</si>
  <si>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</si>
  <si>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</si>
  <si>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</si>
  <si>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</si>
  <si>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</si>
  <si>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</si>
  <si>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</si>
  <si>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</si>
  <si>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</si>
  <si>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</si>
  <si>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</si>
  <si>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</si>
  <si>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</si>
  <si>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</si>
  <si>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</si>
  <si>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</si>
  <si>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</si>
  <si>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</si>
  <si>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</si>
  <si>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</si>
  <si>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</si>
  <si>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</si>
  <si>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</si>
  <si>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</si>
  <si>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</si>
  <si>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</si>
  <si>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</si>
  <si>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</si>
  <si>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</si>
  <si>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</si>
  <si>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</si>
  <si>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</si>
  <si>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</si>
  <si>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</si>
  <si>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</si>
  <si>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</si>
  <si>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</si>
  <si>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</si>
  <si>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</si>
  <si>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</si>
  <si>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</si>
  <si>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</si>
  <si>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</si>
  <si>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</si>
  <si>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</si>
  <si>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</si>
  <si>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</si>
  <si>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</si>
  <si>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</si>
  <si>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</si>
  <si>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</si>
  <si>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</si>
  <si>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</si>
  <si>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</si>
  <si>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</si>
  <si>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</si>
  <si>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</si>
  <si>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</si>
  <si>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</si>
  <si>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</si>
  <si>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</si>
  <si>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</si>
  <si>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</si>
  <si>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</si>
  <si>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</si>
  <si>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</si>
  <si>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</si>
  <si>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</si>
  <si>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</si>
  <si>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</si>
  <si>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</si>
  <si>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</si>
  <si>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</si>
  <si>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</si>
  <si>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</si>
  <si>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</si>
  <si>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</si>
  <si>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</si>
  <si>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</si>
  <si>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</si>
  <si>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</si>
  <si>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</si>
  <si>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</si>
  <si>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</si>
  <si>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</si>
  <si>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</si>
  <si>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</si>
  <si>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</si>
  <si>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</si>
  <si>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</si>
  <si>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</si>
  <si>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</si>
  <si>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</si>
  <si>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</si>
  <si>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</si>
  <si>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</si>
  <si>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</si>
  <si>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</si>
  <si>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</si>
  <si>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</si>
  <si>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</si>
  <si>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</si>
  <si>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</si>
  <si>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</si>
  <si>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</si>
  <si>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</si>
  <si>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</si>
  <si>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</si>
  <si>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</si>
  <si>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</si>
  <si>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</si>
  <si>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</si>
  <si>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</si>
  <si>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</si>
  <si>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</si>
  <si>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</si>
  <si>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</si>
  <si>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</si>
  <si>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</si>
  <si>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</si>
  <si>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</si>
  <si>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</si>
  <si>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</si>
  <si>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</si>
  <si>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</si>
  <si>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</si>
  <si>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</si>
  <si>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</si>
  <si>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</si>
  <si>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</si>
  <si>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</si>
  <si>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</si>
  <si>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</si>
  <si>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</si>
  <si>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</si>
  <si>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</si>
  <si>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</si>
  <si>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</si>
  <si>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</si>
  <si>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</si>
  <si>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</si>
  <si>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</si>
  <si>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</si>
  <si>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</si>
  <si>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</si>
  <si>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</si>
  <si>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</si>
  <si>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</si>
  <si>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</si>
  <si>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</si>
  <si>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</si>
  <si>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</si>
  <si>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</si>
  <si>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</si>
  <si>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</si>
  <si>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</si>
  <si>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</si>
  <si>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</si>
  <si>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</si>
  <si>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</si>
  <si>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</si>
  <si>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</si>
  <si>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</si>
  <si>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</si>
  <si>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</si>
  <si>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</si>
  <si>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</si>
  <si>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</si>
  <si>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</si>
  <si>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</si>
  <si>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</si>
  <si>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</si>
  <si>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</si>
  <si>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</si>
  <si>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</si>
  <si>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</si>
  <si>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</si>
  <si>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</si>
  <si>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</si>
  <si>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</si>
  <si>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</si>
  <si>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</si>
  <si>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</si>
  <si>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</si>
  <si>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</si>
  <si>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</si>
  <si>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</si>
  <si>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</si>
  <si>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</si>
  <si>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</si>
  <si>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</si>
  <si>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</si>
  <si>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</si>
  <si>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</si>
  <si>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</si>
  <si>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</si>
  <si>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</si>
  <si>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</si>
  <si>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</si>
  <si>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</si>
  <si>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</si>
  <si>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</si>
  <si>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</si>
  <si>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</si>
  <si>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</si>
  <si>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</si>
  <si>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</si>
  <si>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</si>
  <si>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</si>
  <si>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</si>
  <si>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</si>
  <si>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</si>
  <si>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</si>
  <si>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</si>
  <si>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</si>
  <si>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</si>
  <si>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</si>
  <si>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</si>
  <si>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</si>
  <si>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</si>
  <si>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</si>
  <si>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</si>
  <si>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</si>
  <si>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</si>
  <si>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</si>
  <si>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</si>
  <si>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</si>
  <si>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</si>
  <si>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</si>
  <si>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</si>
  <si>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</si>
  <si>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</si>
  <si>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</si>
  <si>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</si>
  <si>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</si>
  <si>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</si>
  <si>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</si>
  <si>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</si>
  <si>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</si>
  <si>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</si>
  <si>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</si>
  <si>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</si>
  <si>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</si>
  <si>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</si>
  <si>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</si>
  <si>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</si>
  <si>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</si>
  <si>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</si>
  <si>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</si>
  <si>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</si>
  <si>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</si>
  <si>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</si>
  <si>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</si>
  <si>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</si>
  <si>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</si>
  <si>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</si>
  <si>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</si>
  <si>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</si>
  <si>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</si>
  <si>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</si>
  <si>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</si>
  <si>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</si>
  <si>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</si>
  <si>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</si>
  <si>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</si>
  <si>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</si>
  <si>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</si>
  <si>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</si>
  <si>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</si>
  <si>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</si>
  <si>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</si>
  <si>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</si>
  <si>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</si>
  <si>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</si>
  <si>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</si>
  <si>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</si>
  <si>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</si>
  <si>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</si>
  <si>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</si>
  <si>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</si>
  <si>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</si>
  <si>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</si>
  <si>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</si>
  <si>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</si>
  <si>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</si>
  <si>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</si>
  <si>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</si>
  <si>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</si>
  <si>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</si>
  <si>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</si>
  <si>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</si>
  <si>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</si>
  <si>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</si>
  <si>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</si>
  <si>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</si>
  <si>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</si>
  <si>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</si>
  <si>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</si>
  <si>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</si>
  <si>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</si>
  <si>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</si>
  <si>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</si>
  <si>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</si>
  <si>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</si>
  <si>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</si>
  <si>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</si>
  <si>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</si>
  <si>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</si>
  <si>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</si>
  <si>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</si>
  <si>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</si>
  <si>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</si>
  <si>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</si>
  <si>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</si>
  <si>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</si>
  <si>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</si>
  <si>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</si>
  <si>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</si>
  <si>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</si>
  <si>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</si>
  <si>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</si>
  <si>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</si>
  <si>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</si>
  <si>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</si>
  <si>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</si>
  <si>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</si>
  <si>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</si>
  <si>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</si>
  <si>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</si>
  <si>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</si>
  <si>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</si>
  <si>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</si>
  <si>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</si>
  <si>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</si>
  <si>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</si>
  <si>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</si>
  <si>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</si>
  <si>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</si>
  <si>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</si>
  <si>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</si>
  <si>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</si>
  <si>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</si>
  <si>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</si>
  <si>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</si>
  <si>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</si>
  <si>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</si>
  <si>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</si>
  <si>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</si>
  <si>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</si>
  <si>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</si>
  <si>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</si>
  <si>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</si>
  <si>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</si>
  <si>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</si>
  <si>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</si>
  <si>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</si>
  <si>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</si>
  <si>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</si>
  <si>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</si>
  <si>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</si>
  <si>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</si>
  <si>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</si>
  <si>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</si>
  <si>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</si>
  <si>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</si>
  <si>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</si>
  <si>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</si>
  <si>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</si>
  <si>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</si>
  <si>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</si>
  <si>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</si>
  <si>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</si>
  <si>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</si>
  <si>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</si>
  <si>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</si>
  <si>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</si>
  <si>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</si>
  <si>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</si>
  <si>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</si>
  <si>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</si>
  <si>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</si>
  <si>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</si>
  <si>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</si>
  <si>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</si>
  <si>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</si>
  <si>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</si>
  <si>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</si>
  <si>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</si>
  <si>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</si>
  <si>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</si>
  <si>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</si>
  <si>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</si>
  <si>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</si>
  <si>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</si>
  <si>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</si>
  <si>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</si>
  <si>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</si>
  <si>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</si>
  <si>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</si>
  <si>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</si>
  <si>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</si>
  <si>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</si>
  <si>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</si>
  <si>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</si>
  <si>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</si>
  <si>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</si>
  <si>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</si>
  <si>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</si>
  <si>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</si>
  <si>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</si>
  <si>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</si>
  <si>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</si>
  <si>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</si>
  <si>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</si>
  <si>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</si>
  <si>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</si>
  <si>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</si>
  <si>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</si>
  <si>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</si>
  <si>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</si>
  <si>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</si>
  <si>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</si>
  <si>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</si>
  <si>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</si>
  <si>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</si>
  <si>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</si>
  <si>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</si>
  <si>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</si>
  <si>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</si>
  <si>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</si>
  <si>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</si>
  <si>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</si>
  <si>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</si>
  <si>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</si>
  <si>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</si>
  <si>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</si>
  <si>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</si>
  <si>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</si>
  <si>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</si>
  <si>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</si>
  <si>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</si>
  <si>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</si>
  <si>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</si>
  <si>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</si>
  <si>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</si>
  <si>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</si>
  <si>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</si>
  <si>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</si>
  <si>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</si>
  <si>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</si>
  <si>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</si>
  <si>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</si>
  <si>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</si>
  <si>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</si>
  <si>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</si>
  <si>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</si>
  <si>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</si>
  <si>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</si>
  <si>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</si>
  <si>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</si>
  <si>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</si>
  <si>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</si>
  <si>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</si>
  <si>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</si>
  <si>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</si>
  <si>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</si>
  <si>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</si>
  <si>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</si>
  <si>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</si>
  <si>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</si>
  <si>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</si>
  <si>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</si>
  <si>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</si>
  <si>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</si>
  <si>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</si>
  <si>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</si>
  <si>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</si>
  <si>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</si>
  <si>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</si>
  <si>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</si>
  <si>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</si>
  <si>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</si>
  <si>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</si>
  <si>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</si>
  <si>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</si>
  <si>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</si>
  <si>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</si>
  <si>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</si>
  <si>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</si>
  <si>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</si>
  <si>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</si>
  <si>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</si>
  <si>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</si>
  <si>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</si>
  <si>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</si>
  <si>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</si>
  <si>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</si>
  <si>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</si>
  <si>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</si>
  <si>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</si>
  <si>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</si>
  <si>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</si>
  <si>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</si>
  <si>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</si>
  <si>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</si>
  <si>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</si>
  <si>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</si>
  <si>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</si>
  <si>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</si>
  <si>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</si>
  <si>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</si>
  <si>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</si>
  <si>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</si>
  <si>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</si>
  <si>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</si>
  <si>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</si>
  <si>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</si>
  <si>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</si>
  <si>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</si>
  <si>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</si>
  <si>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</si>
  <si>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</si>
  <si>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</si>
  <si>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</si>
  <si>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</si>
  <si>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</si>
  <si>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</si>
  <si>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</si>
  <si>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</si>
  <si>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</si>
  <si>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</si>
  <si>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</si>
  <si>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</si>
  <si>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</si>
  <si>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</si>
  <si>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</si>
  <si>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</si>
  <si>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</si>
  <si>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</si>
  <si>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</si>
  <si>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</si>
  <si>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</si>
  <si>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</si>
  <si>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</si>
  <si>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</si>
  <si>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</si>
  <si>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</si>
  <si>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</si>
  <si>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</si>
  <si>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</si>
  <si>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</si>
  <si>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</si>
  <si>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</si>
  <si>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</si>
  <si>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</si>
  <si>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</si>
  <si>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</si>
  <si>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</si>
  <si>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</si>
  <si>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</si>
  <si>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</si>
  <si>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</si>
  <si>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</si>
  <si>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</si>
  <si>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</si>
  <si>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</si>
  <si>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</si>
  <si>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</si>
  <si>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</si>
  <si>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</si>
  <si>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</si>
  <si>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</si>
  <si>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</si>
  <si>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</si>
  <si>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</si>
  <si>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</si>
  <si>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</si>
  <si>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</si>
  <si>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</si>
  <si>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</si>
  <si>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</si>
  <si>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</si>
  <si>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</si>
  <si>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</si>
  <si>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</si>
  <si>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</si>
  <si>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</si>
  <si>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</si>
  <si>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</si>
  <si>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</si>
  <si>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</si>
  <si>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</si>
  <si>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</si>
  <si>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</si>
  <si>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</si>
  <si>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</si>
  <si>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</si>
  <si>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</si>
  <si>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</si>
  <si>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</si>
  <si>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</si>
  <si>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</si>
  <si>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</si>
  <si>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</si>
  <si>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</si>
  <si>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</si>
  <si>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</si>
  <si>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</si>
  <si>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</si>
  <si>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</si>
  <si>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</si>
  <si>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</si>
  <si>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</si>
  <si>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</si>
  <si>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</si>
  <si>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</si>
  <si>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</si>
  <si>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</si>
  <si>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</si>
  <si>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</si>
  <si>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</si>
  <si>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</si>
  <si>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</si>
  <si>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</si>
  <si>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</si>
  <si>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</si>
  <si>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</si>
  <si>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</si>
  <si>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</si>
  <si>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</si>
  <si>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</si>
  <si>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</si>
  <si>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</si>
  <si>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</si>
  <si>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</si>
  <si>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</si>
  <si>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</si>
  <si>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</si>
  <si>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</si>
  <si>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</si>
  <si>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</si>
  <si>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</si>
  <si>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</si>
  <si>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</si>
  <si>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</si>
  <si>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</si>
  <si>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</si>
  <si>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</si>
  <si>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</si>
  <si>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</si>
  <si>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</si>
  <si>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</si>
  <si>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</si>
  <si>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</si>
  <si>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</si>
  <si>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</si>
  <si>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</si>
  <si>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</si>
  <si>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</si>
  <si>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</si>
  <si>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</si>
  <si>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</si>
  <si>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</si>
  <si>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</si>
  <si>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</si>
  <si>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</si>
  <si>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</si>
  <si>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</si>
  <si>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</si>
  <si>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</si>
  <si>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</si>
  <si>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</si>
  <si>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</si>
  <si>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</si>
  <si>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</si>
  <si>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</si>
  <si>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</si>
  <si>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</si>
  <si>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</si>
  <si>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</si>
  <si>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</si>
  <si>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</si>
  <si>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</si>
  <si>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</si>
  <si>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</si>
  <si>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</si>
  <si>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</si>
  <si>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</si>
  <si>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</si>
  <si>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</si>
  <si>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</si>
  <si>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</si>
  <si>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</si>
  <si>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</si>
  <si>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</si>
  <si>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</si>
  <si>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</si>
  <si>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</si>
  <si>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</si>
  <si>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</si>
  <si>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</si>
  <si>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</si>
  <si>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</si>
  <si>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</si>
  <si>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</si>
  <si>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</si>
  <si>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</si>
  <si>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</si>
  <si>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</si>
  <si>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</si>
  <si>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</si>
  <si>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</si>
  <si>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</si>
  <si>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</si>
  <si>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</si>
  <si>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</si>
  <si>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</si>
  <si>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</si>
  <si>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</si>
  <si>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</si>
  <si>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</si>
  <si>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</si>
  <si>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</si>
  <si>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</si>
  <si>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</si>
  <si>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</si>
  <si>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</si>
  <si>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</si>
  <si>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</si>
  <si>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</si>
  <si>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</si>
  <si>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</si>
  <si>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</si>
  <si>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</si>
  <si>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</si>
  <si>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</si>
  <si>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</si>
  <si>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</si>
  <si>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</si>
  <si>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</si>
  <si>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</si>
  <si>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</si>
  <si>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</si>
  <si>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</si>
  <si>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</si>
  <si>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</si>
  <si>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</si>
  <si>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</si>
  <si>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</si>
  <si>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</si>
  <si>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</si>
  <si>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</si>
  <si>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</si>
  <si>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</si>
  <si>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</si>
  <si>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</si>
  <si>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</si>
  <si>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</si>
  <si>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</si>
  <si>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</si>
  <si>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</si>
  <si>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</si>
  <si>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</si>
  <si>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</si>
  <si>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</si>
  <si>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</si>
  <si>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</si>
  <si>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</si>
  <si>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</si>
  <si>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</si>
  <si>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</si>
  <si>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</si>
  <si>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</si>
  <si>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</si>
  <si>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</si>
  <si>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</si>
  <si>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</si>
  <si>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</si>
  <si>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</si>
  <si>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</si>
  <si>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</si>
  <si>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</si>
  <si>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</si>
  <si>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</si>
  <si>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</si>
  <si>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</si>
  <si>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</si>
  <si>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</si>
  <si>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</si>
  <si>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</si>
  <si>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</si>
  <si>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</si>
  <si>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</si>
  <si>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</si>
  <si>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</si>
  <si>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</si>
  <si>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</si>
  <si>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</si>
  <si>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</si>
  <si>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</si>
  <si>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</si>
  <si>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</si>
  <si>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</si>
  <si>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</si>
  <si>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</si>
  <si>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</si>
  <si>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</si>
  <si>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</si>
  <si>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</si>
  <si>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</si>
  <si>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</si>
  <si>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</si>
  <si>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</si>
  <si>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</si>
  <si>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</si>
  <si>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</si>
  <si>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</si>
  <si>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</si>
  <si>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</si>
  <si>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</si>
  <si>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</si>
  <si>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</si>
  <si>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</si>
  <si>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</si>
  <si>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</si>
  <si>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</si>
  <si>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</si>
  <si>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</si>
  <si>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</si>
  <si>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</si>
  <si>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</si>
  <si>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</si>
  <si>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</si>
  <si>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</si>
  <si>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</si>
  <si>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</si>
  <si>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</si>
  <si>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</si>
  <si>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</si>
  <si>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</si>
  <si>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</si>
  <si>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</si>
  <si>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</si>
  <si>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</si>
  <si>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</si>
  <si>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</si>
  <si>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</si>
  <si>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</si>
  <si>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</si>
  <si>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</si>
  <si>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</si>
  <si>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</si>
  <si>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</si>
  <si>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</si>
  <si>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</si>
  <si>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</si>
  <si>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</si>
  <si>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</si>
  <si>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</si>
  <si>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</si>
  <si>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</si>
  <si>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</si>
  <si>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</si>
  <si>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</si>
  <si>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</si>
  <si>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</si>
  <si>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</si>
  <si>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</si>
  <si>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</si>
  <si>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</si>
  <si>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</si>
  <si>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</si>
  <si>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</si>
  <si>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</si>
  <si>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</si>
  <si>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</si>
  <si>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</si>
  <si>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</si>
  <si>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</si>
  <si>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</si>
  <si>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</si>
  <si>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</si>
  <si>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</si>
  <si>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</si>
  <si>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</si>
  <si>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</si>
  <si>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</si>
  <si>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</si>
  <si>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</si>
  <si>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</si>
  <si>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</si>
  <si>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</si>
  <si>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</si>
  <si>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</si>
  <si>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</si>
  <si>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</si>
  <si>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</si>
  <si>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</si>
  <si>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</si>
  <si>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</si>
  <si>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</si>
  <si>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</si>
  <si>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</si>
  <si>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</si>
  <si>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</si>
  <si>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</si>
  <si>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</si>
  <si>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</si>
  <si>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</si>
  <si>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</si>
  <si>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</si>
  <si>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</si>
  <si>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</si>
  <si>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</si>
  <si>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</si>
  <si>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</si>
  <si>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</si>
  <si>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</si>
  <si>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</si>
  <si>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</si>
  <si>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</si>
  <si>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</si>
  <si>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</si>
  <si>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</si>
  <si>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</si>
  <si>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</si>
  <si>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</si>
  <si>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</si>
  <si>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</si>
  <si>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</si>
  <si>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</si>
  <si>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</si>
  <si>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</si>
  <si>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</si>
  <si>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</si>
  <si>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</si>
  <si>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</si>
  <si>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</si>
  <si>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</si>
  <si>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</si>
  <si>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</si>
  <si>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</si>
  <si>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</si>
  <si>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</si>
  <si>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</si>
  <si>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</si>
  <si>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</si>
  <si>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</si>
  <si>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</si>
  <si>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</si>
  <si>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</si>
  <si>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</si>
  <si>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</si>
  <si>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</si>
  <si>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</si>
  <si>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</si>
  <si>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</si>
  <si>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</si>
  <si>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</si>
  <si>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</si>
  <si>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</si>
  <si>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</si>
  <si>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</si>
  <si>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</si>
  <si>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</si>
  <si>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</si>
  <si>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</si>
  <si>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</si>
  <si>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</si>
  <si>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</si>
  <si>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</si>
  <si>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</si>
  <si>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</si>
  <si>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</si>
  <si>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</si>
  <si>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</si>
  <si>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</si>
  <si>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</si>
  <si>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</si>
  <si>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</si>
  <si>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</si>
  <si>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</si>
  <si>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</si>
  <si>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</si>
  <si>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</si>
  <si>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</si>
  <si>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</si>
  <si>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</si>
  <si>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</si>
  <si>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</si>
  <si>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</si>
  <si>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</si>
  <si>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</si>
  <si>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</si>
  <si>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</si>
  <si>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</si>
  <si>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</si>
  <si>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</si>
  <si>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</si>
  <si>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</si>
  <si>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</si>
  <si>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</si>
  <si>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</si>
  <si>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</si>
  <si>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</si>
  <si>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</si>
  <si>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</si>
  <si>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</si>
  <si>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</si>
  <si>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</si>
  <si>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</si>
  <si>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</si>
  <si>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</si>
  <si>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</si>
  <si>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</si>
  <si>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</si>
  <si>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</si>
  <si>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</si>
  <si>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</si>
  <si>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</si>
  <si>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</si>
  <si>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</si>
  <si>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</si>
  <si>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</si>
  <si>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</si>
  <si>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</si>
  <si>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</si>
  <si>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</si>
  <si>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</si>
  <si>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</si>
  <si>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</si>
  <si>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</si>
  <si>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</si>
  <si>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</si>
  <si>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</si>
  <si>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</si>
  <si>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</si>
  <si>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</si>
  <si>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</si>
  <si>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</si>
  <si>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</si>
  <si>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</si>
  <si>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</si>
  <si>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</si>
  <si>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</si>
  <si>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</si>
  <si>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</si>
  <si>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</si>
  <si>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</si>
  <si>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</si>
  <si>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</si>
  <si>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</si>
  <si>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</si>
  <si>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</si>
  <si>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</si>
  <si>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</si>
  <si>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</si>
  <si>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</si>
  <si>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</si>
  <si>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</si>
  <si>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</si>
  <si>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</si>
  <si>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</si>
  <si>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</si>
  <si>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</si>
  <si>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</si>
  <si>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</si>
  <si>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</si>
  <si>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</si>
  <si>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</si>
  <si>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</si>
  <si>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</si>
  <si>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</si>
  <si>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</si>
  <si>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</si>
  <si>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</si>
  <si>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</si>
  <si>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</si>
  <si>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</si>
  <si>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</si>
  <si>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</si>
  <si>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</si>
  <si>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</si>
  <si>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</si>
  <si>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</si>
  <si>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</si>
  <si>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</si>
  <si>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</si>
  <si>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</si>
  <si>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</si>
  <si>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</si>
  <si>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</si>
  <si>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</si>
  <si>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</si>
  <si>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</si>
  <si>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</si>
  <si>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</si>
  <si>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</si>
  <si>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</si>
  <si>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</si>
  <si>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</si>
  <si>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</si>
  <si>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</si>
  <si>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</si>
  <si>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</si>
  <si>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</si>
  <si>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</si>
  <si>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</si>
  <si>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</si>
  <si>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</si>
  <si>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</si>
  <si>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</si>
  <si>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</si>
  <si>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</si>
  <si>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</si>
  <si>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</si>
  <si>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</si>
  <si>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Audit issue from FY22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</si>
</sst>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6" fontId="15" fillId="41" borderId="39" xfId="0" applyNumberFormat="1" applyFont="1" applyFill="1"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1263</v>
      </c>
      <c r="B2">
        <f>INDEX('School Tables'!$AH$3:$AH$209,MATCH('DOE25'!A2,'School Tables'!$AJ$3:$AJ$209,0))</f>
        <v>363</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-108434</v>
      </c>
      <c r="G9" s="18">
        <v>534679.03</v>
      </c>
      <c r="H9" s="18">
        <f>671438+52630</f>
        <v>724068</v>
      </c>
      <c r="I9" s="18">
        <v>1302323</v>
      </c>
      <c r="J9" s="13">
        <f>SUM(I440)</f>
        <v>0</v>
      </c>
      <c r="K9" s="23" t="s">
        <v>288</v>
      </c>
      <c r="L9" s="23" t="s">
        <v>288</v>
      </c>
      <c r="M9" s="8"/>
      <c r="N9" s="165"/>
    </row>
    <row r="10" spans="1:14" s="3" customFormat="1" ht="12.2" customHeight="1" x14ac:dyDescent="0.15">
      <c r="A10" s="1" t="s">
        <v>562</v>
      </c>
      <c r="B10" s="2" t="s">
        <v>289</v>
      </c>
      <c r="C10" s="6">
        <v>2</v>
      </c>
      <c r="D10" s="2" t="s">
        <v>428</v>
      </c>
      <c r="E10" s="6">
        <v>110</v>
      </c>
      <c r="F10" s="18">
        <v>1612145</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312454</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987180</v>
      </c>
      <c r="G13" s="18">
        <v>90135</v>
      </c>
      <c r="H13" s="18"/>
      <c r="I13" s="18"/>
      <c r="J13" s="13">
        <f>SUM(I443)</f>
        <v>655639.01</v>
      </c>
      <c r="K13" s="23" t="s">
        <v>288</v>
      </c>
      <c r="L13" s="23" t="s">
        <v>288</v>
      </c>
      <c r="M13" s="8"/>
      <c r="N13" s="165"/>
    </row>
    <row r="14" spans="1:14" s="3" customFormat="1" ht="12.2" customHeight="1" x14ac:dyDescent="0.15">
      <c r="A14" s="1" t="s">
        <v>565</v>
      </c>
      <c r="B14" s="2" t="s">
        <v>289</v>
      </c>
      <c r="C14" s="6">
        <v>6</v>
      </c>
      <c r="D14" s="2" t="s">
        <v>428</v>
      </c>
      <c r="E14" s="6">
        <v>150</v>
      </c>
      <c r="F14" s="18">
        <v>12990</v>
      </c>
      <c r="G14" s="18">
        <v>59593</v>
      </c>
      <c r="H14" s="18">
        <f>1424+382</f>
        <v>1806</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25514</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6622</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2822957</v>
      </c>
      <c r="G19" s="38">
        <f>SUM(G9:G18)</f>
        <v>709921.03</v>
      </c>
      <c r="H19" s="38">
        <f>SUM(H9:H18)</f>
        <v>725874</v>
      </c>
      <c r="I19" s="38">
        <f>SUM(I9:I18)</f>
        <v>1302323</v>
      </c>
      <c r="J19" s="38">
        <f>SUM(J9:J18)</f>
        <v>655639.01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58295</v>
      </c>
      <c r="G22" s="18"/>
      <c r="H22" s="18">
        <f>281566+382</f>
        <v>281948</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936844</v>
      </c>
      <c r="G24" s="18">
        <v>29116</v>
      </c>
      <c r="H24" s="18">
        <f>389872</f>
        <v>389872</v>
      </c>
      <c r="I24" s="18">
        <v>13157</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v>211044</v>
      </c>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v>11108</v>
      </c>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685880</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v>54054</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1681019</v>
      </c>
      <c r="G32" s="38">
        <f>SUM(G22:G31)</f>
        <v>29116</v>
      </c>
      <c r="H32" s="38">
        <f>SUM(H22:H31)</f>
        <v>725874</v>
      </c>
      <c r="I32" s="38">
        <f>SUM(I22:I31)</f>
        <v>235309</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25514</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6622</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722792.03-67501</f>
        <v>655291.03</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v>1067014</v>
      </c>
      <c r="J43" s="13">
        <f>SUM(I457)</f>
        <v>0</v>
      </c>
      <c r="K43" s="23" t="s">
        <v>288</v>
      </c>
      <c r="L43" s="23" t="s">
        <v>288</v>
      </c>
      <c r="M43" s="8"/>
      <c r="N43" s="165"/>
    </row>
    <row r="44" spans="1:14" s="3" customFormat="1" ht="12.2" customHeight="1" x14ac:dyDescent="0.15">
      <c r="A44" s="1" t="s">
        <v>836</v>
      </c>
      <c r="B44" s="6">
        <v>1</v>
      </c>
      <c r="C44" s="6">
        <v>30</v>
      </c>
      <c r="D44" s="2" t="s">
        <v>653</v>
      </c>
      <c r="E44" s="6">
        <v>755</v>
      </c>
      <c r="F44" s="18">
        <v>50001</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240000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655639.01</v>
      </c>
      <c r="K48" s="23" t="s">
        <v>288</v>
      </c>
      <c r="L48" s="23" t="s">
        <v>288</v>
      </c>
      <c r="M48" s="8"/>
      <c r="N48" s="165"/>
    </row>
    <row r="49" spans="1:14" s="3" customFormat="1" ht="12.2" customHeight="1" x14ac:dyDescent="0.15">
      <c r="A49" s="1" t="s">
        <v>858</v>
      </c>
      <c r="B49" s="2" t="s">
        <v>289</v>
      </c>
      <c r="C49" s="6">
        <v>34</v>
      </c>
      <c r="D49" s="2"/>
      <c r="E49" s="6">
        <v>753</v>
      </c>
      <c r="F49" s="18">
        <v>29327</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815988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1141938</v>
      </c>
      <c r="G51" s="38">
        <f>SUM(G35:G50)</f>
        <v>680805.03</v>
      </c>
      <c r="H51" s="38">
        <f>SUM(H35:H50)</f>
        <v>0</v>
      </c>
      <c r="I51" s="38">
        <f>SUM(I35:I50)</f>
        <v>1067014</v>
      </c>
      <c r="J51" s="38">
        <f>SUM(J35:J50)</f>
        <v>655639.01</v>
      </c>
      <c r="K51" s="42" t="s">
        <v>288</v>
      </c>
      <c r="L51" s="42" t="s">
        <v>288</v>
      </c>
      <c r="N51" s="131"/>
    </row>
    <row r="52" spans="1:14" s="3" customFormat="1" ht="12.2" customHeight="1" thickTop="1" x14ac:dyDescent="0.15">
      <c r="A52" s="35" t="s">
        <v>455</v>
      </c>
      <c r="B52" s="36" t="s">
        <v>289</v>
      </c>
      <c r="C52" s="6">
        <v>37</v>
      </c>
      <c r="D52" s="36" t="s">
        <v>653</v>
      </c>
      <c r="E52" s="36"/>
      <c r="F52" s="38">
        <f>F51+F32</f>
        <v>2822957</v>
      </c>
      <c r="G52" s="38">
        <f>G51+G32</f>
        <v>709921.03</v>
      </c>
      <c r="H52" s="38">
        <f>H51+H32</f>
        <v>725874</v>
      </c>
      <c r="I52" s="38">
        <f>I51+I32</f>
        <v>1302323</v>
      </c>
      <c r="J52" s="38">
        <f>J51+J32</f>
        <v>655639.01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4675000+858178+1645426+350050+8288732+1917423</f>
        <v>17734809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17734809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19375+18395+38577.6</f>
        <v>76347.600000000006</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f>72915.35</f>
        <v>72915.350000000006</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149262.95000000001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102868.8</v>
      </c>
      <c r="G96" s="18"/>
      <c r="H96" s="18"/>
      <c r="I96" s="18"/>
      <c r="J96" s="18">
        <v>19920.03</v>
      </c>
      <c r="K96" s="23" t="s">
        <v>288</v>
      </c>
      <c r="L96" s="23" t="s">
        <v>288</v>
      </c>
      <c r="M96" s="8"/>
      <c r="N96" s="165"/>
    </row>
    <row r="97" spans="1:14" s="3" customFormat="1" ht="12.2" customHeight="1" x14ac:dyDescent="0.15">
      <c r="A97" s="1" t="s">
        <v>503</v>
      </c>
      <c r="B97" s="2" t="s">
        <v>315</v>
      </c>
      <c r="C97" s="6">
        <v>12</v>
      </c>
      <c r="D97" s="2" t="s">
        <v>430</v>
      </c>
      <c r="E97" s="6">
        <v>1600</v>
      </c>
      <c r="F97" s="23" t="s">
        <v>288</v>
      </c>
      <c r="G97" s="18">
        <v>449028.56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1050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f>6453.16+3004.1</f>
        <v>9457.26</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v>8400</v>
      </c>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67681.86</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253+71536.43+131343.34+1</f>
        <v>203133.77</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383134.43</v>
      </c>
      <c r="G111" s="38">
        <f>SUM(G96:G110)</f>
        <v>449028.56</v>
      </c>
      <c r="H111" s="38">
        <f>SUM(H96:H110)</f>
        <v>9457.26</v>
      </c>
      <c r="I111" s="38">
        <f>SUM(I96:I110)</f>
        <v>0</v>
      </c>
      <c r="J111" s="38">
        <f>SUM(J96:J110)</f>
        <v>19920.03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18267206.379999999</v>
      </c>
      <c r="G112" s="38">
        <f>G60+G111</f>
        <v>449028.56</v>
      </c>
      <c r="H112" s="38">
        <f>H60+H79+H94+H111</f>
        <v>9457.26</v>
      </c>
      <c r="I112" s="38">
        <f>I60+I111</f>
        <v>0</v>
      </c>
      <c r="J112" s="38">
        <f>J60+J111</f>
        <v>19920.03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f>11440387.58-116539.05</f>
        <v>11323848.529999999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1623141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15575.34+162344.63</f>
        <v>177919.97</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13124909.5</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463894.12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7604.4</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15158.32</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471498.52</v>
      </c>
      <c r="G136" s="38">
        <f>SUM(G123:G135)</f>
        <v>15158.32</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13596408.02</v>
      </c>
      <c r="G140" s="38">
        <f>G121+SUM(G136:G137)</f>
        <v>15158.32</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36605.15+345089.6</f>
        <v>381694.75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3037.18+79754.08+2462+41031.22+3892.73+49451.68+28110.83+606907.8</f>
        <v>814647.52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392160.32+108836.58+23461.7+8892.54</f>
        <v>533351.14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2401.29+82479.34+425420.71</f>
        <v>510301.34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522739.75</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9085.57+501022.96+1480542.19+7096.8+57643.59+7258.01</f>
        <v>2062649.12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522739.75</v>
      </c>
      <c r="G163" s="38">
        <f>SUM(G150:G162)</f>
        <v>533351.14</v>
      </c>
      <c r="H163" s="38">
        <f>SUM(H150:H162)</f>
        <v>3769292.7300000004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522739.75</v>
      </c>
      <c r="G170" s="38">
        <f>G147+G163+SUM(G164:G169)</f>
        <v>533351.14</v>
      </c>
      <c r="H170" s="38">
        <f>H147+H163+SUM(H164:H169)</f>
        <v>3769292.7300000004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v>1193000</v>
      </c>
      <c r="J180" s="18">
        <v>153348</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10338</v>
      </c>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10338</v>
      </c>
      <c r="G184" s="38">
        <f>SUM(G180:G183)</f>
        <v>0</v>
      </c>
      <c r="H184" s="38">
        <f>SUM(H180:H183)</f>
        <v>0</v>
      </c>
      <c r="I184" s="38">
        <f>SUM(I180:I183)</f>
        <v>1193000</v>
      </c>
      <c r="J184" s="38">
        <f>SUM(J180:J183)</f>
        <v>153348</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63807.17</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63807.17</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74145.17</v>
      </c>
      <c r="G193" s="38">
        <f>G184+SUM(G189:G192)</f>
        <v>0</v>
      </c>
      <c r="H193" s="38">
        <f>+H184+SUM(H189:H192)</f>
        <v>0</v>
      </c>
      <c r="I193" s="38">
        <f>I178+I184+SUM(I189:I192)</f>
        <v>1193000</v>
      </c>
      <c r="J193" s="38">
        <f>J184</f>
        <v>153348</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32460499.32</v>
      </c>
      <c r="G194" s="38">
        <f>G112+G140+G170+G193</f>
        <v>997538.02</v>
      </c>
      <c r="H194" s="38">
        <f>H112+H140+H170+H193</f>
        <v>3778749.99</v>
      </c>
      <c r="I194" s="38">
        <f>I112+I140+I170+I193</f>
        <v>1193000</v>
      </c>
      <c r="J194" s="38">
        <f>J112+J140+J193</f>
        <v>173268.03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3105289.08+31671.82+60727.5+22167.5+169800+189835.75+45846.55</f>
        <v>3625338.1999999997</v>
      </c>
      <c r="G198" s="18">
        <f>894688.29+45579.1+244849.87+658876.69+4453.03+40132.42+1922.62+12733.27+35692.01+74245+4351.32+14013.18+39903.47+6808.78</f>
        <v>2078249.05</v>
      </c>
      <c r="H198" s="18">
        <f>1689+419+68704.78</f>
        <v>70812.78</v>
      </c>
      <c r="I198" s="18">
        <f>4940.41+6042.55+2362.12+6250.26+900+21476.75+71.75+19867.54+52164.03+4.09</f>
        <v>114079.5</v>
      </c>
      <c r="J198" s="18">
        <f>191.4+11358.4+9066.74+45959.65+7441.08</f>
        <v>74017.27</v>
      </c>
      <c r="K198" s="18">
        <f>10325.71</f>
        <v>10325.709999999999</v>
      </c>
      <c r="L198" s="13">
        <f>SUM(F198:K198)</f>
        <v>5972822.5099999998</v>
      </c>
      <c r="M198" s="8"/>
      <c r="N198" s="165"/>
    </row>
    <row r="199" spans="1:14" s="3" customFormat="1" ht="12.2" customHeight="1" x14ac:dyDescent="0.15">
      <c r="A199" s="1" t="s">
        <v>439</v>
      </c>
      <c r="B199" s="2" t="s">
        <v>341</v>
      </c>
      <c r="C199" s="2" t="s">
        <v>291</v>
      </c>
      <c r="D199" s="2" t="s">
        <v>431</v>
      </c>
      <c r="E199" s="6">
        <v>1200</v>
      </c>
      <c r="F199" s="18">
        <f>455832.43+8500+987918.7+6809.35+207447.31</f>
        <v>1666507.79</v>
      </c>
      <c r="G199" s="18">
        <f>911410.91+52814.95+104923.76+90901.53+138790.78+122280.4</f>
        <v>1421122.3299999998</v>
      </c>
      <c r="H199" s="18">
        <f>1687.5+1690634.78</f>
        <v>1692322.28</v>
      </c>
      <c r="I199" s="18">
        <f>5816.84+312.4+6534.27</f>
        <v>12663.51</v>
      </c>
      <c r="J199" s="18">
        <f>101.89+680.85</f>
        <v>782.74</v>
      </c>
      <c r="K199" s="18">
        <f>674.47</f>
        <v>674.47</v>
      </c>
      <c r="L199" s="13">
        <f>SUM(F199:K199)</f>
        <v>4794073.12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1350+450</f>
        <v>1800</v>
      </c>
      <c r="G201" s="18">
        <f>99.92+34.42+189.19+63.27+63.27</f>
        <v>450.06999999999994</v>
      </c>
      <c r="H201" s="18">
        <f>2937.5+5595+5705+5655+2667.5</f>
        <v>22560</v>
      </c>
      <c r="I201" s="18">
        <v>494</v>
      </c>
      <c r="J201" s="18"/>
      <c r="K201" s="18">
        <v>32132.76</v>
      </c>
      <c r="L201" s="13">
        <f>SUM(F201:K201)</f>
        <v>57436.83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254629.83+230223.24+3800+316746.87</f>
        <v>805399.94</v>
      </c>
      <c r="G203" s="18">
        <f>67484.14+3602.77+19388.88+53307.18+89208.71+4884.75+17043.9+48393.16+179290.88</f>
        <v>482604.37</v>
      </c>
      <c r="H203" s="18">
        <f>1394.39</f>
        <v>1394.39</v>
      </c>
      <c r="I203" s="18">
        <f>1900.58+399.99+4339.41+6162.77</f>
        <v>12802.75</v>
      </c>
      <c r="J203" s="18"/>
      <c r="K203" s="18">
        <v>125.94</v>
      </c>
      <c r="L203" s="13">
        <f t="shared" ref="L203:L209" si="0">SUM(F203:K203)</f>
        <v>1302327.3899999999</v>
      </c>
      <c r="M203" s="8"/>
      <c r="N203" s="165"/>
    </row>
    <row r="204" spans="1:14" s="3" customFormat="1" ht="12.2" customHeight="1" x14ac:dyDescent="0.15">
      <c r="A204" s="1" t="s">
        <v>443</v>
      </c>
      <c r="B204" s="2" t="s">
        <v>341</v>
      </c>
      <c r="C204" s="2" t="s">
        <v>295</v>
      </c>
      <c r="D204" s="2" t="s">
        <v>431</v>
      </c>
      <c r="E204" s="6">
        <v>2200</v>
      </c>
      <c r="F204" s="18">
        <f>105650.38+135595.13</f>
        <v>241245.51</v>
      </c>
      <c r="G204" s="18">
        <f>85919.35+4675.22+7401.67+13794.82+82119.35</f>
        <v>193910.41</v>
      </c>
      <c r="H204" s="18">
        <f>21859.09</f>
        <v>21859.09</v>
      </c>
      <c r="I204" s="18">
        <f>2430.33+3397.59+7237.31+16384.67</f>
        <v>29449.899999999998</v>
      </c>
      <c r="J204" s="18">
        <f>1248</f>
        <v>1248</v>
      </c>
      <c r="K204" s="18">
        <v>988.98</v>
      </c>
      <c r="L204" s="13">
        <f t="shared" si="0"/>
        <v>488701.89000000007</v>
      </c>
      <c r="M204" s="8"/>
      <c r="N204" s="165"/>
    </row>
    <row r="205" spans="1:14" s="3" customFormat="1" ht="12.2" customHeight="1" x14ac:dyDescent="0.15">
      <c r="A205" s="1" t="s">
        <v>444</v>
      </c>
      <c r="B205" s="2" t="s">
        <v>341</v>
      </c>
      <c r="C205" s="2" t="s">
        <v>296</v>
      </c>
      <c r="D205" s="2" t="s">
        <v>431</v>
      </c>
      <c r="E205" s="6">
        <v>2300</v>
      </c>
      <c r="F205" s="18">
        <v>137047.75</v>
      </c>
      <c r="G205" s="18">
        <v>44217.120000000003</v>
      </c>
      <c r="H205" s="18">
        <v>110965.47</v>
      </c>
      <c r="I205" s="18">
        <v>9630.4</v>
      </c>
      <c r="J205" s="18"/>
      <c r="K205" s="18">
        <v>11644.96</v>
      </c>
      <c r="L205" s="13">
        <f t="shared" si="0"/>
        <v>313505.7</v>
      </c>
      <c r="M205" s="8"/>
      <c r="N205" s="165"/>
    </row>
    <row r="206" spans="1:14" s="3" customFormat="1" ht="12.2" customHeight="1" x14ac:dyDescent="0.15">
      <c r="A206" s="1" t="s">
        <v>445</v>
      </c>
      <c r="B206" s="2" t="s">
        <v>341</v>
      </c>
      <c r="C206" s="2" t="s">
        <v>297</v>
      </c>
      <c r="D206" s="2" t="s">
        <v>431</v>
      </c>
      <c r="E206" s="6">
        <v>2400</v>
      </c>
      <c r="F206" s="18">
        <f>459504+1233.4+229739.72+30648.27</f>
        <v>721125.39</v>
      </c>
      <c r="G206" s="18">
        <f>212390.25+11859.21+51332.08+96587.61+32301.39+10455.51+8160.06</f>
        <v>423086.11</v>
      </c>
      <c r="H206" s="18">
        <f>47108.26+1251.71+204.75+322.56</f>
        <v>48887.28</v>
      </c>
      <c r="I206" s="18">
        <f>10325.37+36.47+143.43</f>
        <v>10505.27</v>
      </c>
      <c r="J206" s="18">
        <f>185</f>
        <v>185</v>
      </c>
      <c r="K206" s="18">
        <f>4082</f>
        <v>4082</v>
      </c>
      <c r="L206" s="13">
        <f t="shared" si="0"/>
        <v>1207871.05</v>
      </c>
      <c r="M206" s="8"/>
      <c r="N206" s="165"/>
    </row>
    <row r="207" spans="1:14" s="3" customFormat="1" ht="12.2" customHeight="1" x14ac:dyDescent="0.15">
      <c r="A207" s="1" t="s">
        <v>446</v>
      </c>
      <c r="B207" s="2" t="s">
        <v>341</v>
      </c>
      <c r="C207" s="2" t="s">
        <v>298</v>
      </c>
      <c r="D207" s="2" t="s">
        <v>431</v>
      </c>
      <c r="E207" s="6">
        <v>2500</v>
      </c>
      <c r="F207" s="18">
        <v>183300.72</v>
      </c>
      <c r="G207" s="18">
        <v>170839.85</v>
      </c>
      <c r="H207" s="18">
        <v>116614.78</v>
      </c>
      <c r="I207" s="18"/>
      <c r="J207" s="18">
        <v>8423.2900000000009</v>
      </c>
      <c r="K207" s="18">
        <v>547.97</v>
      </c>
      <c r="L207" s="13">
        <f t="shared" si="0"/>
        <v>479726.60999999993</v>
      </c>
      <c r="M207" s="8"/>
      <c r="N207" s="165"/>
    </row>
    <row r="208" spans="1:14" s="3" customFormat="1" ht="12.2" customHeight="1" x14ac:dyDescent="0.15">
      <c r="A208" s="1" t="s">
        <v>447</v>
      </c>
      <c r="B208" s="2" t="s">
        <v>341</v>
      </c>
      <c r="C208" s="2" t="s">
        <v>299</v>
      </c>
      <c r="D208" s="2" t="s">
        <v>431</v>
      </c>
      <c r="E208" s="6">
        <v>2600</v>
      </c>
      <c r="F208" s="18">
        <f>309977.55+16288.86+233200</f>
        <v>559466.40999999992</v>
      </c>
      <c r="G208" s="18">
        <f>110906.99+5701.74+23955.3+41261.15+136822.54</f>
        <v>318647.71999999997</v>
      </c>
      <c r="H208" s="18">
        <f>25149.72+28240.63+51861.06+20516.95+24645.37+160390.84+24225.27</f>
        <v>335029.84000000003</v>
      </c>
      <c r="I208" s="18">
        <f>56004.91+8577.7+100032.06+66742.84+52679.35+1995.45+7745.59+31453.61</f>
        <v>325231.51</v>
      </c>
      <c r="J208" s="18">
        <f>4782.72+5119.85</f>
        <v>9902.57</v>
      </c>
      <c r="K208" s="18">
        <v>281.32</v>
      </c>
      <c r="L208" s="13">
        <f t="shared" si="0"/>
        <v>1548559.37</v>
      </c>
      <c r="M208" s="8"/>
      <c r="N208" s="165"/>
    </row>
    <row r="209" spans="1:14" s="3" customFormat="1" ht="12.2" customHeight="1" x14ac:dyDescent="0.15">
      <c r="A209" s="1" t="s">
        <v>448</v>
      </c>
      <c r="B209" s="2" t="s">
        <v>341</v>
      </c>
      <c r="C209" s="2" t="s">
        <v>300</v>
      </c>
      <c r="D209" s="2" t="s">
        <v>431</v>
      </c>
      <c r="E209" s="6">
        <v>2700</v>
      </c>
      <c r="F209" s="18">
        <v>21041.38</v>
      </c>
      <c r="G209" s="18">
        <v>1621.98</v>
      </c>
      <c r="H209" s="18">
        <f>1134906.94-102522.23</f>
        <v>1032384.71</v>
      </c>
      <c r="I209" s="18">
        <v>4260.1499999999996</v>
      </c>
      <c r="J209" s="18"/>
      <c r="K209" s="18"/>
      <c r="L209" s="13">
        <f t="shared" si="0"/>
        <v>1059308.22</v>
      </c>
      <c r="M209" s="8"/>
      <c r="N209" s="165"/>
    </row>
    <row r="210" spans="1:14" s="3" customFormat="1" ht="12.2" customHeight="1" x14ac:dyDescent="0.15">
      <c r="A210" s="1" t="s">
        <v>449</v>
      </c>
      <c r="B210" s="2" t="s">
        <v>341</v>
      </c>
      <c r="C210" s="2" t="s">
        <v>343</v>
      </c>
      <c r="D210" s="2" t="s">
        <v>431</v>
      </c>
      <c r="E210" s="6">
        <v>2800</v>
      </c>
      <c r="F210" s="18">
        <v>206246.83</v>
      </c>
      <c r="G210" s="18">
        <v>86145.59</v>
      </c>
      <c r="H210" s="18">
        <v>210835.58</v>
      </c>
      <c r="I210" s="18">
        <v>88366.51</v>
      </c>
      <c r="J210" s="18">
        <v>143556.71</v>
      </c>
      <c r="K210" s="18"/>
      <c r="L210" s="13">
        <f>SUM(F210:K210)</f>
        <v>735151.22</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8168519.919999999</v>
      </c>
      <c r="G212" s="38">
        <f t="shared" si="1"/>
        <v>5220894.5999999996</v>
      </c>
      <c r="H212" s="38">
        <f t="shared" si="1"/>
        <v>3663666.2</v>
      </c>
      <c r="I212" s="38">
        <f t="shared" si="1"/>
        <v>607483.5</v>
      </c>
      <c r="J212" s="38">
        <f t="shared" si="1"/>
        <v>238115.58000000002</v>
      </c>
      <c r="K212" s="38">
        <f t="shared" si="1"/>
        <v>60804.11</v>
      </c>
      <c r="L212" s="38">
        <f t="shared" si="1"/>
        <v>17959483.909999996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1063833.75+13185.48</f>
        <v>1077019.23</v>
      </c>
      <c r="G216" s="18">
        <f>571722.87+1958.21</f>
        <v>573681.07999999996</v>
      </c>
      <c r="H216" s="18">
        <f>1605.32+19759.51</f>
        <v>21364.829999999998</v>
      </c>
      <c r="I216" s="18">
        <v>33048.550000000003</v>
      </c>
      <c r="J216" s="18">
        <f>31945.24+2140.06</f>
        <v>34085.300000000003</v>
      </c>
      <c r="K216" s="18">
        <f>91.41+2969.68</f>
        <v>3061.0899999999997</v>
      </c>
      <c r="L216" s="13">
        <f>SUM(F216:K216)</f>
        <v>1742260.0800000003</v>
      </c>
      <c r="M216" s="8"/>
      <c r="N216" s="165"/>
    </row>
    <row r="217" spans="1:14" s="3" customFormat="1" ht="12.2" customHeight="1" x14ac:dyDescent="0.15">
      <c r="A217" s="1" t="s">
        <v>439</v>
      </c>
      <c r="B217" s="2" t="s">
        <v>346</v>
      </c>
      <c r="C217" s="2" t="s">
        <v>291</v>
      </c>
      <c r="D217" s="2" t="s">
        <v>431</v>
      </c>
      <c r="E217" s="6">
        <v>1200</v>
      </c>
      <c r="F217" s="18">
        <f>339350.08+59661.9</f>
        <v>399011.98000000004</v>
      </c>
      <c r="G217" s="18">
        <f>234324.39+35167.87</f>
        <v>269492.26</v>
      </c>
      <c r="H217" s="18">
        <f>1756.45+486227.01</f>
        <v>487983.46</v>
      </c>
      <c r="I217" s="18">
        <f>3062.57+1879.26</f>
        <v>4941.83</v>
      </c>
      <c r="J217" s="18">
        <f>195.81</f>
        <v>195.81</v>
      </c>
      <c r="K217" s="18">
        <f>202.92+193.98</f>
        <v>396.9</v>
      </c>
      <c r="L217" s="13">
        <f>SUM(F217:K217)</f>
        <v>1162022.24</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59787.62</v>
      </c>
      <c r="G219" s="18">
        <v>20554.7</v>
      </c>
      <c r="H219" s="18">
        <v>23334.41</v>
      </c>
      <c r="I219" s="18">
        <v>14269.42</v>
      </c>
      <c r="J219" s="18">
        <v>8237.84</v>
      </c>
      <c r="K219" s="18">
        <v>5168.03</v>
      </c>
      <c r="L219" s="13">
        <f>SUM(F219:K219)</f>
        <v>131352.02000000002</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117182.58+91096.48</f>
        <v>208279.06</v>
      </c>
      <c r="G221" s="18">
        <f>69165.63+51564.11</f>
        <v>120729.74</v>
      </c>
      <c r="H221" s="18">
        <f>861.08+401.03</f>
        <v>1262.1100000000001</v>
      </c>
      <c r="I221" s="18">
        <f>5504.79+1772.41</f>
        <v>7277.2</v>
      </c>
      <c r="J221" s="18">
        <v>1255.1600000000001</v>
      </c>
      <c r="K221" s="18">
        <f>2171.61+36.22</f>
        <v>2207.83</v>
      </c>
      <c r="L221" s="13">
        <f t="shared" ref="L221:L227" si="2">SUM(F221:K221)</f>
        <v>341011.1</v>
      </c>
      <c r="M221" s="8"/>
      <c r="N221" s="165"/>
    </row>
    <row r="222" spans="1:14" s="3" customFormat="1" ht="12.2" customHeight="1" x14ac:dyDescent="0.15">
      <c r="A222" s="1" t="s">
        <v>443</v>
      </c>
      <c r="B222" s="2" t="s">
        <v>346</v>
      </c>
      <c r="C222" s="2" t="s">
        <v>295</v>
      </c>
      <c r="D222" s="2" t="s">
        <v>431</v>
      </c>
      <c r="E222" s="6">
        <v>2200</v>
      </c>
      <c r="F222" s="18">
        <f>24132.43+38997.2</f>
        <v>63129.63</v>
      </c>
      <c r="G222" s="18">
        <f>14503.35+23617.55</f>
        <v>38120.9</v>
      </c>
      <c r="H222" s="18">
        <f>821.83+6286.68</f>
        <v>7108.51</v>
      </c>
      <c r="I222" s="18">
        <f>7833.27+4712.24</f>
        <v>12545.51</v>
      </c>
      <c r="J222" s="18"/>
      <c r="K222" s="18">
        <v>284.43</v>
      </c>
      <c r="L222" s="13">
        <f t="shared" si="2"/>
        <v>121188.97999999998</v>
      </c>
      <c r="M222" s="8"/>
      <c r="N222" s="165"/>
    </row>
    <row r="223" spans="1:14" s="3" customFormat="1" ht="12.2" customHeight="1" x14ac:dyDescent="0.15">
      <c r="A223" s="1" t="s">
        <v>444</v>
      </c>
      <c r="B223" s="2" t="s">
        <v>346</v>
      </c>
      <c r="C223" s="2" t="s">
        <v>296</v>
      </c>
      <c r="D223" s="2" t="s">
        <v>431</v>
      </c>
      <c r="E223" s="6">
        <v>2300</v>
      </c>
      <c r="F223" s="18">
        <v>39414.97</v>
      </c>
      <c r="G223" s="18">
        <v>12716.85</v>
      </c>
      <c r="H223" s="18">
        <v>31913.7</v>
      </c>
      <c r="I223" s="18">
        <v>2769.71</v>
      </c>
      <c r="J223" s="18"/>
      <c r="K223" s="18">
        <v>3295.74</v>
      </c>
      <c r="L223" s="13">
        <f t="shared" si="2"/>
        <v>90110.970000000016</v>
      </c>
      <c r="M223" s="8"/>
      <c r="N223" s="165"/>
    </row>
    <row r="224" spans="1:14" s="3" customFormat="1" ht="12.2" customHeight="1" x14ac:dyDescent="0.15">
      <c r="A224" s="1" t="s">
        <v>445</v>
      </c>
      <c r="B224" s="2" t="s">
        <v>346</v>
      </c>
      <c r="C224" s="2" t="s">
        <v>297</v>
      </c>
      <c r="D224" s="2" t="s">
        <v>431</v>
      </c>
      <c r="E224" s="6">
        <v>2400</v>
      </c>
      <c r="F224" s="18">
        <f>149371.97+8814.45</f>
        <v>158186.42000000001</v>
      </c>
      <c r="G224" s="18">
        <f>98902.52+2346.84</f>
        <v>101249.36</v>
      </c>
      <c r="H224" s="18">
        <f>29361.2</f>
        <v>29361.200000000001</v>
      </c>
      <c r="I224" s="18">
        <f>1381.7+41.25</f>
        <v>1422.95</v>
      </c>
      <c r="J224" s="18">
        <v>1759.86</v>
      </c>
      <c r="K224" s="18">
        <v>1818.63</v>
      </c>
      <c r="L224" s="13">
        <f t="shared" si="2"/>
        <v>293798.42000000004</v>
      </c>
      <c r="M224" s="8"/>
      <c r="N224" s="165"/>
    </row>
    <row r="225" spans="1:14" s="3" customFormat="1" ht="12.2" customHeight="1" x14ac:dyDescent="0.15">
      <c r="A225" s="1" t="s">
        <v>446</v>
      </c>
      <c r="B225" s="2" t="s">
        <v>346</v>
      </c>
      <c r="C225" s="2" t="s">
        <v>298</v>
      </c>
      <c r="D225" s="2" t="s">
        <v>431</v>
      </c>
      <c r="E225" s="6">
        <v>2500</v>
      </c>
      <c r="F225" s="18">
        <v>52717.34</v>
      </c>
      <c r="G225" s="18">
        <v>49133.59</v>
      </c>
      <c r="H225" s="18">
        <v>33538.44</v>
      </c>
      <c r="I225" s="18"/>
      <c r="J225" s="18">
        <v>2422.54</v>
      </c>
      <c r="K225" s="18">
        <v>157.6</v>
      </c>
      <c r="L225" s="13">
        <f t="shared" si="2"/>
        <v>137969.51</v>
      </c>
      <c r="M225" s="8"/>
      <c r="N225" s="165"/>
    </row>
    <row r="226" spans="1:14" s="3" customFormat="1" ht="12.2" customHeight="1" x14ac:dyDescent="0.15">
      <c r="A226" s="1" t="s">
        <v>447</v>
      </c>
      <c r="B226" s="2" t="s">
        <v>346</v>
      </c>
      <c r="C226" s="2" t="s">
        <v>299</v>
      </c>
      <c r="D226" s="2" t="s">
        <v>431</v>
      </c>
      <c r="E226" s="6">
        <v>2600</v>
      </c>
      <c r="F226" s="18">
        <f>104748.95+67068.38</f>
        <v>171817.33000000002</v>
      </c>
      <c r="G226" s="18">
        <f>55809+39350.2</f>
        <v>95159.2</v>
      </c>
      <c r="H226" s="18">
        <f>58208.52+6967.2</f>
        <v>65175.719999999994</v>
      </c>
      <c r="I226" s="18">
        <f>82383.71+9046.07</f>
        <v>91429.78</v>
      </c>
      <c r="J226" s="18">
        <f>2440.13+1472.47</f>
        <v>3912.6000000000004</v>
      </c>
      <c r="K226" s="18">
        <v>80.91</v>
      </c>
      <c r="L226" s="13">
        <f t="shared" si="2"/>
        <v>427575.54</v>
      </c>
      <c r="M226" s="8"/>
      <c r="N226" s="165"/>
    </row>
    <row r="227" spans="1:14" s="3" customFormat="1" ht="12.2" customHeight="1" x14ac:dyDescent="0.15">
      <c r="A227" s="1" t="s">
        <v>448</v>
      </c>
      <c r="B227" s="2" t="s">
        <v>346</v>
      </c>
      <c r="C227" s="2" t="s">
        <v>300</v>
      </c>
      <c r="D227" s="2" t="s">
        <v>431</v>
      </c>
      <c r="E227" s="6">
        <v>2700</v>
      </c>
      <c r="F227" s="18">
        <v>6051.51</v>
      </c>
      <c r="G227" s="18">
        <v>466.48</v>
      </c>
      <c r="H227" s="18">
        <f>328932.26+29409.2</f>
        <v>358341.46</v>
      </c>
      <c r="I227" s="18">
        <v>1225.22</v>
      </c>
      <c r="J227" s="18"/>
      <c r="K227" s="18"/>
      <c r="L227" s="13">
        <f t="shared" si="2"/>
        <v>366084.67</v>
      </c>
      <c r="M227" s="8"/>
      <c r="N227" s="165"/>
    </row>
    <row r="228" spans="1:14" s="3" customFormat="1" ht="12.2" customHeight="1" x14ac:dyDescent="0.15">
      <c r="A228" s="1" t="s">
        <v>449</v>
      </c>
      <c r="B228" s="2" t="s">
        <v>346</v>
      </c>
      <c r="C228" s="2" t="s">
        <v>343</v>
      </c>
      <c r="D228" s="2" t="s">
        <v>431</v>
      </c>
      <c r="E228" s="6">
        <v>2800</v>
      </c>
      <c r="F228" s="18">
        <v>59316.639999999999</v>
      </c>
      <c r="G228" s="18">
        <v>24775.49</v>
      </c>
      <c r="H228" s="18">
        <v>46404.56</v>
      </c>
      <c r="I228" s="18">
        <v>25414.23</v>
      </c>
      <c r="J228" s="18">
        <v>41286.949999999997</v>
      </c>
      <c r="K228" s="18"/>
      <c r="L228" s="13">
        <f>SUM(F228:K228)</f>
        <v>197197.87</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2294731.73</v>
      </c>
      <c r="G230" s="38">
        <f>SUM(G216:G229)</f>
        <v>1306079.6499999999</v>
      </c>
      <c r="H230" s="38">
        <f>SUM(H216:H229)</f>
        <v>1105788.3999999999</v>
      </c>
      <c r="I230" s="38">
        <f>SUM(I216:I229)</f>
        <v>194344.40000000002</v>
      </c>
      <c r="J230" s="38">
        <f>SUM(J216:J229)</f>
        <v>93156.06</v>
      </c>
      <c r="K230" s="38">
        <f t="shared" si="3"/>
        <v>16471.16</v>
      </c>
      <c r="L230" s="38">
        <f t="shared" si="3"/>
        <v>5010571.4000000004</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1871775.68+22877.1</f>
        <v>1894652.78</v>
      </c>
      <c r="G234" s="18">
        <f>999243.62+3397.53</f>
        <v>1002641.15</v>
      </c>
      <c r="H234" s="18">
        <f>4221.26+34283.2</f>
        <v>38504.46</v>
      </c>
      <c r="I234" s="18">
        <v>57379.96</v>
      </c>
      <c r="J234" s="18">
        <f>55425.71+3713.05</f>
        <v>59138.76</v>
      </c>
      <c r="K234" s="18">
        <f>158.59+5152.46</f>
        <v>5311.05</v>
      </c>
      <c r="L234" s="13">
        <f>SUM(F234:K234)</f>
        <v>3057628.1599999997</v>
      </c>
      <c r="M234" s="8"/>
      <c r="N234" s="165"/>
    </row>
    <row r="235" spans="1:14" s="3" customFormat="1" ht="12.2" customHeight="1" x14ac:dyDescent="0.15">
      <c r="A235" s="1" t="s">
        <v>439</v>
      </c>
      <c r="B235" s="2" t="s">
        <v>350</v>
      </c>
      <c r="C235" s="2" t="s">
        <v>291</v>
      </c>
      <c r="D235" s="2" t="s">
        <v>431</v>
      </c>
      <c r="E235" s="6">
        <v>1200</v>
      </c>
      <c r="F235" s="18">
        <f>588780.08+103514.75</f>
        <v>692294.83</v>
      </c>
      <c r="G235" s="18">
        <f>406558.14+61017.06</f>
        <v>467575.2</v>
      </c>
      <c r="H235" s="18">
        <f>3047.48+843614.89</f>
        <v>846662.37</v>
      </c>
      <c r="I235" s="18">
        <f>5313.62+3260.55</f>
        <v>8574.17</v>
      </c>
      <c r="J235" s="18">
        <f>339.74</f>
        <v>339.74</v>
      </c>
      <c r="K235" s="18">
        <f>352.08+336.55</f>
        <v>688.63</v>
      </c>
      <c r="L235" s="13">
        <f>SUM(F235:K235)</f>
        <v>2016134.9399999997</v>
      </c>
      <c r="M235" s="8"/>
      <c r="N235" s="165"/>
    </row>
    <row r="236" spans="1:14" s="3" customFormat="1" ht="12.2" customHeight="1" x14ac:dyDescent="0.15">
      <c r="A236" s="1" t="s">
        <v>440</v>
      </c>
      <c r="B236" s="2" t="s">
        <v>350</v>
      </c>
      <c r="C236" s="2" t="s">
        <v>292</v>
      </c>
      <c r="D236" s="2" t="s">
        <v>431</v>
      </c>
      <c r="E236" s="6">
        <v>1300</v>
      </c>
      <c r="F236" s="18"/>
      <c r="G236" s="18"/>
      <c r="H236" s="18">
        <v>64411.53</v>
      </c>
      <c r="I236" s="18"/>
      <c r="J236" s="18"/>
      <c r="K236" s="18"/>
      <c r="L236" s="13">
        <f>SUM(F236:K236)</f>
        <v>64411.53</v>
      </c>
      <c r="M236" s="8"/>
      <c r="N236" s="165"/>
    </row>
    <row r="237" spans="1:14" s="3" customFormat="1" ht="12.2" customHeight="1" x14ac:dyDescent="0.15">
      <c r="A237" s="1" t="s">
        <v>441</v>
      </c>
      <c r="B237" s="2" t="s">
        <v>350</v>
      </c>
      <c r="C237" s="2" t="s">
        <v>293</v>
      </c>
      <c r="D237" s="2" t="s">
        <v>431</v>
      </c>
      <c r="E237" s="6">
        <v>1400</v>
      </c>
      <c r="F237" s="18">
        <v>122427.88</v>
      </c>
      <c r="G237" s="18">
        <v>39855.11</v>
      </c>
      <c r="H237" s="18">
        <v>46789.73</v>
      </c>
      <c r="I237" s="18">
        <v>24848.42</v>
      </c>
      <c r="J237" s="18">
        <v>14292.83</v>
      </c>
      <c r="K237" s="18">
        <v>8966.64</v>
      </c>
      <c r="L237" s="13">
        <f>SUM(F237:K237)</f>
        <v>257180.61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203314.43+158054.46</f>
        <v>361368.89</v>
      </c>
      <c r="G239" s="18">
        <f>120003.93+89464.89</f>
        <v>209468.82</v>
      </c>
      <c r="H239" s="18">
        <f>1493.99+695.79</f>
        <v>2189.7799999999997</v>
      </c>
      <c r="I239" s="18">
        <f>9550.93+3075.18</f>
        <v>12626.11</v>
      </c>
      <c r="J239" s="18">
        <f>2177.72</f>
        <v>2177.7199999999998</v>
      </c>
      <c r="K239" s="18">
        <f>3767.79+62.84</f>
        <v>3830.63</v>
      </c>
      <c r="L239" s="13">
        <f t="shared" ref="L239:L245" si="4">SUM(F239:K239)</f>
        <v>591661.94999999995</v>
      </c>
      <c r="M239" s="8"/>
      <c r="N239" s="165"/>
    </row>
    <row r="240" spans="1:14" s="3" customFormat="1" ht="12.2" customHeight="1" x14ac:dyDescent="0.15">
      <c r="A240" s="1" t="s">
        <v>443</v>
      </c>
      <c r="B240" s="2" t="s">
        <v>350</v>
      </c>
      <c r="C240" s="2" t="s">
        <v>295</v>
      </c>
      <c r="D240" s="2" t="s">
        <v>431</v>
      </c>
      <c r="E240" s="6">
        <v>2200</v>
      </c>
      <c r="F240" s="18">
        <f>41870.31+67661.02</f>
        <v>109531.33</v>
      </c>
      <c r="G240" s="18">
        <f>25163.64+40976.98</f>
        <v>66140.62</v>
      </c>
      <c r="H240" s="18">
        <f>1425.9+10907.53</f>
        <v>12333.43</v>
      </c>
      <c r="I240" s="18">
        <f>13590.89+8175.84</f>
        <v>21766.73</v>
      </c>
      <c r="J240" s="18"/>
      <c r="K240" s="18">
        <v>493.5</v>
      </c>
      <c r="L240" s="13">
        <f t="shared" si="4"/>
        <v>210265.61000000002</v>
      </c>
      <c r="M240" s="8"/>
      <c r="N240" s="165"/>
    </row>
    <row r="241" spans="1:14" s="3" customFormat="1" ht="12.2" customHeight="1" x14ac:dyDescent="0.15">
      <c r="A241" s="1" t="s">
        <v>444</v>
      </c>
      <c r="B241" s="2" t="s">
        <v>350</v>
      </c>
      <c r="C241" s="2" t="s">
        <v>296</v>
      </c>
      <c r="D241" s="2" t="s">
        <v>431</v>
      </c>
      <c r="E241" s="6">
        <v>2300</v>
      </c>
      <c r="F241" s="18">
        <v>68385.87</v>
      </c>
      <c r="G241" s="18">
        <v>22064.03</v>
      </c>
      <c r="H241" s="18">
        <v>55370.99</v>
      </c>
      <c r="I241" s="18">
        <v>4805.5</v>
      </c>
      <c r="J241" s="18"/>
      <c r="K241" s="18">
        <v>7030.92</v>
      </c>
      <c r="L241" s="13">
        <f t="shared" si="4"/>
        <v>157657.31</v>
      </c>
      <c r="M241" s="8"/>
      <c r="N241" s="165"/>
    </row>
    <row r="242" spans="1:14" s="3" customFormat="1" ht="12.2" customHeight="1" x14ac:dyDescent="0.15">
      <c r="A242" s="1" t="s">
        <v>445</v>
      </c>
      <c r="B242" s="2" t="s">
        <v>350</v>
      </c>
      <c r="C242" s="2" t="s">
        <v>297</v>
      </c>
      <c r="D242" s="2" t="s">
        <v>431</v>
      </c>
      <c r="E242" s="6">
        <v>2400</v>
      </c>
      <c r="F242" s="18">
        <f>259163.75+15293.27</f>
        <v>274457.02</v>
      </c>
      <c r="G242" s="18">
        <f>171598.11+4071.81</f>
        <v>175669.91999999998</v>
      </c>
      <c r="H242" s="18">
        <v>50942.34</v>
      </c>
      <c r="I242" s="18">
        <f>2397.28+71.57</f>
        <v>2468.8500000000004</v>
      </c>
      <c r="J242" s="18">
        <v>3053.39</v>
      </c>
      <c r="K242" s="18">
        <v>3155.37</v>
      </c>
      <c r="L242" s="13">
        <f t="shared" si="4"/>
        <v>509746.89</v>
      </c>
      <c r="M242" s="8"/>
      <c r="N242" s="165"/>
    </row>
    <row r="243" spans="1:14" s="3" customFormat="1" ht="12.2" customHeight="1" x14ac:dyDescent="0.15">
      <c r="A243" s="1" t="s">
        <v>446</v>
      </c>
      <c r="B243" s="2" t="s">
        <v>350</v>
      </c>
      <c r="C243" s="2" t="s">
        <v>298</v>
      </c>
      <c r="D243" s="2" t="s">
        <v>431</v>
      </c>
      <c r="E243" s="6">
        <v>2500</v>
      </c>
      <c r="F243" s="18">
        <v>91465.77</v>
      </c>
      <c r="G243" s="18">
        <v>85247.89</v>
      </c>
      <c r="H243" s="18">
        <v>58189.96</v>
      </c>
      <c r="I243" s="18"/>
      <c r="J243" s="18">
        <v>4203.16</v>
      </c>
      <c r="K243" s="18">
        <v>273.43</v>
      </c>
      <c r="L243" s="13">
        <f t="shared" si="4"/>
        <v>239380.21</v>
      </c>
      <c r="M243" s="8"/>
      <c r="N243" s="165"/>
    </row>
    <row r="244" spans="1:14" s="3" customFormat="1" ht="12.2" customHeight="1" x14ac:dyDescent="0.15">
      <c r="A244" s="1" t="s">
        <v>447</v>
      </c>
      <c r="B244" s="2" t="s">
        <v>350</v>
      </c>
      <c r="C244" s="2" t="s">
        <v>299</v>
      </c>
      <c r="D244" s="2" t="s">
        <v>431</v>
      </c>
      <c r="E244" s="6">
        <v>2600</v>
      </c>
      <c r="F244" s="18">
        <f>181741.79+116365.16</f>
        <v>298106.95</v>
      </c>
      <c r="G244" s="18">
        <f>96829.88+68273.49</f>
        <v>165103.37</v>
      </c>
      <c r="H244" s="18">
        <f>100993.09+12088.24</f>
        <v>113081.33</v>
      </c>
      <c r="I244" s="18">
        <f>142937.61+15695.13</f>
        <v>158632.74</v>
      </c>
      <c r="J244" s="18">
        <f>4233.68+2554.77</f>
        <v>6788.4500000000007</v>
      </c>
      <c r="K244" s="18">
        <v>140.38</v>
      </c>
      <c r="L244" s="13">
        <f t="shared" si="4"/>
        <v>741853.22</v>
      </c>
      <c r="M244" s="8"/>
      <c r="N244" s="165"/>
    </row>
    <row r="245" spans="1:14" s="3" customFormat="1" ht="12.2" customHeight="1" x14ac:dyDescent="0.15">
      <c r="A245" s="1" t="s">
        <v>448</v>
      </c>
      <c r="B245" s="2" t="s">
        <v>350</v>
      </c>
      <c r="C245" s="2" t="s">
        <v>300</v>
      </c>
      <c r="D245" s="2" t="s">
        <v>431</v>
      </c>
      <c r="E245" s="6">
        <v>2700</v>
      </c>
      <c r="F245" s="18">
        <v>10499.5</v>
      </c>
      <c r="G245" s="18">
        <v>809.36</v>
      </c>
      <c r="H245" s="18">
        <f>570601.32+73113.03</f>
        <v>643714.35</v>
      </c>
      <c r="I245" s="18">
        <v>2125.79</v>
      </c>
      <c r="J245" s="18"/>
      <c r="K245" s="18"/>
      <c r="L245" s="13">
        <f t="shared" si="4"/>
        <v>657149</v>
      </c>
      <c r="M245" s="8"/>
      <c r="N245" s="165"/>
    </row>
    <row r="246" spans="1:14" s="3" customFormat="1" ht="12.2" customHeight="1" x14ac:dyDescent="0.15">
      <c r="A246" s="1" t="s">
        <v>449</v>
      </c>
      <c r="B246" s="2" t="s">
        <v>350</v>
      </c>
      <c r="C246" s="2" t="s">
        <v>343</v>
      </c>
      <c r="D246" s="2" t="s">
        <v>431</v>
      </c>
      <c r="E246" s="6">
        <v>2800</v>
      </c>
      <c r="F246" s="18">
        <v>102915.72</v>
      </c>
      <c r="G246" s="18">
        <v>42986.04</v>
      </c>
      <c r="H246" s="18">
        <v>80399.98</v>
      </c>
      <c r="I246" s="18">
        <v>44094.27</v>
      </c>
      <c r="J246" s="18">
        <v>71633.789999999994</v>
      </c>
      <c r="K246" s="18"/>
      <c r="L246" s="13">
        <f>SUM(F246:K246)</f>
        <v>342029.8</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4026106.5400000005</v>
      </c>
      <c r="G248" s="38">
        <f t="shared" si="5"/>
        <v>2277561.5100000002</v>
      </c>
      <c r="H248" s="38">
        <f t="shared" si="5"/>
        <v>2012590.25</v>
      </c>
      <c r="I248" s="38">
        <f t="shared" si="5"/>
        <v>337322.54</v>
      </c>
      <c r="J248" s="38">
        <f t="shared" si="5"/>
        <v>161627.84</v>
      </c>
      <c r="K248" s="38">
        <f t="shared" si="5"/>
        <v>29890.550000000003</v>
      </c>
      <c r="L248" s="38">
        <f t="shared" si="5"/>
        <v>8845099.2300000004</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v>120198</v>
      </c>
      <c r="K256" s="18"/>
      <c r="L256" s="13">
        <f t="shared" si="6"/>
        <v>120198</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120198</v>
      </c>
      <c r="K257" s="38">
        <f t="shared" si="7"/>
        <v>0</v>
      </c>
      <c r="L257" s="38">
        <f>SUM(F257:K257)</f>
        <v>120198</v>
      </c>
      <c r="M257" s="8"/>
      <c r="N257" s="165"/>
    </row>
    <row r="258" spans="1:14" s="3" customFormat="1" ht="12.2" customHeight="1" thickTop="1" x14ac:dyDescent="0.15">
      <c r="A258" s="35" t="s">
        <v>462</v>
      </c>
      <c r="B258" s="37">
        <v>10</v>
      </c>
      <c r="C258" s="37">
        <v>8</v>
      </c>
      <c r="D258" s="36" t="s">
        <v>431</v>
      </c>
      <c r="E258" s="37"/>
      <c r="F258" s="38">
        <f t="shared" ref="F258:L258" si="8">F212+F230+F248+F257</f>
        <v>14489358.189999999</v>
      </c>
      <c r="G258" s="38">
        <f t="shared" si="8"/>
        <v>8804535.7599999998</v>
      </c>
      <c r="H258" s="38">
        <f t="shared" si="8"/>
        <v>6782044.8499999996</v>
      </c>
      <c r="I258" s="38">
        <f t="shared" si="8"/>
        <v>1139150.44</v>
      </c>
      <c r="J258" s="38">
        <f t="shared" si="8"/>
        <v>613097.48</v>
      </c>
      <c r="K258" s="38">
        <f t="shared" si="8"/>
        <v>107165.82</v>
      </c>
      <c r="L258" s="38">
        <f t="shared" si="8"/>
        <v>31935352.539999995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1193000</v>
      </c>
      <c r="L266" s="13">
        <f t="shared" si="9"/>
        <v>1193000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153348</v>
      </c>
      <c r="L267" s="13">
        <f t="shared" si="9"/>
        <v>153348</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1346348</v>
      </c>
      <c r="L271" s="38">
        <f t="shared" si="9"/>
        <v>1346348</v>
      </c>
      <c r="M271" s="8"/>
      <c r="N271" s="165"/>
    </row>
    <row r="272" spans="1:14" s="33" customFormat="1" ht="12.2" customHeight="1" thickTop="1" x14ac:dyDescent="0.2">
      <c r="A272" s="40" t="s">
        <v>464</v>
      </c>
      <c r="B272" s="37">
        <v>10</v>
      </c>
      <c r="C272" s="37">
        <v>18</v>
      </c>
      <c r="D272" s="36" t="s">
        <v>431</v>
      </c>
      <c r="E272" s="37"/>
      <c r="F272" s="39">
        <f t="shared" ref="F272:L272" si="11">F258+F271</f>
        <v>14489358.189999999</v>
      </c>
      <c r="G272" s="39">
        <f t="shared" si="11"/>
        <v>8804535.7599999998</v>
      </c>
      <c r="H272" s="39">
        <f t="shared" si="11"/>
        <v>6782044.8499999996</v>
      </c>
      <c r="I272" s="39">
        <f t="shared" si="11"/>
        <v>1139150.44</v>
      </c>
      <c r="J272" s="39">
        <f t="shared" si="11"/>
        <v>613097.48</v>
      </c>
      <c r="K272" s="39">
        <f t="shared" si="11"/>
        <v>1453513.82</v>
      </c>
      <c r="L272" s="39">
        <f t="shared" si="11"/>
        <v>33281700.539999995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161802.53</v>
      </c>
      <c r="G277" s="18">
        <v>59969.27</v>
      </c>
      <c r="H277" s="18">
        <v>12721.97</v>
      </c>
      <c r="I277" s="18">
        <f>382827+355.43+293.92</f>
        <v>383476.35</v>
      </c>
      <c r="J277" s="18">
        <v>2260.17</v>
      </c>
      <c r="K277" s="18"/>
      <c r="L277" s="13">
        <f>SUM(F277:K277)</f>
        <v>620230.29</v>
      </c>
      <c r="M277" s="8"/>
      <c r="N277" s="165"/>
    </row>
    <row r="278" spans="1:14" s="3" customFormat="1" ht="12.2" customHeight="1" x14ac:dyDescent="0.15">
      <c r="A278" s="1" t="s">
        <v>439</v>
      </c>
      <c r="B278" s="2" t="s">
        <v>357</v>
      </c>
      <c r="C278" s="2" t="s">
        <v>291</v>
      </c>
      <c r="D278" s="2" t="s">
        <v>431</v>
      </c>
      <c r="E278" s="6">
        <v>1200</v>
      </c>
      <c r="F278" s="18">
        <v>34540.49</v>
      </c>
      <c r="G278" s="18">
        <v>25907.39</v>
      </c>
      <c r="H278" s="18">
        <v>148053.01</v>
      </c>
      <c r="I278" s="18">
        <v>36052.74</v>
      </c>
      <c r="J278" s="18">
        <v>4548.63</v>
      </c>
      <c r="K278" s="18"/>
      <c r="L278" s="13">
        <f>SUM(F278:K278)</f>
        <v>249102.26</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264495.17</v>
      </c>
      <c r="G280" s="18">
        <v>85732.08</v>
      </c>
      <c r="H280" s="18">
        <v>1130.98</v>
      </c>
      <c r="I280" s="18">
        <v>55245.25</v>
      </c>
      <c r="J280" s="18">
        <f>15404.41+0.01</f>
        <v>15404.42</v>
      </c>
      <c r="K280" s="18">
        <v>12707.6</v>
      </c>
      <c r="L280" s="13">
        <f>SUM(F280:K280)</f>
        <v>434715.49999999994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81347.350000000006</v>
      </c>
      <c r="G282" s="18">
        <v>40778.46</v>
      </c>
      <c r="H282" s="18">
        <v>927.06</v>
      </c>
      <c r="I282" s="18">
        <f>11281.01+1387.12</f>
        <v>12668.130000000001</v>
      </c>
      <c r="J282" s="18"/>
      <c r="K282" s="18">
        <f>13833.59</f>
        <v>13833.59</v>
      </c>
      <c r="L282" s="13">
        <f t="shared" ref="L282:L288" si="12">SUM(F282:K282)</f>
        <v>149554.59</v>
      </c>
      <c r="M282" s="8"/>
      <c r="N282" s="165"/>
    </row>
    <row r="283" spans="1:14" s="3" customFormat="1" ht="12.2" customHeight="1" x14ac:dyDescent="0.15">
      <c r="A283" s="1" t="s">
        <v>443</v>
      </c>
      <c r="B283" s="2" t="s">
        <v>357</v>
      </c>
      <c r="C283" s="2" t="s">
        <v>295</v>
      </c>
      <c r="D283" s="2" t="s">
        <v>431</v>
      </c>
      <c r="E283" s="6">
        <v>2200</v>
      </c>
      <c r="F283" s="18">
        <f>43441.43+39343.99</f>
        <v>82785.42</v>
      </c>
      <c r="G283" s="18">
        <f>3351.68+6772.21</f>
        <v>10123.89</v>
      </c>
      <c r="H283" s="18">
        <f>479.13+157260.28+2390+2041+1973+1458+1258+629+159+159+159+598+4137+2046</f>
        <v>174746.41</v>
      </c>
      <c r="I283" s="18">
        <f>7154.03+3702.12+603+412+942+5480+850</f>
        <v>19143.150000000001</v>
      </c>
      <c r="J283" s="18"/>
      <c r="K283" s="18"/>
      <c r="L283" s="13">
        <f t="shared" si="12"/>
        <v>286798.87</v>
      </c>
      <c r="M283" s="8"/>
      <c r="N283" s="165"/>
    </row>
    <row r="284" spans="1:14" s="3" customFormat="1" ht="12.2" customHeight="1" x14ac:dyDescent="0.15">
      <c r="A284" s="1" t="s">
        <v>444</v>
      </c>
      <c r="B284" s="2" t="s">
        <v>357</v>
      </c>
      <c r="C284" s="2" t="s">
        <v>296</v>
      </c>
      <c r="D284" s="2" t="s">
        <v>431</v>
      </c>
      <c r="E284" s="6">
        <v>2300</v>
      </c>
      <c r="F284" s="18">
        <v>58216.47</v>
      </c>
      <c r="G284" s="18">
        <v>23055.68</v>
      </c>
      <c r="H284" s="18"/>
      <c r="I284" s="18">
        <v>7277.22</v>
      </c>
      <c r="J284" s="18"/>
      <c r="K284" s="18"/>
      <c r="L284" s="13">
        <f t="shared" si="12"/>
        <v>88549.37</v>
      </c>
      <c r="M284" s="8"/>
      <c r="N284" s="165"/>
    </row>
    <row r="285" spans="1:14" s="3" customFormat="1" ht="12.2" customHeight="1" x14ac:dyDescent="0.15">
      <c r="A285" s="1" t="s">
        <v>445</v>
      </c>
      <c r="B285" s="2" t="s">
        <v>357</v>
      </c>
      <c r="C285" s="2" t="s">
        <v>297</v>
      </c>
      <c r="D285" s="2" t="s">
        <v>431</v>
      </c>
      <c r="E285" s="6">
        <v>2400</v>
      </c>
      <c r="F285" s="18">
        <f>84874.05+30</f>
        <v>84904.05</v>
      </c>
      <c r="G285" s="18">
        <f>32449.71+5+21+4</f>
        <v>32479.71</v>
      </c>
      <c r="H285" s="18">
        <f>2513.46+162</f>
        <v>2675.46</v>
      </c>
      <c r="I285" s="18">
        <v>3178.03</v>
      </c>
      <c r="J285" s="18"/>
      <c r="K285" s="18"/>
      <c r="L285" s="13">
        <f t="shared" si="12"/>
        <v>123237.25000000001</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v>9986.7900000000009</v>
      </c>
      <c r="G287" s="18">
        <v>763.98</v>
      </c>
      <c r="H287" s="18">
        <f>18760+30860+41520+42770+7258+8319.59</f>
        <v>149487.59</v>
      </c>
      <c r="I287" s="18"/>
      <c r="J287" s="18"/>
      <c r="K287" s="18"/>
      <c r="L287" s="13">
        <f t="shared" si="12"/>
        <v>160238.35999999999</v>
      </c>
      <c r="M287" s="8"/>
      <c r="N287" s="165"/>
    </row>
    <row r="288" spans="1:14" s="3" customFormat="1" ht="12.2" customHeight="1" x14ac:dyDescent="0.15">
      <c r="A288" s="1" t="s">
        <v>448</v>
      </c>
      <c r="B288" s="2" t="s">
        <v>357</v>
      </c>
      <c r="C288" s="2" t="s">
        <v>300</v>
      </c>
      <c r="D288" s="2" t="s">
        <v>431</v>
      </c>
      <c r="E288" s="6">
        <v>2700</v>
      </c>
      <c r="F288" s="18">
        <v>453.91</v>
      </c>
      <c r="G288" s="18">
        <v>34.729999999999997</v>
      </c>
      <c r="H288" s="18">
        <f>33811.22+1280+11713</f>
        <v>46804.22</v>
      </c>
      <c r="I288" s="18"/>
      <c r="J288" s="18"/>
      <c r="K288" s="18"/>
      <c r="L288" s="13">
        <f t="shared" si="12"/>
        <v>47292.86</v>
      </c>
      <c r="M288" s="8"/>
      <c r="N288" s="165"/>
    </row>
    <row r="289" spans="1:14" s="3" customFormat="1" ht="12.2" customHeight="1" x14ac:dyDescent="0.15">
      <c r="A289" s="1" t="s">
        <v>449</v>
      </c>
      <c r="B289" s="2" t="s">
        <v>357</v>
      </c>
      <c r="C289" s="2" t="s">
        <v>343</v>
      </c>
      <c r="D289" s="2" t="s">
        <v>431</v>
      </c>
      <c r="E289" s="6">
        <v>2800</v>
      </c>
      <c r="F289" s="18"/>
      <c r="G289" s="18"/>
      <c r="H289" s="18"/>
      <c r="I289" s="18">
        <f>2186+10334+6583+1579</f>
        <v>20682</v>
      </c>
      <c r="J289" s="18"/>
      <c r="K289" s="18">
        <v>4127.97</v>
      </c>
      <c r="L289" s="13">
        <f>SUM(F289:K289)</f>
        <v>24809.97</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778532.18</v>
      </c>
      <c r="G291" s="39">
        <f t="shared" si="13"/>
        <v>278845.18999999994</v>
      </c>
      <c r="H291" s="39">
        <f t="shared" si="13"/>
        <v>536546.70000000007</v>
      </c>
      <c r="I291" s="39">
        <f t="shared" si="13"/>
        <v>537722.87</v>
      </c>
      <c r="J291" s="39">
        <f t="shared" si="13"/>
        <v>22213.22</v>
      </c>
      <c r="K291" s="39">
        <f t="shared" si="13"/>
        <v>30669.160000000003</v>
      </c>
      <c r="L291" s="38">
        <f t="shared" si="13"/>
        <v>2184529.3200000003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12773.52</v>
      </c>
      <c r="G296" s="18">
        <v>6016.35</v>
      </c>
      <c r="H296" s="18">
        <v>3658.84</v>
      </c>
      <c r="I296" s="18">
        <v>109645.06</v>
      </c>
      <c r="J296" s="18">
        <v>650.02</v>
      </c>
      <c r="K296" s="18"/>
      <c r="L296" s="13">
        <f>SUM(F296:K296)</f>
        <v>132743.78999999998</v>
      </c>
      <c r="M296" s="8"/>
      <c r="N296" s="165"/>
    </row>
    <row r="297" spans="1:14" s="3" customFormat="1" ht="12.2" customHeight="1" x14ac:dyDescent="0.15">
      <c r="A297" s="1" t="s">
        <v>439</v>
      </c>
      <c r="B297" s="2" t="s">
        <v>358</v>
      </c>
      <c r="C297" s="2" t="s">
        <v>291</v>
      </c>
      <c r="D297" s="2" t="s">
        <v>431</v>
      </c>
      <c r="E297" s="6">
        <v>1200</v>
      </c>
      <c r="F297" s="18">
        <v>9933.85</v>
      </c>
      <c r="G297" s="18">
        <v>7450.97</v>
      </c>
      <c r="H297" s="18">
        <v>42580.08</v>
      </c>
      <c r="I297" s="18">
        <v>10368.780000000001</v>
      </c>
      <c r="J297" s="18">
        <v>1308.19</v>
      </c>
      <c r="K297" s="18"/>
      <c r="L297" s="13">
        <f>SUM(F297:K297)</f>
        <v>71641.87000000001</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53801.32</v>
      </c>
      <c r="G299" s="18">
        <v>17653.310000000001</v>
      </c>
      <c r="H299" s="18">
        <v>325.27</v>
      </c>
      <c r="I299" s="18">
        <v>12634.01</v>
      </c>
      <c r="J299" s="18">
        <v>4097.49</v>
      </c>
      <c r="K299" s="18">
        <v>1091.75</v>
      </c>
      <c r="L299" s="13">
        <f>SUM(F299:K299)</f>
        <v>89603.150000000009</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23395.52+16229</f>
        <v>39624.520000000004</v>
      </c>
      <c r="G301" s="18">
        <f>11727.9+5415</f>
        <v>17142.900000000001</v>
      </c>
      <c r="H301" s="18">
        <v>266.62</v>
      </c>
      <c r="I301" s="18">
        <v>3244.42</v>
      </c>
      <c r="J301" s="18"/>
      <c r="K301" s="18">
        <f>3978.54</f>
        <v>3978.54</v>
      </c>
      <c r="L301" s="13">
        <f t="shared" ref="L301:L307" si="14">SUM(F301:K301)</f>
        <v>64257.000000000007</v>
      </c>
      <c r="M301" s="8"/>
      <c r="N301" s="165"/>
    </row>
    <row r="302" spans="1:14" s="3" customFormat="1" ht="12.2" customHeight="1" x14ac:dyDescent="0.15">
      <c r="A302" s="1" t="s">
        <v>443</v>
      </c>
      <c r="B302" s="2" t="s">
        <v>358</v>
      </c>
      <c r="C302" s="2" t="s">
        <v>295</v>
      </c>
      <c r="D302" s="2" t="s">
        <v>431</v>
      </c>
      <c r="E302" s="6">
        <v>2200</v>
      </c>
      <c r="F302" s="18">
        <v>11315.34</v>
      </c>
      <c r="G302" s="18">
        <v>1947.69</v>
      </c>
      <c r="H302" s="18">
        <v>45228.1</v>
      </c>
      <c r="I302" s="18">
        <v>1064.73</v>
      </c>
      <c r="J302" s="18"/>
      <c r="K302" s="18"/>
      <c r="L302" s="13">
        <f t="shared" si="14"/>
        <v>59555.86</v>
      </c>
      <c r="M302" s="8"/>
      <c r="N302" s="165"/>
    </row>
    <row r="303" spans="1:14" s="3" customFormat="1" ht="12.2" customHeight="1" x14ac:dyDescent="0.15">
      <c r="A303" s="1" t="s">
        <v>444</v>
      </c>
      <c r="B303" s="2" t="s">
        <v>358</v>
      </c>
      <c r="C303" s="2" t="s">
        <v>296</v>
      </c>
      <c r="D303" s="2" t="s">
        <v>431</v>
      </c>
      <c r="E303" s="6">
        <v>2300</v>
      </c>
      <c r="F303" s="18"/>
      <c r="G303" s="18"/>
      <c r="H303" s="18"/>
      <c r="I303" s="18">
        <v>2092.9299999999998</v>
      </c>
      <c r="J303" s="18"/>
      <c r="K303" s="18"/>
      <c r="L303" s="13">
        <f t="shared" si="14"/>
        <v>2092.9299999999998</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v>2872.2</v>
      </c>
      <c r="G306" s="18">
        <v>219.72</v>
      </c>
      <c r="H306" s="18">
        <f>73862.36+2392.72</f>
        <v>76255.08</v>
      </c>
      <c r="I306" s="18"/>
      <c r="J306" s="18"/>
      <c r="K306" s="18"/>
      <c r="L306" s="13">
        <f t="shared" si="14"/>
        <v>79347</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v>1187.2</v>
      </c>
      <c r="L308" s="13">
        <f>SUM(F308:K308)</f>
        <v>1187.2</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130320.75</v>
      </c>
      <c r="G310" s="39">
        <f t="shared" si="15"/>
        <v>50430.94</v>
      </c>
      <c r="H310" s="39">
        <f t="shared" si="15"/>
        <v>168313.99</v>
      </c>
      <c r="I310" s="39">
        <f t="shared" si="15"/>
        <v>139049.93000000002</v>
      </c>
      <c r="J310" s="39">
        <f t="shared" si="15"/>
        <v>6055.7</v>
      </c>
      <c r="K310" s="39">
        <f t="shared" si="15"/>
        <v>6257.49</v>
      </c>
      <c r="L310" s="38">
        <f t="shared" si="15"/>
        <v>500428.79999999999</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22162.34</v>
      </c>
      <c r="G315" s="18">
        <v>10438.5</v>
      </c>
      <c r="H315" s="18">
        <v>9328.17</v>
      </c>
      <c r="I315" s="18">
        <v>190236.66</v>
      </c>
      <c r="J315" s="18">
        <v>1127.81</v>
      </c>
      <c r="K315" s="18"/>
      <c r="L315" s="13">
        <f>SUM(F315:K315)</f>
        <v>233293.48</v>
      </c>
      <c r="M315" s="8"/>
      <c r="N315" s="165"/>
    </row>
    <row r="316" spans="1:14" s="3" customFormat="1" ht="12.2" customHeight="1" x14ac:dyDescent="0.15">
      <c r="A316" s="1" t="s">
        <v>439</v>
      </c>
      <c r="B316" s="2" t="s">
        <v>359</v>
      </c>
      <c r="C316" s="2" t="s">
        <v>291</v>
      </c>
      <c r="D316" s="2" t="s">
        <v>431</v>
      </c>
      <c r="E316" s="6">
        <v>1200</v>
      </c>
      <c r="F316" s="18">
        <v>17235.46</v>
      </c>
      <c r="G316" s="18">
        <v>12927.61</v>
      </c>
      <c r="H316" s="18">
        <v>73877.41</v>
      </c>
      <c r="I316" s="18">
        <v>17990.07</v>
      </c>
      <c r="J316" s="18">
        <v>2269.7399999999998</v>
      </c>
      <c r="K316" s="18"/>
      <c r="L316" s="13">
        <f>SUM(F316:K316)</f>
        <v>124300.29000000002</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105735.47</v>
      </c>
      <c r="G318" s="18">
        <v>33647.9</v>
      </c>
      <c r="H318" s="18">
        <v>564.35</v>
      </c>
      <c r="I318" s="18">
        <v>23018.3</v>
      </c>
      <c r="J318" s="18">
        <v>7109.24</v>
      </c>
      <c r="K318" s="18">
        <v>1894.22</v>
      </c>
      <c r="L318" s="13">
        <f>SUM(F318:K318)</f>
        <v>171969.47999999998</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40591.75+28157</f>
        <v>68748.75</v>
      </c>
      <c r="G320" s="18">
        <f>20348.16+9394.63</f>
        <v>29742.79</v>
      </c>
      <c r="H320" s="18">
        <v>462.6</v>
      </c>
      <c r="I320" s="18">
        <f>5629.14+250</f>
        <v>5879.14</v>
      </c>
      <c r="J320" s="18"/>
      <c r="K320" s="18">
        <f>6902.86</f>
        <v>6902.86</v>
      </c>
      <c r="L320" s="13">
        <f t="shared" ref="L320:L326" si="16">SUM(F320:K320)</f>
        <v>111736.14000000001</v>
      </c>
      <c r="M320" s="8"/>
      <c r="N320" s="165"/>
    </row>
    <row r="321" spans="1:14" s="3" customFormat="1" ht="12.2" customHeight="1" x14ac:dyDescent="0.15">
      <c r="A321" s="1" t="s">
        <v>443</v>
      </c>
      <c r="B321" s="2" t="s">
        <v>359</v>
      </c>
      <c r="C321" s="2" t="s">
        <v>295</v>
      </c>
      <c r="D321" s="2" t="s">
        <v>431</v>
      </c>
      <c r="E321" s="6">
        <v>2200</v>
      </c>
      <c r="F321" s="18">
        <v>19632.37</v>
      </c>
      <c r="G321" s="18">
        <v>3379.28</v>
      </c>
      <c r="H321" s="18">
        <v>78471.77</v>
      </c>
      <c r="I321" s="18">
        <v>1847.33</v>
      </c>
      <c r="J321" s="18"/>
      <c r="K321" s="18"/>
      <c r="L321" s="13">
        <f t="shared" si="16"/>
        <v>103330.75</v>
      </c>
      <c r="M321" s="8"/>
      <c r="N321" s="165"/>
    </row>
    <row r="322" spans="1:14" s="3" customFormat="1" ht="12.2" customHeight="1" x14ac:dyDescent="0.15">
      <c r="A322" s="1" t="s">
        <v>444</v>
      </c>
      <c r="B322" s="2" t="s">
        <v>359</v>
      </c>
      <c r="C322" s="2" t="s">
        <v>296</v>
      </c>
      <c r="D322" s="2" t="s">
        <v>431</v>
      </c>
      <c r="E322" s="6">
        <v>2300</v>
      </c>
      <c r="F322" s="18"/>
      <c r="G322" s="18"/>
      <c r="H322" s="18"/>
      <c r="I322" s="18">
        <v>3631.28</v>
      </c>
      <c r="J322" s="18"/>
      <c r="K322" s="18"/>
      <c r="L322" s="13">
        <f t="shared" si="16"/>
        <v>3631.28</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v>4983.34</v>
      </c>
      <c r="G325" s="18">
        <v>381.22</v>
      </c>
      <c r="H325" s="18">
        <f>125765.64+4151.42</f>
        <v>129917.06</v>
      </c>
      <c r="I325" s="18"/>
      <c r="J325" s="18"/>
      <c r="K325" s="18"/>
      <c r="L325" s="13">
        <f t="shared" si="16"/>
        <v>135281.62</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v>2059.83</v>
      </c>
      <c r="L327" s="13">
        <f>SUM(F327:K327)</f>
        <v>2059.83</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238497.73</v>
      </c>
      <c r="G329" s="39">
        <f t="shared" si="17"/>
        <v>90517.3</v>
      </c>
      <c r="H329" s="39">
        <f t="shared" si="17"/>
        <v>292621.36</v>
      </c>
      <c r="I329" s="39">
        <f t="shared" si="17"/>
        <v>242602.78</v>
      </c>
      <c r="J329" s="39">
        <f t="shared" si="17"/>
        <v>10506.789999999999</v>
      </c>
      <c r="K329" s="39">
        <f t="shared" si="17"/>
        <v>10856.91</v>
      </c>
      <c r="L329" s="38">
        <f t="shared" si="17"/>
        <v>885602.87</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v>208189</v>
      </c>
      <c r="L337" s="13">
        <f t="shared" si="18"/>
        <v>208189</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208189</v>
      </c>
      <c r="L338" s="38">
        <f t="shared" si="18"/>
        <v>208189</v>
      </c>
      <c r="M338" s="8"/>
      <c r="N338" s="165"/>
    </row>
    <row r="339" spans="1:43" s="3" customFormat="1" ht="12.2" customHeight="1" thickTop="1" x14ac:dyDescent="0.15">
      <c r="A339" s="35" t="s">
        <v>468</v>
      </c>
      <c r="B339" s="37">
        <v>14</v>
      </c>
      <c r="C339" s="37">
        <v>7</v>
      </c>
      <c r="D339" s="36" t="s">
        <v>431</v>
      </c>
      <c r="E339" s="37"/>
      <c r="F339" s="38">
        <f t="shared" ref="F339:L339" si="20">F291+F310+F329+F338</f>
        <v>1147350.6600000001</v>
      </c>
      <c r="G339" s="38">
        <f t="shared" si="20"/>
        <v>419793.42999999993</v>
      </c>
      <c r="H339" s="38">
        <f t="shared" si="20"/>
        <v>997482.05</v>
      </c>
      <c r="I339" s="38">
        <f t="shared" si="20"/>
        <v>919375.58000000007</v>
      </c>
      <c r="J339" s="38">
        <f t="shared" si="20"/>
        <v>38775.71</v>
      </c>
      <c r="K339" s="38">
        <f t="shared" si="20"/>
        <v>255972.56</v>
      </c>
      <c r="L339" s="38">
        <f t="shared" si="20"/>
        <v>3778749.99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1147350.6600000001</v>
      </c>
      <c r="G353" s="38">
        <f>G339</f>
        <v>419793.42999999993</v>
      </c>
      <c r="H353" s="38">
        <f>H339</f>
        <v>997482.05</v>
      </c>
      <c r="I353" s="38">
        <f>I339</f>
        <v>919375.58000000007</v>
      </c>
      <c r="J353" s="38">
        <f>J339</f>
        <v>38775.71</v>
      </c>
      <c r="K353" s="38">
        <f>K339+K352</f>
        <v>255972.56</v>
      </c>
      <c r="L353" s="38">
        <f>L339+L352</f>
        <v>3778749.99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225914.13</v>
      </c>
      <c r="G359" s="18">
        <v>130643.92</v>
      </c>
      <c r="H359" s="18">
        <v>16161.22</v>
      </c>
      <c r="I359" s="18">
        <v>211392.02</v>
      </c>
      <c r="J359" s="18">
        <v>10312.950000000001</v>
      </c>
      <c r="K359" s="18">
        <v>1703.68</v>
      </c>
      <c r="L359" s="13">
        <f>SUM(F359:K359)</f>
        <v>596127.91999999993</v>
      </c>
      <c r="M359" s="8"/>
      <c r="N359" s="165"/>
    </row>
    <row r="360" spans="1:22" s="3" customFormat="1" ht="12.2" customHeight="1" x14ac:dyDescent="0.15">
      <c r="A360" s="1" t="s">
        <v>542</v>
      </c>
      <c r="B360" s="2" t="s">
        <v>366</v>
      </c>
      <c r="C360" s="6">
        <v>2</v>
      </c>
      <c r="D360" s="2" t="s">
        <v>431</v>
      </c>
      <c r="E360" s="6"/>
      <c r="F360" s="18">
        <v>64972.959999999999</v>
      </c>
      <c r="G360" s="18">
        <v>37573.230000000003</v>
      </c>
      <c r="H360" s="18">
        <v>4647.97</v>
      </c>
      <c r="I360" s="18">
        <v>60796.4</v>
      </c>
      <c r="J360" s="18">
        <v>2966.01</v>
      </c>
      <c r="K360" s="18">
        <v>489.98</v>
      </c>
      <c r="L360" s="13">
        <f>SUM(F360:K360)</f>
        <v>171446.55000000002</v>
      </c>
      <c r="M360" s="8"/>
      <c r="N360" s="165"/>
    </row>
    <row r="361" spans="1:22" s="3" customFormat="1" ht="12.2" customHeight="1" x14ac:dyDescent="0.15">
      <c r="A361" s="3" t="s">
        <v>543</v>
      </c>
      <c r="B361" s="2" t="s">
        <v>366</v>
      </c>
      <c r="C361" s="6">
        <v>3</v>
      </c>
      <c r="D361" s="2" t="s">
        <v>431</v>
      </c>
      <c r="E361" s="6"/>
      <c r="F361" s="18">
        <v>112729.56</v>
      </c>
      <c r="G361" s="18">
        <v>65190.400000000001</v>
      </c>
      <c r="H361" s="18">
        <v>8064.34</v>
      </c>
      <c r="I361" s="18">
        <v>105483.13</v>
      </c>
      <c r="J361" s="18">
        <v>5146.09</v>
      </c>
      <c r="K361" s="18">
        <v>850.12</v>
      </c>
      <c r="L361" s="13">
        <f>SUM(F361:K361)</f>
        <v>297463.64</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403616.65</v>
      </c>
      <c r="G363" s="38">
        <f t="shared" si="22"/>
        <v>233407.55</v>
      </c>
      <c r="H363" s="38">
        <f t="shared" si="22"/>
        <v>28873.53</v>
      </c>
      <c r="I363" s="38">
        <f t="shared" si="22"/>
        <v>377671.55</v>
      </c>
      <c r="J363" s="38">
        <f t="shared" si="22"/>
        <v>18425.050000000003</v>
      </c>
      <c r="K363" s="38">
        <f t="shared" si="22"/>
        <v>3043.7799999999997</v>
      </c>
      <c r="L363" s="38">
        <f t="shared" si="22"/>
        <v>1065038.1099999999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195366.86</v>
      </c>
      <c r="G368" s="18">
        <v>56187.56</v>
      </c>
      <c r="H368" s="18">
        <v>97486.69</v>
      </c>
      <c r="I368" s="13">
        <f>SUM(F368:H368)</f>
        <v>349041.11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16025.16</v>
      </c>
      <c r="G369" s="53">
        <v>4608.84</v>
      </c>
      <c r="H369" s="53">
        <v>7996.44</v>
      </c>
      <c r="I369" s="13">
        <f>SUM(F369:H369)</f>
        <v>28630.44</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211392.02</v>
      </c>
      <c r="G370" s="38">
        <f>SUM(G368:G369)</f>
        <v>60796.399999999994</v>
      </c>
      <c r="H370" s="38">
        <f>SUM(H368:H369)</f>
        <v>105483.13</v>
      </c>
      <c r="I370" s="38">
        <f>SUM(I368:I369)</f>
        <v>377671.55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f>2260.3+2500+111480.47+27730.58</f>
        <v>143971.35</v>
      </c>
      <c r="I377" s="18"/>
      <c r="J377" s="18"/>
      <c r="K377" s="18"/>
      <c r="L377" s="13">
        <f t="shared" si="23"/>
        <v>143971.35</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f>296836.75+211044.4</f>
        <v>507881.15</v>
      </c>
      <c r="I379" s="18"/>
      <c r="J379" s="18"/>
      <c r="K379" s="18"/>
      <c r="L379" s="13">
        <f t="shared" si="23"/>
        <v>507881.15</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10338.17</v>
      </c>
      <c r="L382" s="13">
        <f t="shared" si="23"/>
        <v>10338.17</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651852.5</v>
      </c>
      <c r="I383" s="38">
        <f t="shared" si="24"/>
        <v>0</v>
      </c>
      <c r="J383" s="38">
        <f t="shared" si="24"/>
        <v>0</v>
      </c>
      <c r="K383" s="38">
        <f t="shared" si="24"/>
        <v>10338.17</v>
      </c>
      <c r="L383" s="38">
        <f t="shared" si="24"/>
        <v>662190.67000000004</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v>296.31</v>
      </c>
      <c r="I396" s="18"/>
      <c r="J396" s="23" t="s">
        <v>288</v>
      </c>
      <c r="K396" s="23" t="s">
        <v>288</v>
      </c>
      <c r="L396" s="13">
        <f t="shared" ref="L396:L401" si="26">SUM(F396:K396)</f>
        <v>296.31</v>
      </c>
      <c r="M396" s="8"/>
      <c r="N396" s="165"/>
    </row>
    <row r="397" spans="1:14" s="3" customFormat="1" ht="12.2" customHeight="1" x14ac:dyDescent="0.15">
      <c r="A397" s="62" t="s">
        <v>557</v>
      </c>
      <c r="B397" s="2" t="s">
        <v>381</v>
      </c>
      <c r="C397" s="6">
        <v>9</v>
      </c>
      <c r="D397" s="2" t="s">
        <v>432</v>
      </c>
      <c r="E397" s="6"/>
      <c r="F397" s="18"/>
      <c r="G397" s="18">
        <f>63347+40000</f>
        <v>103347</v>
      </c>
      <c r="H397" s="18">
        <f>2250.53+2553.17</f>
        <v>4803.7000000000007</v>
      </c>
      <c r="I397" s="18"/>
      <c r="J397" s="23" t="s">
        <v>288</v>
      </c>
      <c r="K397" s="23" t="s">
        <v>288</v>
      </c>
      <c r="L397" s="13">
        <f t="shared" si="26"/>
        <v>108150.7</v>
      </c>
      <c r="M397" s="8"/>
      <c r="N397" s="165"/>
    </row>
    <row r="398" spans="1:14" s="3" customFormat="1" ht="12.2" customHeight="1" x14ac:dyDescent="0.15">
      <c r="A398" s="62" t="s">
        <v>515</v>
      </c>
      <c r="B398" s="2" t="s">
        <v>381</v>
      </c>
      <c r="C398" s="6">
        <v>10</v>
      </c>
      <c r="D398" s="2" t="s">
        <v>432</v>
      </c>
      <c r="E398" s="6"/>
      <c r="F398" s="18"/>
      <c r="G398" s="18">
        <v>1</v>
      </c>
      <c r="H398" s="18">
        <v>10581.1</v>
      </c>
      <c r="I398" s="18"/>
      <c r="J398" s="23" t="s">
        <v>288</v>
      </c>
      <c r="K398" s="23" t="s">
        <v>288</v>
      </c>
      <c r="L398" s="13">
        <f t="shared" si="26"/>
        <v>10582.1</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50000</v>
      </c>
      <c r="H401" s="18">
        <f>1835.91+2.9+2400.11</f>
        <v>4238.92</v>
      </c>
      <c r="I401" s="18"/>
      <c r="J401" s="23" t="s">
        <v>288</v>
      </c>
      <c r="K401" s="23" t="s">
        <v>288</v>
      </c>
      <c r="L401" s="13">
        <f t="shared" si="26"/>
        <v>54238.92</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153348</v>
      </c>
      <c r="H402" s="38">
        <f>SUM(H396:H401)</f>
        <v>19920.03</v>
      </c>
      <c r="I402" s="38">
        <f>SUM(I396:I401)</f>
        <v>0</v>
      </c>
      <c r="J402" s="42" t="s">
        <v>288</v>
      </c>
      <c r="K402" s="42" t="s">
        <v>288</v>
      </c>
      <c r="L402" s="38">
        <f>SUM(L396:L401)</f>
        <v>173268.03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153348</v>
      </c>
      <c r="H409" s="38">
        <f>H394+H402+H408</f>
        <v>19920.03</v>
      </c>
      <c r="I409" s="38">
        <f>I394+I402+I408</f>
        <v>0</v>
      </c>
      <c r="J409" s="23" t="s">
        <v>288</v>
      </c>
      <c r="K409" s="23" t="s">
        <v>288</v>
      </c>
      <c r="L409" s="38">
        <f>L394+L402+L408</f>
        <v>173268.03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v>63807.17</v>
      </c>
      <c r="L422" s="13">
        <f t="shared" ref="L422:L427" si="29">SUM(F422:K422)</f>
        <v>63807.17</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v>60256</v>
      </c>
      <c r="L427" s="13">
        <f t="shared" si="29"/>
        <v>60256</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124063.17</v>
      </c>
      <c r="L428" s="38">
        <f t="shared" si="30"/>
        <v>124063.17</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124063.17</v>
      </c>
      <c r="L435" s="38">
        <f t="shared" si="32"/>
        <v>124063.17</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655639.01</v>
      </c>
      <c r="H443" s="18"/>
      <c r="I443" s="13">
        <f t="shared" si="33"/>
        <v>655639.01</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655639.01</v>
      </c>
      <c r="H447" s="13">
        <f>SUM(H440:H446)</f>
        <v>0</v>
      </c>
      <c r="I447" s="13">
        <f>SUM(I440:I446)</f>
        <v>655639.01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655639.01</v>
      </c>
      <c r="H460" s="18"/>
      <c r="I460" s="13">
        <f t="shared" si="34"/>
        <v>655639.01</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655639.01</v>
      </c>
      <c r="H461" s="65">
        <f>SUM(H455:H460)</f>
        <v>0</v>
      </c>
      <c r="I461" s="65">
        <f>SUM(I455:I460)</f>
        <v>655639.01</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655639.01</v>
      </c>
      <c r="H462" s="39">
        <f>H453+H461</f>
        <v>0</v>
      </c>
      <c r="I462" s="39">
        <f>I453+I461</f>
        <v>655639.01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2021434.22</v>
      </c>
      <c r="G466" s="18">
        <v>748305.12</v>
      </c>
      <c r="H466" s="18">
        <v>0</v>
      </c>
      <c r="I466" s="18">
        <v>536204.67000000004</v>
      </c>
      <c r="J466" s="18">
        <v>606434.15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32460499.32</v>
      </c>
      <c r="G469" s="18">
        <f t="shared" ref="G469:J469" si="35">G194</f>
        <v>997538.02</v>
      </c>
      <c r="H469" s="18">
        <f t="shared" si="35"/>
        <v>3778749.99</v>
      </c>
      <c r="I469" s="18">
        <f t="shared" si="35"/>
        <v>1193000</v>
      </c>
      <c r="J469" s="18">
        <f t="shared" si="35"/>
        <v>173268.03</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32460499.32</v>
      </c>
      <c r="G471" s="19">
        <f>SUM(G469:G470)</f>
        <v>997538.02</v>
      </c>
      <c r="H471" s="19">
        <f>SUM(H469:H470)</f>
        <v>3778749.99</v>
      </c>
      <c r="I471" s="19">
        <f>SUM(I469:I470)</f>
        <v>1193000</v>
      </c>
      <c r="J471" s="19">
        <f>SUM(J469:J470)</f>
        <v>173268.03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33281700.539999995</v>
      </c>
      <c r="G473" s="18">
        <f>L363</f>
        <v>1065038.1099999999</v>
      </c>
      <c r="H473" s="18">
        <f>L353</f>
        <v>3778749.99</v>
      </c>
      <c r="I473" s="18">
        <f>L383</f>
        <v>662190.67000000004</v>
      </c>
      <c r="J473" s="18">
        <f>L435</f>
        <v>124063.17</v>
      </c>
      <c r="K473" s="23" t="s">
        <v>288</v>
      </c>
      <c r="L473" s="23" t="s">
        <v>288</v>
      </c>
      <c r="N473" s="131"/>
    </row>
    <row r="474" spans="1:14" ht="12.2" customHeight="1" x14ac:dyDescent="0.2">
      <c r="A474" s="71" t="s">
        <v>613</v>
      </c>
      <c r="B474" s="22">
        <v>19</v>
      </c>
      <c r="C474" s="31">
        <v>6</v>
      </c>
      <c r="D474" s="2" t="s">
        <v>432</v>
      </c>
      <c r="E474" s="31"/>
      <c r="F474" s="18">
        <v>58295</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33339995.539999995</v>
      </c>
      <c r="G475" s="19">
        <f>SUM(G473:G474)</f>
        <v>1065038.1099999999</v>
      </c>
      <c r="H475" s="19">
        <f>SUM(H473:H474)</f>
        <v>3778749.99</v>
      </c>
      <c r="I475" s="19">
        <f>SUM(I473:I474)</f>
        <v>662190.67000000004</v>
      </c>
      <c r="J475" s="19">
        <f>SUM(J473:J474)</f>
        <v>124063.17</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1141938.0000000037</v>
      </c>
      <c r="G477" s="19">
        <f>(G466+G471)- G475</f>
        <v>680805.03000000026</v>
      </c>
      <c r="H477" s="19">
        <f>(H466+H471)- H475</f>
        <v>0</v>
      </c>
      <c r="I477" s="19">
        <f>(I466+I471)- I475</f>
        <v>1067014</v>
      </c>
      <c r="J477" s="19">
        <f>(J466+J471)- J475</f>
        <v>655639.01</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1812</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6"/>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6"/>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6"/>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F199+F278-F532</f>
        <v>1614152.47</v>
      </c>
      <c r="G522" s="18">
        <f t="shared" ref="G522:K522" si="37">G199+G278-G532</f>
        <v>1400499.7599999998</v>
      </c>
      <c r="H522" s="18">
        <f t="shared" si="37"/>
        <v>1837781.94</v>
      </c>
      <c r="I522" s="18">
        <f t="shared" si="37"/>
        <v>48668.71</v>
      </c>
      <c r="J522" s="18">
        <f t="shared" si="37"/>
        <v>5331.37</v>
      </c>
      <c r="K522" s="18">
        <f t="shared" si="37"/>
        <v>0</v>
      </c>
      <c r="L522" s="69">
        <f>SUM(F522:K522)</f>
        <v>4906434.25</v>
      </c>
      <c r="N522" s="131"/>
    </row>
    <row r="523" spans="1:14" ht="12.2" customHeight="1" x14ac:dyDescent="0.2">
      <c r="A523" s="21" t="s">
        <v>634</v>
      </c>
      <c r="B523" s="22">
        <v>21</v>
      </c>
      <c r="C523" s="22">
        <v>2</v>
      </c>
      <c r="D523" s="2" t="s">
        <v>432</v>
      </c>
      <c r="E523" s="22"/>
      <c r="F523" s="18">
        <f>F217+F297-F533</f>
        <v>383954.57</v>
      </c>
      <c r="G523" s="18">
        <f t="shared" ref="G523:K523" si="38">G217+G297-G533</f>
        <v>263561.19999999995</v>
      </c>
      <c r="H523" s="18">
        <f t="shared" si="38"/>
        <v>529817.69000000006</v>
      </c>
      <c r="I523" s="18">
        <f t="shared" si="38"/>
        <v>15296.94</v>
      </c>
      <c r="J523" s="18">
        <f t="shared" si="38"/>
        <v>1504</v>
      </c>
      <c r="K523" s="18">
        <f t="shared" si="38"/>
        <v>202.92</v>
      </c>
      <c r="L523" s="69">
        <f>SUM(F523:K523)</f>
        <v>1194337.3199999998</v>
      </c>
      <c r="N523" s="131"/>
    </row>
    <row r="524" spans="1:14" ht="12.2" customHeight="1" thickBot="1" x14ac:dyDescent="0.25">
      <c r="A524" s="21" t="s">
        <v>635</v>
      </c>
      <c r="B524" s="22">
        <v>21</v>
      </c>
      <c r="C524" s="22">
        <v>3</v>
      </c>
      <c r="D524" s="2" t="s">
        <v>432</v>
      </c>
      <c r="E524" s="22"/>
      <c r="F524" s="18">
        <f>F235+F316-F534</f>
        <v>666169.8899999999</v>
      </c>
      <c r="G524" s="18">
        <f t="shared" ref="G524:K524" si="39">G235+G316-G534</f>
        <v>457284.69</v>
      </c>
      <c r="H524" s="18">
        <f t="shared" si="39"/>
        <v>919245.71000000008</v>
      </c>
      <c r="I524" s="18">
        <f t="shared" si="39"/>
        <v>26540.519999999997</v>
      </c>
      <c r="J524" s="18">
        <f t="shared" si="39"/>
        <v>2609.4799999999996</v>
      </c>
      <c r="K524" s="18">
        <f t="shared" si="39"/>
        <v>352.08</v>
      </c>
      <c r="L524" s="69">
        <f>SUM(F524:K524)</f>
        <v>2072202.37</v>
      </c>
      <c r="N524" s="131"/>
    </row>
    <row r="525" spans="1:14" ht="12.2" customHeight="1" thickTop="1" x14ac:dyDescent="0.2">
      <c r="A525" s="97" t="s">
        <v>63</v>
      </c>
      <c r="B525" s="41">
        <v>21</v>
      </c>
      <c r="C525" s="41">
        <v>4</v>
      </c>
      <c r="D525" s="115" t="s">
        <v>432</v>
      </c>
      <c r="E525" s="41"/>
      <c r="F525" s="81">
        <f>SUM(F522:F524)</f>
        <v>2664276.9299999997</v>
      </c>
      <c r="G525" s="81">
        <f t="shared" ref="G525:L525" si="40">SUM(G522:G524)</f>
        <v>2121345.65</v>
      </c>
      <c r="H525" s="81">
        <f t="shared" si="40"/>
        <v>3286845.34</v>
      </c>
      <c r="I525" s="81">
        <f t="shared" si="40"/>
        <v>90506.17</v>
      </c>
      <c r="J525" s="81">
        <f t="shared" si="40"/>
        <v>9444.8499999999985</v>
      </c>
      <c r="K525" s="81">
        <f t="shared" si="40"/>
        <v>555</v>
      </c>
      <c r="L525" s="70">
        <f t="shared" si="40"/>
        <v>8172973.9400000004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F203+F282</f>
        <v>886747.28999999992</v>
      </c>
      <c r="G527" s="18">
        <f t="shared" ref="G527:K527" si="41">G203+G282</f>
        <v>523382.83</v>
      </c>
      <c r="H527" s="18">
        <f t="shared" si="41"/>
        <v>2321.4499999999998</v>
      </c>
      <c r="I527" s="18">
        <f t="shared" si="41"/>
        <v>25470.880000000001</v>
      </c>
      <c r="J527" s="18">
        <f t="shared" si="41"/>
        <v>0</v>
      </c>
      <c r="K527" s="18">
        <f t="shared" si="41"/>
        <v>13959.53</v>
      </c>
      <c r="L527" s="69">
        <f>SUM(F527:K527)</f>
        <v>1451881.9799999997</v>
      </c>
      <c r="M527" s="8"/>
      <c r="N527" s="165"/>
    </row>
    <row r="528" spans="1:14" s="3" customFormat="1" ht="12.2" customHeight="1" x14ac:dyDescent="0.15">
      <c r="A528" s="21" t="s">
        <v>634</v>
      </c>
      <c r="B528" s="22">
        <v>21</v>
      </c>
      <c r="C528" s="22">
        <v>6</v>
      </c>
      <c r="D528" s="2" t="s">
        <v>432</v>
      </c>
      <c r="E528" s="22"/>
      <c r="F528" s="18">
        <f>F221+F301</f>
        <v>247903.58000000002</v>
      </c>
      <c r="G528" s="18">
        <f t="shared" ref="G528:K528" si="42">G221+G301</f>
        <v>137872.64000000001</v>
      </c>
      <c r="H528" s="18">
        <f t="shared" si="42"/>
        <v>1528.73</v>
      </c>
      <c r="I528" s="18">
        <f t="shared" si="42"/>
        <v>10521.619999999999</v>
      </c>
      <c r="J528" s="18">
        <f t="shared" si="42"/>
        <v>1255.1600000000001</v>
      </c>
      <c r="K528" s="18">
        <f t="shared" si="42"/>
        <v>6186.37</v>
      </c>
      <c r="L528" s="69">
        <f>SUM(F528:K528)</f>
        <v>405268.1</v>
      </c>
      <c r="M528" s="8"/>
      <c r="N528" s="165"/>
    </row>
    <row r="529" spans="1:14" s="3" customFormat="1" ht="12.2" customHeight="1" thickBot="1" x14ac:dyDescent="0.2">
      <c r="A529" s="21" t="s">
        <v>635</v>
      </c>
      <c r="B529" s="22">
        <v>21</v>
      </c>
      <c r="C529" s="22">
        <v>7</v>
      </c>
      <c r="D529" s="2" t="s">
        <v>432</v>
      </c>
      <c r="E529" s="22"/>
      <c r="F529" s="18">
        <f>F239+F320</f>
        <v>430117.64</v>
      </c>
      <c r="G529" s="18">
        <f t="shared" ref="G529:K529" si="43">G239+G320</f>
        <v>239211.61000000002</v>
      </c>
      <c r="H529" s="18">
        <f t="shared" si="43"/>
        <v>2652.3799999999997</v>
      </c>
      <c r="I529" s="18">
        <f t="shared" si="43"/>
        <v>18505.25</v>
      </c>
      <c r="J529" s="18">
        <f t="shared" si="43"/>
        <v>2177.7199999999998</v>
      </c>
      <c r="K529" s="18">
        <f t="shared" si="43"/>
        <v>10733.49</v>
      </c>
      <c r="L529" s="69">
        <f>SUM(F529:K529)</f>
        <v>703398.09</v>
      </c>
      <c r="M529" s="8"/>
      <c r="N529" s="165"/>
    </row>
    <row r="530" spans="1:14" s="3" customFormat="1" ht="12.2" customHeight="1" thickTop="1" x14ac:dyDescent="0.15">
      <c r="A530" s="97" t="s">
        <v>65</v>
      </c>
      <c r="B530" s="41">
        <v>21</v>
      </c>
      <c r="C530" s="41">
        <v>8</v>
      </c>
      <c r="D530" s="115" t="s">
        <v>432</v>
      </c>
      <c r="E530" s="41"/>
      <c r="F530" s="70">
        <f>SUM(F527:F529)</f>
        <v>1564768.5099999998</v>
      </c>
      <c r="G530" s="70">
        <f t="shared" ref="G530:L530" si="44">SUM(G527:G529)</f>
        <v>900467.08</v>
      </c>
      <c r="H530" s="70">
        <f t="shared" si="44"/>
        <v>6502.5599999999995</v>
      </c>
      <c r="I530" s="70">
        <f t="shared" si="44"/>
        <v>54497.75</v>
      </c>
      <c r="J530" s="70">
        <f t="shared" si="44"/>
        <v>3432.88</v>
      </c>
      <c r="K530" s="70">
        <f t="shared" si="44"/>
        <v>30879.39</v>
      </c>
      <c r="L530" s="70">
        <f t="shared" si="44"/>
        <v>2560548.1699999995</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86895.81</v>
      </c>
      <c r="G532" s="18">
        <v>46529.96</v>
      </c>
      <c r="H532" s="18">
        <v>2593.35</v>
      </c>
      <c r="I532" s="18">
        <v>47.54</v>
      </c>
      <c r="J532" s="18"/>
      <c r="K532" s="18">
        <v>674.47</v>
      </c>
      <c r="L532" s="69">
        <f>SUM(F532:K532)</f>
        <v>136741.13</v>
      </c>
      <c r="M532" s="8"/>
      <c r="N532" s="165"/>
    </row>
    <row r="533" spans="1:14" s="3" customFormat="1" ht="12.2" customHeight="1" x14ac:dyDescent="0.15">
      <c r="A533" s="21" t="s">
        <v>634</v>
      </c>
      <c r="B533" s="22">
        <v>21</v>
      </c>
      <c r="C533" s="22">
        <v>10</v>
      </c>
      <c r="D533" s="2" t="s">
        <v>432</v>
      </c>
      <c r="E533" s="22"/>
      <c r="F533" s="18">
        <v>24991.26</v>
      </c>
      <c r="G533" s="18">
        <v>13382.03</v>
      </c>
      <c r="H533" s="18">
        <v>745.85</v>
      </c>
      <c r="I533" s="18">
        <v>13.67</v>
      </c>
      <c r="J533" s="18"/>
      <c r="K533" s="18">
        <v>193.98</v>
      </c>
      <c r="L533" s="69">
        <f>SUM(F533:K533)</f>
        <v>39326.79</v>
      </c>
      <c r="M533" s="8"/>
      <c r="N533" s="165"/>
    </row>
    <row r="534" spans="1:14" s="3" customFormat="1" ht="12.2" customHeight="1" thickBot="1" x14ac:dyDescent="0.2">
      <c r="A534" s="21" t="s">
        <v>635</v>
      </c>
      <c r="B534" s="22">
        <v>21</v>
      </c>
      <c r="C534" s="22">
        <v>11</v>
      </c>
      <c r="D534" s="2" t="s">
        <v>432</v>
      </c>
      <c r="E534" s="22"/>
      <c r="F534" s="18">
        <v>43360.4</v>
      </c>
      <c r="G534" s="18">
        <v>23218.12</v>
      </c>
      <c r="H534" s="18">
        <v>1294.07</v>
      </c>
      <c r="I534" s="18">
        <v>23.72</v>
      </c>
      <c r="J534" s="18"/>
      <c r="K534" s="18">
        <v>336.55</v>
      </c>
      <c r="L534" s="69">
        <f>SUM(F534:K534)</f>
        <v>68232.860000000015</v>
      </c>
      <c r="M534" s="8"/>
      <c r="N534" s="165"/>
    </row>
    <row r="535" spans="1:14" s="3" customFormat="1" ht="12.2" customHeight="1" thickTop="1" x14ac:dyDescent="0.15">
      <c r="A535" s="97" t="s">
        <v>67</v>
      </c>
      <c r="B535" s="41">
        <v>21</v>
      </c>
      <c r="C535" s="41">
        <v>12</v>
      </c>
      <c r="D535" s="115" t="s">
        <v>432</v>
      </c>
      <c r="E535" s="41"/>
      <c r="F535" s="70">
        <f>SUM(F532:F534)</f>
        <v>155247.47</v>
      </c>
      <c r="G535" s="70">
        <f t="shared" ref="G535:L535" si="45">SUM(G532:G534)</f>
        <v>83130.11</v>
      </c>
      <c r="H535" s="70">
        <f t="shared" si="45"/>
        <v>4633.2699999999995</v>
      </c>
      <c r="I535" s="70">
        <f t="shared" si="45"/>
        <v>84.93</v>
      </c>
      <c r="J535" s="70">
        <f t="shared" si="45"/>
        <v>0</v>
      </c>
      <c r="K535" s="70">
        <f t="shared" si="45"/>
        <v>1205</v>
      </c>
      <c r="L535" s="70">
        <f t="shared" si="45"/>
        <v>244300.78000000003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6">SUM(G537:G539)</f>
        <v>0</v>
      </c>
      <c r="H540" s="70">
        <f t="shared" si="46"/>
        <v>0</v>
      </c>
      <c r="I540" s="70">
        <f t="shared" si="46"/>
        <v>0</v>
      </c>
      <c r="J540" s="70">
        <f t="shared" si="46"/>
        <v>0</v>
      </c>
      <c r="K540" s="70">
        <f t="shared" si="46"/>
        <v>0</v>
      </c>
      <c r="L540" s="70">
        <f t="shared" si="46"/>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21041.38</v>
      </c>
      <c r="G542" s="18">
        <v>1621.98</v>
      </c>
      <c r="H542" s="18">
        <v>264122.74</v>
      </c>
      <c r="I542" s="18">
        <v>4260.1499999999996</v>
      </c>
      <c r="J542" s="18"/>
      <c r="K542" s="18"/>
      <c r="L542" s="69">
        <f>SUM(F542:K542)</f>
        <v>291046.25</v>
      </c>
      <c r="M542" s="8"/>
      <c r="N542" s="165"/>
    </row>
    <row r="543" spans="1:14" s="3" customFormat="1" ht="12.2" customHeight="1" x14ac:dyDescent="0.15">
      <c r="A543" s="21" t="s">
        <v>634</v>
      </c>
      <c r="B543" s="22">
        <v>21</v>
      </c>
      <c r="C543" s="22">
        <v>18</v>
      </c>
      <c r="D543" s="2" t="s">
        <v>432</v>
      </c>
      <c r="E543" s="22"/>
      <c r="F543" s="18">
        <v>6051.51</v>
      </c>
      <c r="G543" s="18">
        <v>466.48</v>
      </c>
      <c r="H543" s="18">
        <v>75961.77</v>
      </c>
      <c r="I543" s="18">
        <v>1225.22</v>
      </c>
      <c r="J543" s="18"/>
      <c r="K543" s="18"/>
      <c r="L543" s="69">
        <f>SUM(F543:K543)</f>
        <v>83704.98000000001</v>
      </c>
      <c r="M543" s="8"/>
      <c r="N543" s="165"/>
    </row>
    <row r="544" spans="1:14" s="3" customFormat="1" ht="12.2" customHeight="1" thickBot="1" x14ac:dyDescent="0.2">
      <c r="A544" s="21" t="s">
        <v>635</v>
      </c>
      <c r="B544" s="22">
        <v>21</v>
      </c>
      <c r="C544" s="22">
        <v>19</v>
      </c>
      <c r="D544" s="2" t="s">
        <v>432</v>
      </c>
      <c r="E544" s="22"/>
      <c r="F544" s="18">
        <v>10499.5</v>
      </c>
      <c r="G544" s="18">
        <v>809.36</v>
      </c>
      <c r="H544" s="18">
        <v>131795.39000000001</v>
      </c>
      <c r="I544" s="18">
        <v>2125.79</v>
      </c>
      <c r="J544" s="18"/>
      <c r="K544" s="18"/>
      <c r="L544" s="69">
        <f>SUM(F544:K544)</f>
        <v>145230.04</v>
      </c>
      <c r="M544" s="8"/>
      <c r="N544" s="165"/>
    </row>
    <row r="545" spans="1:14" s="3" customFormat="1" ht="12.2" customHeight="1" thickTop="1" thickBot="1" x14ac:dyDescent="0.2">
      <c r="A545" s="93" t="s">
        <v>71</v>
      </c>
      <c r="B545" s="63">
        <v>21</v>
      </c>
      <c r="C545" s="63">
        <v>20</v>
      </c>
      <c r="D545" s="140" t="s">
        <v>432</v>
      </c>
      <c r="E545" s="63"/>
      <c r="F545" s="141">
        <f>SUM(F542:F544)</f>
        <v>37592.39</v>
      </c>
      <c r="G545" s="141">
        <f t="shared" ref="G545:L545" si="47">SUM(G542:G544)</f>
        <v>2897.82</v>
      </c>
      <c r="H545" s="141">
        <f t="shared" si="47"/>
        <v>471879.9</v>
      </c>
      <c r="I545" s="141">
        <f t="shared" si="47"/>
        <v>7611.16</v>
      </c>
      <c r="J545" s="141">
        <f t="shared" si="47"/>
        <v>0</v>
      </c>
      <c r="K545" s="141">
        <f t="shared" si="47"/>
        <v>0</v>
      </c>
      <c r="L545" s="141">
        <f t="shared" si="47"/>
        <v>519981.27</v>
      </c>
      <c r="M545" s="8"/>
      <c r="N545" s="165"/>
    </row>
    <row r="546" spans="1:14" s="3" customFormat="1" ht="12.2" customHeight="1" thickTop="1" x14ac:dyDescent="0.15">
      <c r="A546" s="75" t="s">
        <v>72</v>
      </c>
      <c r="B546" s="41">
        <v>21</v>
      </c>
      <c r="C546" s="41">
        <v>21</v>
      </c>
      <c r="D546" s="115" t="s">
        <v>432</v>
      </c>
      <c r="E546" s="41"/>
      <c r="F546" s="70">
        <f>F525+F530+F535+F540+F545</f>
        <v>4421885.2999999989</v>
      </c>
      <c r="G546" s="70">
        <f t="shared" ref="G546:L546" si="48">G525+G530+G535+G540+G545</f>
        <v>3107840.6599999997</v>
      </c>
      <c r="H546" s="70">
        <f t="shared" si="48"/>
        <v>3769861.07</v>
      </c>
      <c r="I546" s="70">
        <f t="shared" si="48"/>
        <v>152700.00999999998</v>
      </c>
      <c r="J546" s="70">
        <f t="shared" si="48"/>
        <v>12877.73</v>
      </c>
      <c r="K546" s="70">
        <f t="shared" si="48"/>
        <v>32639.39</v>
      </c>
      <c r="L546" s="70">
        <f t="shared" si="48"/>
        <v>11497804.159999998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4906434.25</v>
      </c>
      <c r="G550" s="69">
        <f>L527</f>
        <v>1451881.9799999997</v>
      </c>
      <c r="H550" s="69">
        <f>L532</f>
        <v>136741.13</v>
      </c>
      <c r="I550" s="69">
        <f>L537</f>
        <v>0</v>
      </c>
      <c r="J550" s="69">
        <f>L542</f>
        <v>291046.25</v>
      </c>
      <c r="K550" s="69">
        <f>SUM(F550:J550)</f>
        <v>6786103.6099999994</v>
      </c>
      <c r="L550" s="23" t="s">
        <v>288</v>
      </c>
      <c r="M550" s="8"/>
      <c r="N550" s="165"/>
    </row>
    <row r="551" spans="1:14" s="3" customFormat="1" ht="12.2" customHeight="1" x14ac:dyDescent="0.15">
      <c r="A551" s="21" t="s">
        <v>634</v>
      </c>
      <c r="B551" s="22">
        <v>21</v>
      </c>
      <c r="C551" s="22">
        <v>23</v>
      </c>
      <c r="D551" s="2" t="s">
        <v>432</v>
      </c>
      <c r="E551" s="22"/>
      <c r="F551" s="69">
        <f>L523</f>
        <v>1194337.3199999998</v>
      </c>
      <c r="G551" s="69">
        <f>L528</f>
        <v>405268.1</v>
      </c>
      <c r="H551" s="69">
        <f>L533</f>
        <v>39326.79</v>
      </c>
      <c r="I551" s="69">
        <f>L538</f>
        <v>0</v>
      </c>
      <c r="J551" s="69">
        <f>L543</f>
        <v>83704.98000000001</v>
      </c>
      <c r="K551" s="69">
        <f>SUM(F551:J551)</f>
        <v>1722637.19</v>
      </c>
      <c r="L551" s="23" t="s">
        <v>288</v>
      </c>
      <c r="M551" s="8"/>
      <c r="N551" s="165"/>
    </row>
    <row r="552" spans="1:14" s="3" customFormat="1" ht="12.2" customHeight="1" thickBot="1" x14ac:dyDescent="0.2">
      <c r="A552" s="21" t="s">
        <v>635</v>
      </c>
      <c r="B552" s="22">
        <v>21</v>
      </c>
      <c r="C552" s="22">
        <v>24</v>
      </c>
      <c r="D552" s="2" t="s">
        <v>432</v>
      </c>
      <c r="E552" s="22"/>
      <c r="F552" s="69">
        <f>L524</f>
        <v>2072202.37</v>
      </c>
      <c r="G552" s="69">
        <f>L529</f>
        <v>703398.09</v>
      </c>
      <c r="H552" s="69">
        <f>L534</f>
        <v>68232.860000000015</v>
      </c>
      <c r="I552" s="69">
        <f>L539</f>
        <v>0</v>
      </c>
      <c r="J552" s="69">
        <f>L544</f>
        <v>145230.04</v>
      </c>
      <c r="K552" s="69">
        <f>SUM(F552:J552)</f>
        <v>2989063.36</v>
      </c>
      <c r="L552" s="23" t="s">
        <v>288</v>
      </c>
      <c r="M552" s="8"/>
      <c r="N552" s="165"/>
    </row>
    <row r="553" spans="1:14" s="3" customFormat="1" ht="12.2" customHeight="1" thickTop="1" x14ac:dyDescent="0.15">
      <c r="A553" s="126" t="s">
        <v>340</v>
      </c>
      <c r="B553" s="41">
        <v>21</v>
      </c>
      <c r="C553" s="41">
        <v>25</v>
      </c>
      <c r="D553" s="36" t="s">
        <v>432</v>
      </c>
      <c r="E553" s="41"/>
      <c r="F553" s="70">
        <f t="shared" ref="F553:K553" si="49">SUM(F550:F552)</f>
        <v>8172973.9400000004</v>
      </c>
      <c r="G553" s="70">
        <f t="shared" si="49"/>
        <v>2560548.1699999995</v>
      </c>
      <c r="H553" s="70">
        <f t="shared" si="49"/>
        <v>244300.78000000003</v>
      </c>
      <c r="I553" s="70">
        <f t="shared" si="49"/>
        <v>0</v>
      </c>
      <c r="J553" s="70">
        <f t="shared" si="49"/>
        <v>519981.27</v>
      </c>
      <c r="K553" s="70">
        <f t="shared" si="49"/>
        <v>11497804.159999998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50">SUM(F558:F560)</f>
        <v>0</v>
      </c>
      <c r="G561" s="81">
        <f t="shared" si="50"/>
        <v>0</v>
      </c>
      <c r="H561" s="81">
        <f t="shared" si="50"/>
        <v>0</v>
      </c>
      <c r="I561" s="81">
        <f t="shared" si="50"/>
        <v>0</v>
      </c>
      <c r="J561" s="81">
        <f t="shared" si="50"/>
        <v>0</v>
      </c>
      <c r="K561" s="81">
        <f t="shared" si="50"/>
        <v>0</v>
      </c>
      <c r="L561" s="70">
        <f t="shared" si="50"/>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51">SUM(F563:F565)</f>
        <v>0</v>
      </c>
      <c r="G566" s="70">
        <f t="shared" si="51"/>
        <v>0</v>
      </c>
      <c r="H566" s="70">
        <f t="shared" si="51"/>
        <v>0</v>
      </c>
      <c r="I566" s="70">
        <f t="shared" si="51"/>
        <v>0</v>
      </c>
      <c r="J566" s="70">
        <f t="shared" si="51"/>
        <v>0</v>
      </c>
      <c r="K566" s="70">
        <f t="shared" si="51"/>
        <v>0</v>
      </c>
      <c r="L566" s="70">
        <f t="shared" si="51"/>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52">SUM(G568:G570)</f>
        <v>0</v>
      </c>
      <c r="H571" s="141">
        <f t="shared" si="52"/>
        <v>0</v>
      </c>
      <c r="I571" s="141">
        <f t="shared" si="52"/>
        <v>0</v>
      </c>
      <c r="J571" s="141">
        <f t="shared" si="52"/>
        <v>0</v>
      </c>
      <c r="K571" s="141">
        <f t="shared" si="52"/>
        <v>0</v>
      </c>
      <c r="L571" s="141">
        <f t="shared" si="52"/>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53">G561+G566+G571</f>
        <v>0</v>
      </c>
      <c r="H572" s="70">
        <f t="shared" si="53"/>
        <v>0</v>
      </c>
      <c r="I572" s="70">
        <f t="shared" si="53"/>
        <v>0</v>
      </c>
      <c r="J572" s="70">
        <f t="shared" si="53"/>
        <v>0</v>
      </c>
      <c r="K572" s="70">
        <f t="shared" si="53"/>
        <v>0</v>
      </c>
      <c r="L572" s="70">
        <f t="shared" si="53"/>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1436</v>
      </c>
      <c r="I576" s="69">
        <f>SUM(F576:H576)</f>
        <v>1436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54">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54"/>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54"/>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12693.52</v>
      </c>
      <c r="G580" s="18">
        <v>3650.66</v>
      </c>
      <c r="H580" s="18">
        <v>6333.98</v>
      </c>
      <c r="I580" s="69">
        <f t="shared" si="54"/>
        <v>22678.16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54"/>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54"/>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202668.6</v>
      </c>
      <c r="G583" s="18">
        <v>503203.82</v>
      </c>
      <c r="H583" s="18">
        <v>1263523.54</v>
      </c>
      <c r="I583" s="69">
        <f t="shared" si="54"/>
        <v>1969395.96</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54"/>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64411.53</v>
      </c>
      <c r="I585" s="69">
        <f t="shared" si="54"/>
        <v>64411.53</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54"/>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54"/>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54"/>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760258.89+1261.49</f>
        <v>761520.38</v>
      </c>
      <c r="I592" s="18">
        <f>244485.81+362.81</f>
        <v>244848.62</v>
      </c>
      <c r="J592" s="18">
        <f>423353.43+629.48</f>
        <v>423982.91</v>
      </c>
      <c r="K592" s="80">
        <f t="shared" ref="K592:K598" si="55">SUM(H592:J592)</f>
        <v>1430351.91</v>
      </c>
      <c r="L592" s="23" t="s">
        <v>288</v>
      </c>
      <c r="M592" s="8"/>
      <c r="N592" s="165"/>
    </row>
    <row r="593" spans="1:14" s="3" customFormat="1" ht="12.2" customHeight="1" x14ac:dyDescent="0.15">
      <c r="A593" s="3" t="s">
        <v>638</v>
      </c>
      <c r="B593" s="22">
        <v>23</v>
      </c>
      <c r="C593" s="22">
        <v>2</v>
      </c>
      <c r="D593" s="2" t="s">
        <v>432</v>
      </c>
      <c r="E593" s="22"/>
      <c r="F593" s="78">
        <v>2722</v>
      </c>
      <c r="G593" s="79" t="s">
        <v>97</v>
      </c>
      <c r="H593" s="18">
        <v>291046.25</v>
      </c>
      <c r="I593" s="18">
        <v>83704.98</v>
      </c>
      <c r="J593" s="18">
        <v>145230.04</v>
      </c>
      <c r="K593" s="80">
        <f t="shared" si="55"/>
        <v>519981.27</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23990.86</v>
      </c>
      <c r="K594" s="80">
        <f t="shared" si="55"/>
        <v>23990.86</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33059.47</v>
      </c>
      <c r="J595" s="18">
        <v>56290.46</v>
      </c>
      <c r="K595" s="80">
        <f t="shared" si="55"/>
        <v>89349.93</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2340.89</v>
      </c>
      <c r="I596" s="18">
        <v>3205.96</v>
      </c>
      <c r="J596" s="18">
        <v>5458.81</v>
      </c>
      <c r="K596" s="80">
        <f t="shared" si="55"/>
        <v>11005.66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55"/>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4400.7</v>
      </c>
      <c r="I598" s="18">
        <v>1265.6400000000001</v>
      </c>
      <c r="J598" s="18">
        <v>2195.92</v>
      </c>
      <c r="K598" s="80">
        <f t="shared" si="55"/>
        <v>7862.26</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1059308.2199999997</v>
      </c>
      <c r="I599" s="81">
        <f>SUM(I592:I598)</f>
        <v>366084.67</v>
      </c>
      <c r="J599" s="81">
        <f>SUM(J592:J598)</f>
        <v>657149</v>
      </c>
      <c r="K599" s="81">
        <f>SUM(K592:K598)</f>
        <v>2082541.89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260328.8</v>
      </c>
      <c r="I605" s="18">
        <v>99757.51</v>
      </c>
      <c r="J605" s="18">
        <v>171588.88</v>
      </c>
      <c r="K605" s="80">
        <f>SUM(H605:J605)</f>
        <v>531675.18999999994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260328.8</v>
      </c>
      <c r="I606" s="81">
        <f>SUM(I603:I605)</f>
        <v>99757.51</v>
      </c>
      <c r="J606" s="81">
        <f>SUM(J603:J605)</f>
        <v>171588.88</v>
      </c>
      <c r="K606" s="81">
        <f>SUM(K603:K605)</f>
        <v>531675.18999999994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6">SUM(F612:F614)</f>
        <v>0</v>
      </c>
      <c r="G615" s="81">
        <f t="shared" si="56"/>
        <v>0</v>
      </c>
      <c r="H615" s="81">
        <f t="shared" si="56"/>
        <v>0</v>
      </c>
      <c r="I615" s="81">
        <f t="shared" si="56"/>
        <v>0</v>
      </c>
      <c r="J615" s="81">
        <f t="shared" si="56"/>
        <v>0</v>
      </c>
      <c r="K615" s="81">
        <f t="shared" si="56"/>
        <v>0</v>
      </c>
      <c r="L615" s="70">
        <f t="shared" si="56"/>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2822957</v>
      </c>
      <c r="H618" s="80">
        <f>SUM(F52)</f>
        <v>2822957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709921.03</v>
      </c>
      <c r="H619" s="80">
        <f>SUM(G52)</f>
        <v>709921.03</v>
      </c>
      <c r="I619" s="87" t="s">
        <v>875</v>
      </c>
      <c r="J619" s="80">
        <f>G619-H619</f>
        <v>0</v>
      </c>
      <c r="K619" s="80"/>
      <c r="L619" s="80"/>
      <c r="M619" s="8"/>
    </row>
    <row r="620" spans="1:14" s="3" customFormat="1" ht="12.2" customHeight="1" x14ac:dyDescent="0.15">
      <c r="A620" s="74"/>
      <c r="B620" s="22"/>
      <c r="C620" s="22"/>
      <c r="D620" s="22"/>
      <c r="E620" s="22"/>
      <c r="F620" s="87" t="s">
        <v>685</v>
      </c>
      <c r="G620" s="80">
        <f>SUM(H19)</f>
        <v>725874</v>
      </c>
      <c r="H620" s="80">
        <f>SUM(H52)</f>
        <v>725874</v>
      </c>
      <c r="I620" s="87" t="s">
        <v>876</v>
      </c>
      <c r="J620" s="80">
        <f>G620-H620</f>
        <v>0</v>
      </c>
      <c r="K620" s="80"/>
      <c r="L620" s="80"/>
      <c r="M620" s="8"/>
    </row>
    <row r="621" spans="1:14" s="3" customFormat="1" ht="12.2" customHeight="1" x14ac:dyDescent="0.15">
      <c r="A621" s="74"/>
      <c r="B621" s="22"/>
      <c r="C621" s="22"/>
      <c r="D621" s="22"/>
      <c r="E621" s="22"/>
      <c r="F621" s="87" t="s">
        <v>686</v>
      </c>
      <c r="G621" s="80">
        <f>SUM(I19)</f>
        <v>1302323</v>
      </c>
      <c r="H621" s="80">
        <f>SUM(I52)</f>
        <v>1302323</v>
      </c>
      <c r="I621" s="87" t="s">
        <v>877</v>
      </c>
      <c r="J621" s="80">
        <f>G621-H621</f>
        <v>0</v>
      </c>
      <c r="K621" s="80"/>
      <c r="L621" s="80"/>
      <c r="M621" s="8"/>
    </row>
    <row r="622" spans="1:14" s="3" customFormat="1" ht="12.2" customHeight="1" x14ac:dyDescent="0.15">
      <c r="A622" s="74"/>
      <c r="B622" s="22"/>
      <c r="C622" s="22"/>
      <c r="D622" s="22"/>
      <c r="E622" s="22"/>
      <c r="F622" s="87" t="s">
        <v>687</v>
      </c>
      <c r="G622" s="80">
        <f>SUM(J19)</f>
        <v>655639.01</v>
      </c>
      <c r="H622" s="80">
        <f>SUM(J52)</f>
        <v>655639.01</v>
      </c>
      <c r="I622" s="87" t="s">
        <v>878</v>
      </c>
      <c r="J622" s="80">
        <f>G622-H622</f>
        <v>0</v>
      </c>
      <c r="K622" s="80"/>
      <c r="L622" s="80"/>
      <c r="M622" s="8"/>
    </row>
    <row r="623" spans="1:14" s="3" customFormat="1" ht="12.2" customHeight="1" x14ac:dyDescent="0.15">
      <c r="A623" s="74"/>
      <c r="B623" s="22"/>
      <c r="C623" s="22"/>
      <c r="D623" s="22"/>
      <c r="E623" s="22"/>
      <c r="F623" s="87" t="s">
        <v>864</v>
      </c>
      <c r="G623" s="80">
        <f>F51</f>
        <v>1141938</v>
      </c>
      <c r="H623" s="80">
        <f>F477</f>
        <v>1141938.0000000037</v>
      </c>
      <c r="I623" s="87" t="s">
        <v>101</v>
      </c>
      <c r="J623" s="80">
        <f t="shared" ref="J623:J656" si="57">G623-H623</f>
        <v>-3.7252902984619141E-9</v>
      </c>
      <c r="K623" s="80"/>
      <c r="L623" s="80"/>
      <c r="M623" s="8"/>
    </row>
    <row r="624" spans="1:14" s="3" customFormat="1" ht="12.2" customHeight="1" x14ac:dyDescent="0.15">
      <c r="A624" s="74"/>
      <c r="B624" s="22"/>
      <c r="C624" s="85"/>
      <c r="D624" s="85"/>
      <c r="E624" s="85"/>
      <c r="F624" s="85" t="s">
        <v>865</v>
      </c>
      <c r="G624" s="80">
        <f>G51</f>
        <v>680805.03</v>
      </c>
      <c r="H624" s="80">
        <f>G477</f>
        <v>680805.03000000026</v>
      </c>
      <c r="I624" s="87" t="s">
        <v>102</v>
      </c>
      <c r="J624" s="80">
        <f t="shared" si="57"/>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7"/>
        <v>0</v>
      </c>
      <c r="K625" s="80"/>
      <c r="L625" s="80"/>
      <c r="M625" s="8"/>
    </row>
    <row r="626" spans="1:13" s="3" customFormat="1" ht="12.2" customHeight="1" x14ac:dyDescent="0.15">
      <c r="A626" s="74"/>
      <c r="B626" s="22"/>
      <c r="C626" s="22"/>
      <c r="D626" s="22"/>
      <c r="E626" s="22"/>
      <c r="F626" s="86" t="s">
        <v>867</v>
      </c>
      <c r="G626" s="80">
        <f>I51</f>
        <v>1067014</v>
      </c>
      <c r="H626" s="80">
        <f>I477</f>
        <v>1067014</v>
      </c>
      <c r="I626" s="87" t="s">
        <v>104</v>
      </c>
      <c r="J626" s="80">
        <f t="shared" si="57"/>
        <v>0</v>
      </c>
      <c r="K626" s="80"/>
      <c r="L626" s="80"/>
      <c r="M626" s="8"/>
    </row>
    <row r="627" spans="1:13" s="3" customFormat="1" ht="12.2" customHeight="1" x14ac:dyDescent="0.15">
      <c r="A627" s="21"/>
      <c r="B627" s="22"/>
      <c r="C627" s="22"/>
      <c r="D627" s="22"/>
      <c r="E627" s="22"/>
      <c r="F627" s="86" t="s">
        <v>868</v>
      </c>
      <c r="G627" s="80">
        <f>J51</f>
        <v>655639.01</v>
      </c>
      <c r="H627" s="80">
        <f>J477</f>
        <v>655639.01</v>
      </c>
      <c r="I627" s="87" t="s">
        <v>105</v>
      </c>
      <c r="J627" s="80">
        <f t="shared" si="57"/>
        <v>0</v>
      </c>
      <c r="K627" s="67"/>
      <c r="L627" s="69"/>
      <c r="M627" s="8"/>
    </row>
    <row r="628" spans="1:13" s="3" customFormat="1" ht="12.2" customHeight="1" x14ac:dyDescent="0.15">
      <c r="A628" s="21"/>
      <c r="B628" s="22"/>
      <c r="C628" s="22"/>
      <c r="D628" s="22"/>
      <c r="E628" s="22"/>
      <c r="F628" s="86" t="s">
        <v>658</v>
      </c>
      <c r="G628" s="80">
        <f>F194</f>
        <v>32460499.32</v>
      </c>
      <c r="H628" s="80">
        <f>SUM(F469)</f>
        <v>32460499.32</v>
      </c>
      <c r="I628" s="87" t="s">
        <v>106</v>
      </c>
      <c r="J628" s="80">
        <f>G628-H628</f>
        <v>0</v>
      </c>
      <c r="K628" s="67"/>
      <c r="L628" s="69"/>
      <c r="M628" s="8"/>
    </row>
    <row r="629" spans="1:13" s="3" customFormat="1" ht="12.2" customHeight="1" x14ac:dyDescent="0.15">
      <c r="A629" s="21"/>
      <c r="B629" s="22"/>
      <c r="C629" s="22"/>
      <c r="D629" s="22"/>
      <c r="E629" s="22"/>
      <c r="F629" s="86" t="s">
        <v>659</v>
      </c>
      <c r="G629" s="80">
        <f>G194</f>
        <v>997538.02</v>
      </c>
      <c r="H629" s="80">
        <f>SUM(G469)</f>
        <v>997538.02</v>
      </c>
      <c r="I629" s="87" t="s">
        <v>107</v>
      </c>
      <c r="J629" s="80">
        <f>G629-H629</f>
        <v>0</v>
      </c>
      <c r="K629" s="67"/>
      <c r="L629" s="69"/>
      <c r="M629" s="8"/>
    </row>
    <row r="630" spans="1:13" s="3" customFormat="1" ht="12.2" customHeight="1" x14ac:dyDescent="0.15">
      <c r="A630" s="21"/>
      <c r="B630" s="22"/>
      <c r="C630" s="22"/>
      <c r="D630" s="22"/>
      <c r="E630" s="22"/>
      <c r="F630" s="86" t="s">
        <v>660</v>
      </c>
      <c r="G630" s="80">
        <f>H194</f>
        <v>3778749.99</v>
      </c>
      <c r="H630" s="80">
        <f>SUM(H469)</f>
        <v>3778749.99</v>
      </c>
      <c r="I630" s="87" t="s">
        <v>108</v>
      </c>
      <c r="J630" s="80">
        <f>G630-H630</f>
        <v>0</v>
      </c>
      <c r="K630" s="67"/>
      <c r="L630" s="69"/>
      <c r="M630" s="8"/>
    </row>
    <row r="631" spans="1:13" s="3" customFormat="1" ht="12.2" customHeight="1" x14ac:dyDescent="0.15">
      <c r="A631" s="21"/>
      <c r="B631" s="22"/>
      <c r="C631" s="22"/>
      <c r="D631" s="22"/>
      <c r="E631" s="22"/>
      <c r="F631" s="86" t="s">
        <v>661</v>
      </c>
      <c r="G631" s="80">
        <f>I194</f>
        <v>1193000</v>
      </c>
      <c r="H631" s="80">
        <f>SUM(I469)</f>
        <v>1193000</v>
      </c>
      <c r="I631" s="87" t="s">
        <v>109</v>
      </c>
      <c r="J631" s="80">
        <f>G631-H631</f>
        <v>0</v>
      </c>
      <c r="K631" s="67"/>
      <c r="L631" s="69"/>
      <c r="M631" s="8"/>
    </row>
    <row r="632" spans="1:13" s="3" customFormat="1" ht="12.2" customHeight="1" x14ac:dyDescent="0.15">
      <c r="A632" s="21"/>
      <c r="B632" s="22"/>
      <c r="C632" s="22"/>
      <c r="D632" s="22"/>
      <c r="E632" s="22"/>
      <c r="F632" s="86" t="s">
        <v>662</v>
      </c>
      <c r="G632" s="80">
        <f>J194</f>
        <v>173268.03</v>
      </c>
      <c r="H632" s="80">
        <f>SUM(J469)</f>
        <v>173268.03</v>
      </c>
      <c r="I632" s="87" t="s">
        <v>110</v>
      </c>
      <c r="J632" s="80">
        <f>G632-H632</f>
        <v>0</v>
      </c>
      <c r="K632" s="67"/>
      <c r="L632" s="69"/>
      <c r="M632" s="8"/>
    </row>
    <row r="633" spans="1:13" s="3" customFormat="1" ht="12.2" customHeight="1" x14ac:dyDescent="0.15">
      <c r="A633" s="21"/>
      <c r="B633" s="22"/>
      <c r="C633" s="22"/>
      <c r="D633" s="22"/>
      <c r="E633" s="22"/>
      <c r="F633" s="86" t="s">
        <v>394</v>
      </c>
      <c r="G633" s="80">
        <f>SUM(L272)</f>
        <v>33281700.539999995</v>
      </c>
      <c r="H633" s="80">
        <f>SUM(F473)</f>
        <v>33281700.539999995</v>
      </c>
      <c r="I633" s="87" t="s">
        <v>111</v>
      </c>
      <c r="J633" s="80">
        <f t="shared" si="57"/>
        <v>0</v>
      </c>
      <c r="K633" s="67"/>
      <c r="L633" s="69"/>
      <c r="M633" s="8"/>
    </row>
    <row r="634" spans="1:13" s="3" customFormat="1" ht="12.2" customHeight="1" x14ac:dyDescent="0.15">
      <c r="A634" s="21"/>
      <c r="B634" s="22"/>
      <c r="C634" s="22"/>
      <c r="D634" s="22"/>
      <c r="E634" s="22"/>
      <c r="F634" s="86" t="s">
        <v>395</v>
      </c>
      <c r="G634" s="80">
        <f>SUM(L353)</f>
        <v>3778749.99</v>
      </c>
      <c r="H634" s="80">
        <f>SUM(H473)</f>
        <v>3778749.99</v>
      </c>
      <c r="I634" s="87" t="s">
        <v>112</v>
      </c>
      <c r="J634" s="80">
        <f>G634-H634</f>
        <v>0</v>
      </c>
      <c r="K634" s="67"/>
      <c r="L634" s="69"/>
      <c r="M634" s="8"/>
    </row>
    <row r="635" spans="1:13" s="124" customFormat="1" ht="12.2" customHeight="1" x14ac:dyDescent="0.15">
      <c r="A635" s="21"/>
      <c r="B635" s="22"/>
      <c r="C635" s="22"/>
      <c r="D635" s="22"/>
      <c r="E635" s="22"/>
      <c r="F635" s="99" t="s">
        <v>247</v>
      </c>
      <c r="G635" s="80">
        <f>I363</f>
        <v>377671.55</v>
      </c>
      <c r="H635" s="80">
        <f>I370</f>
        <v>377671.55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1065038.1099999999</v>
      </c>
      <c r="H636" s="80">
        <f>SUM(G473)</f>
        <v>1065038.1099999999</v>
      </c>
      <c r="I636" s="87" t="s">
        <v>114</v>
      </c>
      <c r="J636" s="80">
        <f t="shared" si="57"/>
        <v>0</v>
      </c>
      <c r="K636" s="67"/>
      <c r="L636" s="69"/>
      <c r="M636" s="123"/>
    </row>
    <row r="637" spans="1:13" s="3" customFormat="1" ht="12.2" customHeight="1" x14ac:dyDescent="0.15">
      <c r="A637" s="21"/>
      <c r="B637" s="22"/>
      <c r="C637" s="22"/>
      <c r="D637" s="22"/>
      <c r="E637" s="22"/>
      <c r="F637" s="86" t="s">
        <v>115</v>
      </c>
      <c r="G637" s="80">
        <f>SUM(L383)</f>
        <v>662190.67000000004</v>
      </c>
      <c r="H637" s="80">
        <f>SUM(I473)</f>
        <v>662190.67000000004</v>
      </c>
      <c r="I637" s="87" t="s">
        <v>116</v>
      </c>
      <c r="J637" s="80">
        <f t="shared" si="57"/>
        <v>0</v>
      </c>
      <c r="K637" s="67"/>
      <c r="L637" s="69"/>
      <c r="M637" s="8"/>
    </row>
    <row r="638" spans="1:13" s="3" customFormat="1" ht="12.2" customHeight="1" x14ac:dyDescent="0.15">
      <c r="A638" s="117"/>
      <c r="B638" s="118"/>
      <c r="C638" s="118"/>
      <c r="D638" s="118"/>
      <c r="E638" s="118"/>
      <c r="F638" s="119" t="s">
        <v>477</v>
      </c>
      <c r="G638" s="108">
        <f>SUM(L409)</f>
        <v>173268.03</v>
      </c>
      <c r="H638" s="108">
        <f>SUM(J469)</f>
        <v>173268.03</v>
      </c>
      <c r="I638" s="120" t="s">
        <v>110</v>
      </c>
      <c r="J638" s="108">
        <f t="shared" si="57"/>
        <v>0</v>
      </c>
      <c r="K638" s="121"/>
      <c r="L638" s="122"/>
      <c r="M638" s="8"/>
    </row>
    <row r="639" spans="1:13" s="3" customFormat="1" ht="12.2" customHeight="1" x14ac:dyDescent="0.15">
      <c r="A639" s="117"/>
      <c r="B639" s="118"/>
      <c r="C639" s="118"/>
      <c r="D639" s="118"/>
      <c r="E639" s="118"/>
      <c r="F639" s="119" t="s">
        <v>478</v>
      </c>
      <c r="G639" s="108">
        <f>SUM(L435)</f>
        <v>124063.17</v>
      </c>
      <c r="H639" s="108">
        <f>SUM(J473)</f>
        <v>124063.17</v>
      </c>
      <c r="I639" s="120" t="s">
        <v>117</v>
      </c>
      <c r="J639" s="108">
        <f t="shared" si="57"/>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7"/>
        <v>0</v>
      </c>
      <c r="K640" s="67"/>
      <c r="L640" s="69"/>
      <c r="M640" s="8"/>
    </row>
    <row r="641" spans="1:13" s="3" customFormat="1" ht="12.2" customHeight="1" x14ac:dyDescent="0.15">
      <c r="A641" s="21"/>
      <c r="B641" s="22"/>
      <c r="C641" s="22"/>
      <c r="D641" s="22"/>
      <c r="E641" s="22"/>
      <c r="F641" s="86" t="s">
        <v>119</v>
      </c>
      <c r="G641" s="80">
        <f>SUM(G447)</f>
        <v>655639.01</v>
      </c>
      <c r="H641" s="80">
        <f>SUM(G462)</f>
        <v>655639.01</v>
      </c>
      <c r="I641" s="87" t="s">
        <v>841</v>
      </c>
      <c r="J641" s="80">
        <f t="shared" si="57"/>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7"/>
        <v>0</v>
      </c>
      <c r="K642" s="67"/>
      <c r="L642" s="69"/>
      <c r="M642" s="8"/>
    </row>
    <row r="643" spans="1:13" s="3" customFormat="1" ht="12.2" customHeight="1" x14ac:dyDescent="0.15">
      <c r="A643" s="21"/>
      <c r="B643" s="22"/>
      <c r="C643" s="22"/>
      <c r="D643" s="22"/>
      <c r="E643" s="22"/>
      <c r="F643" s="86" t="s">
        <v>121</v>
      </c>
      <c r="G643" s="80">
        <f>SUM(I447)</f>
        <v>655639.01</v>
      </c>
      <c r="H643" s="80">
        <f>SUM(I462)</f>
        <v>655639.01</v>
      </c>
      <c r="I643" s="87" t="s">
        <v>843</v>
      </c>
      <c r="J643" s="80">
        <f t="shared" si="57"/>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7"/>
        <v>0</v>
      </c>
      <c r="K644" s="67"/>
      <c r="L644" s="69"/>
      <c r="M644" s="8"/>
    </row>
    <row r="645" spans="1:13" s="3" customFormat="1" ht="12.2" customHeight="1" x14ac:dyDescent="0.15">
      <c r="A645" s="21"/>
      <c r="B645" s="22"/>
      <c r="C645" s="22"/>
      <c r="D645" s="22"/>
      <c r="E645" s="22"/>
      <c r="F645" s="86" t="s">
        <v>663</v>
      </c>
      <c r="G645" s="80">
        <f>J96</f>
        <v>19920.03</v>
      </c>
      <c r="H645" s="80">
        <f>H409</f>
        <v>19920.03</v>
      </c>
      <c r="I645" s="87" t="s">
        <v>480</v>
      </c>
      <c r="J645" s="80">
        <f t="shared" si="57"/>
        <v>0</v>
      </c>
      <c r="K645" s="67"/>
      <c r="L645" s="69"/>
      <c r="M645" s="8"/>
    </row>
    <row r="646" spans="1:13" s="3" customFormat="1" ht="12.2" customHeight="1" x14ac:dyDescent="0.15">
      <c r="A646" s="21"/>
      <c r="B646" s="22"/>
      <c r="C646" s="22"/>
      <c r="D646" s="22"/>
      <c r="E646" s="22"/>
      <c r="F646" s="86" t="s">
        <v>664</v>
      </c>
      <c r="G646" s="80">
        <f>J184</f>
        <v>153348</v>
      </c>
      <c r="H646" s="80">
        <f>G409</f>
        <v>153348</v>
      </c>
      <c r="I646" s="87" t="s">
        <v>481</v>
      </c>
      <c r="J646" s="80">
        <f t="shared" si="57"/>
        <v>0</v>
      </c>
      <c r="K646" s="67"/>
      <c r="L646" s="69"/>
      <c r="M646" s="8"/>
    </row>
    <row r="647" spans="1:13" s="3" customFormat="1" ht="12.2" customHeight="1" x14ac:dyDescent="0.15">
      <c r="A647" s="21"/>
      <c r="B647" s="22"/>
      <c r="C647" s="22"/>
      <c r="D647" s="22"/>
      <c r="E647" s="22"/>
      <c r="F647" s="86" t="s">
        <v>662</v>
      </c>
      <c r="G647" s="80">
        <f>J194</f>
        <v>173268.03</v>
      </c>
      <c r="H647" s="80">
        <f>L409</f>
        <v>173268.03</v>
      </c>
      <c r="I647" s="87" t="s">
        <v>477</v>
      </c>
      <c r="J647" s="80">
        <f t="shared" si="57"/>
        <v>0</v>
      </c>
      <c r="K647" s="67"/>
      <c r="L647" s="69"/>
      <c r="M647" s="8"/>
    </row>
    <row r="648" spans="1:13" s="3" customFormat="1" ht="12.2" customHeight="1" x14ac:dyDescent="0.15">
      <c r="A648" s="21"/>
      <c r="B648" s="22"/>
      <c r="C648" s="22"/>
      <c r="D648" s="22"/>
      <c r="E648" s="22"/>
      <c r="F648" s="86" t="s">
        <v>51</v>
      </c>
      <c r="G648" s="80">
        <f>K599</f>
        <v>2082541.89</v>
      </c>
      <c r="H648" s="80">
        <f>L209+L227+L245</f>
        <v>2082541.89</v>
      </c>
      <c r="I648" s="87" t="s">
        <v>396</v>
      </c>
      <c r="J648" s="80">
        <f t="shared" si="57"/>
        <v>0</v>
      </c>
      <c r="K648" s="67"/>
      <c r="L648" s="69"/>
      <c r="M648" s="8"/>
    </row>
    <row r="649" spans="1:13" s="3" customFormat="1" ht="12.2" customHeight="1" x14ac:dyDescent="0.15">
      <c r="A649" s="21"/>
      <c r="B649" s="22"/>
      <c r="C649" s="22"/>
      <c r="D649" s="22"/>
      <c r="E649" s="22"/>
      <c r="F649" s="86" t="s">
        <v>52</v>
      </c>
      <c r="G649" s="80">
        <f>K606</f>
        <v>531675.18999999994</v>
      </c>
      <c r="H649" s="80">
        <f>(J258+J339)-(J256+J337)</f>
        <v>531675.18999999994</v>
      </c>
      <c r="I649" s="87" t="s">
        <v>699</v>
      </c>
      <c r="J649" s="80">
        <f t="shared" si="57"/>
        <v>0</v>
      </c>
      <c r="K649" s="67"/>
      <c r="L649" s="69"/>
      <c r="M649" s="8"/>
    </row>
    <row r="650" spans="1:13" s="3" customFormat="1" ht="12.2" customHeight="1" x14ac:dyDescent="0.15">
      <c r="A650" s="21"/>
      <c r="B650" s="22"/>
      <c r="C650" s="22"/>
      <c r="D650" s="22"/>
      <c r="E650" s="22"/>
      <c r="F650" s="86" t="s">
        <v>387</v>
      </c>
      <c r="G650" s="80">
        <f>L209</f>
        <v>1059308.22</v>
      </c>
      <c r="H650" s="80">
        <f>H599</f>
        <v>1059308.2199999997</v>
      </c>
      <c r="I650" s="87" t="s">
        <v>388</v>
      </c>
      <c r="J650" s="80">
        <f t="shared" si="57"/>
        <v>0</v>
      </c>
      <c r="K650" s="67"/>
      <c r="L650" s="69"/>
      <c r="M650" s="8"/>
    </row>
    <row r="651" spans="1:13" s="3" customFormat="1" ht="12.2" customHeight="1" x14ac:dyDescent="0.15">
      <c r="A651" s="21"/>
      <c r="B651" s="22"/>
      <c r="C651" s="22"/>
      <c r="D651" s="22"/>
      <c r="E651" s="22"/>
      <c r="F651" s="86" t="s">
        <v>392</v>
      </c>
      <c r="G651" s="80">
        <f>L227</f>
        <v>366084.67</v>
      </c>
      <c r="H651" s="80">
        <f>I599</f>
        <v>366084.67</v>
      </c>
      <c r="I651" s="87" t="s">
        <v>389</v>
      </c>
      <c r="J651" s="80">
        <f t="shared" si="57"/>
        <v>0</v>
      </c>
      <c r="K651" s="67"/>
      <c r="L651" s="69"/>
      <c r="M651" s="8"/>
    </row>
    <row r="652" spans="1:13" s="3" customFormat="1" ht="12.2" customHeight="1" x14ac:dyDescent="0.15">
      <c r="A652" s="21"/>
      <c r="B652" s="22"/>
      <c r="C652" s="22"/>
      <c r="D652" s="22"/>
      <c r="E652" s="22"/>
      <c r="F652" s="86" t="s">
        <v>393</v>
      </c>
      <c r="G652" s="80">
        <f>L245</f>
        <v>657149</v>
      </c>
      <c r="H652" s="80">
        <f>J599</f>
        <v>657149</v>
      </c>
      <c r="I652" s="87" t="s">
        <v>390</v>
      </c>
      <c r="J652" s="80">
        <f t="shared" si="57"/>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7"/>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7"/>
        <v>0</v>
      </c>
      <c r="K654" s="67"/>
      <c r="L654" s="69"/>
      <c r="M654" s="8"/>
    </row>
    <row r="655" spans="1:13" s="3" customFormat="1" ht="12.2" customHeight="1" x14ac:dyDescent="0.15">
      <c r="A655" s="21"/>
      <c r="B655" s="22"/>
      <c r="C655" s="22"/>
      <c r="D655" s="22"/>
      <c r="E655" s="22"/>
      <c r="F655" s="86" t="s">
        <v>667</v>
      </c>
      <c r="G655" s="80">
        <f>I180+I182</f>
        <v>1193000</v>
      </c>
      <c r="H655" s="80">
        <f>K266+K347</f>
        <v>1193000</v>
      </c>
      <c r="I655" s="87" t="s">
        <v>399</v>
      </c>
      <c r="J655" s="80">
        <f t="shared" si="57"/>
        <v>0</v>
      </c>
      <c r="K655" s="67"/>
      <c r="L655" s="69"/>
      <c r="M655" s="8"/>
    </row>
    <row r="656" spans="1:13" s="3" customFormat="1" ht="12.2" customHeight="1" x14ac:dyDescent="0.15">
      <c r="A656" s="21"/>
      <c r="B656" s="22"/>
      <c r="C656" s="22"/>
      <c r="D656" s="22"/>
      <c r="E656" s="22"/>
      <c r="F656" s="86" t="s">
        <v>668</v>
      </c>
      <c r="G656" s="80">
        <f>J180+J182</f>
        <v>153348</v>
      </c>
      <c r="H656" s="80">
        <f>K267+K348</f>
        <v>153348</v>
      </c>
      <c r="I656" s="87" t="s">
        <v>400</v>
      </c>
      <c r="J656" s="80">
        <f t="shared" si="57"/>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20740141.149999999</v>
      </c>
      <c r="G661" s="13">
        <f>(L230+L310+L360)</f>
        <v>5682446.75</v>
      </c>
      <c r="H661" s="13">
        <f>(L248+L329+L361)</f>
        <v>10028165.74</v>
      </c>
      <c r="I661" s="13">
        <f>SUM(F661:H661)</f>
        <v>36450753.640000001</v>
      </c>
      <c r="J661" s="13"/>
      <c r="K661" s="13"/>
      <c r="L661" s="13"/>
      <c r="M661" s="9"/>
    </row>
    <row r="662" spans="1:13" s="3" customFormat="1" ht="12.2" customHeight="1" x14ac:dyDescent="0.2">
      <c r="A662" s="1" t="s">
        <v>127</v>
      </c>
      <c r="F662" s="13">
        <f>(L359/IF(SUM(L359:L361)=0,1,SUM(L359:L361))*(SUM(G97:G110)))</f>
        <v>251332.28471363825</v>
      </c>
      <c r="G662" s="13">
        <f>(L360/IF(SUM(L359:L361)=0,1,SUM(L359:L361))*(SUM(G97:G110)))</f>
        <v>72283.232628612721</v>
      </c>
      <c r="H662" s="13">
        <f>(L361/IF(SUM(L359:L361)=0,1,SUM(L359:L361))*(SUM(G97:G110)))</f>
        <v>125413.04265774904</v>
      </c>
      <c r="I662" s="13">
        <f>SUM(F662:H662)</f>
        <v>449028.56</v>
      </c>
      <c r="J662"/>
      <c r="K662" s="13"/>
      <c r="L662" s="13"/>
      <c r="M662" s="8"/>
    </row>
    <row r="663" spans="1:13" s="3" customFormat="1" ht="12.2" customHeight="1" x14ac:dyDescent="0.2">
      <c r="A663" s="1" t="s">
        <v>128</v>
      </c>
      <c r="F663" s="13">
        <f>(L209+L288)-(J209+J288)</f>
        <v>1106601.08</v>
      </c>
      <c r="G663" s="13">
        <f>(L227+L307)-(J227+J307)</f>
        <v>366084.67</v>
      </c>
      <c r="H663" s="13">
        <f>(L245+L326)-(J245+J326)</f>
        <v>657149</v>
      </c>
      <c r="I663" s="13">
        <f>SUM(F663:H663)</f>
        <v>2129834.75</v>
      </c>
      <c r="J663"/>
      <c r="K663" s="13"/>
      <c r="L663" s="13"/>
      <c r="M663" s="9"/>
    </row>
    <row r="664" spans="1:13" s="3" customFormat="1" ht="12.2" customHeight="1" x14ac:dyDescent="0.15">
      <c r="A664" s="142" t="s">
        <v>129</v>
      </c>
      <c r="B664" s="124"/>
      <c r="C664" s="124"/>
      <c r="D664" s="124"/>
      <c r="E664" s="124"/>
      <c r="F664" s="143">
        <f>SUM(F576:F588)+SUM(H603:H605)+SUM(L612)</f>
        <v>475690.92</v>
      </c>
      <c r="G664" s="143">
        <f>SUM(G576:G588)+SUM(I603:I605)+L613</f>
        <v>606611.99</v>
      </c>
      <c r="H664" s="143">
        <f>SUM(H576:H588)+SUM(J603:J605)+L614</f>
        <v>1507293.9300000002</v>
      </c>
      <c r="I664" s="13">
        <f>SUM(F664:H664)</f>
        <v>2589596.84</v>
      </c>
      <c r="J664" s="13"/>
      <c r="K664" s="13"/>
      <c r="L664" s="13"/>
      <c r="M664" s="9"/>
    </row>
    <row r="665" spans="1:13" s="3" customFormat="1" ht="12.2" customHeight="1" x14ac:dyDescent="0.15">
      <c r="A665" s="1" t="s">
        <v>130</v>
      </c>
      <c r="F665" s="13">
        <f>F661-SUM(F662:F664)</f>
        <v>18906516.865286361</v>
      </c>
      <c r="G665" s="13">
        <f>G661-SUM(G662:G664)</f>
        <v>4637466.8573713871</v>
      </c>
      <c r="H665" s="13">
        <f>H661-SUM(H662:H664)</f>
        <v>7738309.7673422508</v>
      </c>
      <c r="I665" s="13">
        <f>I661-SUM(I662:I664)</f>
        <v>31282293.490000002</v>
      </c>
      <c r="J665" s="13"/>
      <c r="K665" s="13"/>
      <c r="L665" s="13"/>
      <c r="M665" s="8"/>
    </row>
    <row r="666" spans="1:13" s="3" customFormat="1" ht="12.2" customHeight="1" x14ac:dyDescent="0.2">
      <c r="A666" s="1" t="s">
        <v>131</v>
      </c>
      <c r="F666" s="183">
        <v>880.13</v>
      </c>
      <c r="G666" s="184">
        <v>252.7</v>
      </c>
      <c r="H666" s="184">
        <v>440.76</v>
      </c>
      <c r="I666" s="13">
        <f>SUM(F666:H666)</f>
        <v>1573.59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21481.5</v>
      </c>
      <c r="G668" s="13">
        <f>ROUND(G665/G666,2)</f>
        <v>18351.669999999998</v>
      </c>
      <c r="H668" s="13">
        <f>ROUND(H665/H666,2)</f>
        <v>17556.740000000002</v>
      </c>
      <c r="I668" s="13">
        <f>ROUND(I665/I666,2)</f>
        <v>19879.57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8">IF(AND(F666=0,F665&gt;0),F665*-1,"")</f>
        <v/>
      </c>
      <c r="G670" s="73" t="str">
        <f t="shared" si="58"/>
        <v/>
      </c>
      <c r="H670" s="73" t="str">
        <f t="shared" si="58"/>
        <v/>
      </c>
      <c r="I670" s="13">
        <f>SUM(F670:H670)</f>
        <v>0</v>
      </c>
      <c r="J670" s="13"/>
      <c r="K670" s="13"/>
      <c r="L670" s="13"/>
      <c r="M670" s="9"/>
    </row>
    <row r="671" spans="1:13" s="3" customFormat="1" ht="12.2" customHeight="1" x14ac:dyDescent="0.15">
      <c r="A671" s="1" t="s">
        <v>135</v>
      </c>
      <c r="F671" s="18"/>
      <c r="G671" s="18"/>
      <c r="H671" s="18">
        <v>-14.61</v>
      </c>
      <c r="I671" s="13">
        <f>SUM(F671:H671)</f>
        <v>-14.61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21481.5</v>
      </c>
      <c r="G673" s="13">
        <f>ROUND((G665+G670)/(G666+G671),2)</f>
        <v>18351.669999999998</v>
      </c>
      <c r="H673" s="13">
        <f>ROUND((H665+H670)/(H666+H671),2)</f>
        <v>18158.650000000001</v>
      </c>
      <c r="I673" s="13">
        <f>ROUND((I665+I670)/(I666+I671),2)</f>
        <v>20065.87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8" sqref="E18"/>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814647.52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51913.68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41031.22</v>
      </c>
      <c r="F13" s="272" t="s">
        <v>1629</v>
      </c>
    </row>
    <row r="14" spans="2:8" x14ac:dyDescent="0.25">
      <c r="B14" s="271"/>
      <c r="C14" s="271"/>
      <c r="D14" s="272"/>
      <c r="E14" s="271"/>
      <c r="F14" s="271"/>
    </row>
    <row r="15" spans="2:8" x14ac:dyDescent="0.25">
      <c r="B15" s="271"/>
      <c r="C15" s="272" t="s">
        <v>1623</v>
      </c>
      <c r="D15" s="272" t="s">
        <v>1636</v>
      </c>
      <c r="E15" s="260">
        <v>693591.79</v>
      </c>
      <c r="F15" s="272" t="s">
        <v>1630</v>
      </c>
    </row>
    <row r="16" spans="2:8" x14ac:dyDescent="0.25">
      <c r="B16" s="271"/>
      <c r="C16" s="271"/>
      <c r="D16" s="271"/>
      <c r="E16" s="271"/>
      <c r="F16" s="271"/>
    </row>
    <row r="17" spans="2:8" x14ac:dyDescent="0.25">
      <c r="B17" s="271"/>
      <c r="C17" s="272" t="s">
        <v>1622</v>
      </c>
      <c r="D17" s="272" t="s">
        <v>1637</v>
      </c>
      <c r="E17" s="260">
        <v>28110.83</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Monadnock Regional</v>
      </c>
      <c r="C5" s="317"/>
      <c r="D5" s="317"/>
      <c r="E5" s="317"/>
      <c r="F5" s="317"/>
    </row>
    <row r="8" spans="1:9" ht="18" x14ac:dyDescent="0.25">
      <c r="A8" s="240" t="s">
        <v>1560</v>
      </c>
      <c r="F8" s="247" t="s">
        <v>1578</v>
      </c>
    </row>
    <row r="9" spans="1:9" ht="15" x14ac:dyDescent="0.2">
      <c r="A9" s="238" t="s">
        <v>1561</v>
      </c>
      <c r="B9" s="241">
        <f>'DOE25'!G97</f>
        <v>449028.56</v>
      </c>
      <c r="F9" s="238" t="s">
        <v>1574</v>
      </c>
    </row>
    <row r="10" spans="1:9" ht="15" x14ac:dyDescent="0.2">
      <c r="A10" s="238" t="s">
        <v>1562</v>
      </c>
      <c r="B10" s="241">
        <f>'DOE25'!G112-'DOE25'!G97</f>
        <v>0</v>
      </c>
      <c r="F10" s="238" t="s">
        <v>1575</v>
      </c>
    </row>
    <row r="11" spans="1:9" ht="15" x14ac:dyDescent="0.2">
      <c r="A11" s="238" t="s">
        <v>1563</v>
      </c>
      <c r="B11" s="241">
        <f>'DOE25'!G140</f>
        <v>15158.32</v>
      </c>
      <c r="F11" s="238" t="s">
        <v>1576</v>
      </c>
    </row>
    <row r="12" spans="1:9" ht="15" x14ac:dyDescent="0.2">
      <c r="A12" s="238" t="s">
        <v>1564</v>
      </c>
      <c r="B12" s="241">
        <f>'DOE25'!G170</f>
        <v>533351.14</v>
      </c>
      <c r="F12" s="238" t="s">
        <v>1577</v>
      </c>
    </row>
    <row r="13" spans="1:9" ht="15" x14ac:dyDescent="0.2">
      <c r="A13" s="238" t="s">
        <v>1565</v>
      </c>
      <c r="B13" s="241">
        <f>'DOE25'!G193-'DOE25'!G180</f>
        <v>0</v>
      </c>
      <c r="F13" s="238" t="s">
        <v>1587</v>
      </c>
    </row>
    <row r="14" spans="1:9" ht="18" x14ac:dyDescent="0.25">
      <c r="A14" s="240" t="s">
        <v>732</v>
      </c>
      <c r="B14" s="242">
        <f>SUM(B9:B13)</f>
        <v>997538.02</v>
      </c>
    </row>
    <row r="16" spans="1:9" ht="18" x14ac:dyDescent="0.25">
      <c r="A16" s="240" t="s">
        <v>786</v>
      </c>
      <c r="F16" s="247" t="s">
        <v>1579</v>
      </c>
    </row>
    <row r="17" spans="1:6" ht="15" x14ac:dyDescent="0.2">
      <c r="A17" s="238" t="s">
        <v>1566</v>
      </c>
      <c r="B17" s="241">
        <f>'DOE25'!L363-'DOE25'!L362</f>
        <v>1065038.1099999999</v>
      </c>
      <c r="F17" s="238" t="s">
        <v>1580</v>
      </c>
    </row>
    <row r="18" spans="1:6" ht="15" x14ac:dyDescent="0.2">
      <c r="A18" s="238" t="s">
        <v>1567</v>
      </c>
      <c r="B18" s="251"/>
      <c r="F18" s="247" t="s">
        <v>1604</v>
      </c>
    </row>
    <row r="19" spans="1:6" ht="18" x14ac:dyDescent="0.25">
      <c r="A19" s="240" t="s">
        <v>725</v>
      </c>
      <c r="B19" s="242">
        <f>SUM(B17:B18)</f>
        <v>1065038.1099999999</v>
      </c>
    </row>
    <row r="21" spans="1:6" ht="18.75" thickBot="1" x14ac:dyDescent="0.3">
      <c r="A21" s="240" t="s">
        <v>1568</v>
      </c>
    </row>
    <row r="22" spans="1:6" ht="18.75" thickTop="1" x14ac:dyDescent="0.25">
      <c r="A22" s="240" t="s">
        <v>1569</v>
      </c>
      <c r="B22" s="246">
        <f>B14-B19</f>
        <v>-67500.089999999851</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748305.12</v>
      </c>
      <c r="F31" s="238" t="s">
        <v>1584</v>
      </c>
    </row>
    <row r="33" spans="1:6" ht="15" x14ac:dyDescent="0.2">
      <c r="A33" s="238" t="s">
        <v>1798</v>
      </c>
      <c r="B33" s="241">
        <f>'DOE25'!G477</f>
        <v>680805.03000000026</v>
      </c>
      <c r="F33" s="238" t="s">
        <v>1585</v>
      </c>
    </row>
    <row r="36" spans="1:6" ht="15" x14ac:dyDescent="0.2">
      <c r="A36" s="238" t="s">
        <v>1571</v>
      </c>
      <c r="B36" s="252">
        <v>25514.26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Monadnock Regional</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6793748.5999999996</v>
      </c>
      <c r="C9" s="167">
        <f>'DOE25'!G198+'DOE25'!G216+'DOE25'!G234+'DOE25'!G277+'DOE25'!G296+'DOE25'!G315</f>
        <v>3730995.4</v>
      </c>
    </row>
    <row r="10" spans="1:3" x14ac:dyDescent="0.2">
      <c r="A10" t="s">
        <v>775</v>
      </c>
      <c r="B10" s="177">
        <v>6482088.7400000002</v>
      </c>
      <c r="C10" s="177">
        <v>3559799.66</v>
      </c>
    </row>
    <row r="11" spans="1:3" x14ac:dyDescent="0.2">
      <c r="A11" t="s">
        <v>776</v>
      </c>
      <c r="B11" s="177">
        <v>192189.86</v>
      </c>
      <c r="C11" s="177">
        <v>105546.96</v>
      </c>
    </row>
    <row r="12" spans="1:3" x14ac:dyDescent="0.2">
      <c r="A12" t="s">
        <v>777</v>
      </c>
      <c r="B12" s="177">
        <v>119470</v>
      </c>
      <c r="C12" s="177">
        <v>65648.78</v>
      </c>
    </row>
    <row r="13" spans="1:3" x14ac:dyDescent="0.2">
      <c r="A13" t="str">
        <f>IF(B9=B13,IF(C9=C13,"Check Total OK","Check Total Error"),"Check Total Error")</f>
        <v>Check Total OK</v>
      </c>
      <c r="B13" s="169">
        <f>SUM(B10:B12)</f>
        <v>6793748.6000000006</v>
      </c>
      <c r="C13" s="169">
        <f>SUM(C10:C12)</f>
        <v>3730995.4</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2819524.4000000004</v>
      </c>
      <c r="C18" s="167">
        <f>'DOE25'!G199+'DOE25'!G217+'DOE25'!G235+'DOE25'!G278+'DOE25'!G297+'DOE25'!G316</f>
        <v>2204475.7600000002</v>
      </c>
    </row>
    <row r="19" spans="1:3" x14ac:dyDescent="0.2">
      <c r="A19" t="s">
        <v>775</v>
      </c>
      <c r="B19" s="177">
        <v>1274185.5900000001</v>
      </c>
      <c r="C19" s="177">
        <v>996235.83</v>
      </c>
    </row>
    <row r="20" spans="1:3" x14ac:dyDescent="0.2">
      <c r="A20" t="s">
        <v>776</v>
      </c>
      <c r="B20" s="177">
        <v>1386970.97</v>
      </c>
      <c r="C20" s="177">
        <v>1084418.32</v>
      </c>
    </row>
    <row r="21" spans="1:3" x14ac:dyDescent="0.2">
      <c r="A21" t="s">
        <v>777</v>
      </c>
      <c r="B21" s="177">
        <v>158367.84</v>
      </c>
      <c r="C21" s="177">
        <v>123821.61</v>
      </c>
    </row>
    <row r="22" spans="1:3" x14ac:dyDescent="0.2">
      <c r="A22" t="str">
        <f>IF(B18=B22,IF(C18=C22,"Check Total OK","Check Total Error"),"Check Total Error")</f>
        <v>Check Total OK</v>
      </c>
      <c r="B22" s="169">
        <f>SUM(B19:B21)</f>
        <v>2819524.4</v>
      </c>
      <c r="C22" s="169">
        <f>SUM(C19:C21)</f>
        <v>2204475.7599999998</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608047.46</v>
      </c>
      <c r="C36" s="173">
        <f>'DOE25'!G201+'DOE25'!G219+'DOE25'!G237+'DOE25'!G280+'DOE25'!G299+'DOE25'!G318</f>
        <v>197893.17</v>
      </c>
    </row>
    <row r="37" spans="1:3" x14ac:dyDescent="0.2">
      <c r="A37" t="s">
        <v>775</v>
      </c>
      <c r="B37" s="177">
        <v>446000.45</v>
      </c>
      <c r="C37" s="177">
        <v>185496.57</v>
      </c>
    </row>
    <row r="38" spans="1:3" x14ac:dyDescent="0.2">
      <c r="A38" t="s">
        <v>776</v>
      </c>
      <c r="B38" s="177">
        <v>62235.13</v>
      </c>
      <c r="C38" s="177">
        <v>4760.99</v>
      </c>
    </row>
    <row r="39" spans="1:3" x14ac:dyDescent="0.2">
      <c r="A39" t="s">
        <v>777</v>
      </c>
      <c r="B39" s="177">
        <v>99811.88</v>
      </c>
      <c r="C39" s="177">
        <v>7635.61</v>
      </c>
    </row>
    <row r="40" spans="1:3" x14ac:dyDescent="0.2">
      <c r="A40" t="str">
        <f>IF(B36=B40,IF(C36=C40,"Check Total OK","Check Total Error"),"Check Total Error")</f>
        <v>Check Total OK</v>
      </c>
      <c r="B40" s="169">
        <f>SUM(B37:B39)</f>
        <v>608047.46</v>
      </c>
      <c r="C40" s="169">
        <f>SUM(C37:C39)</f>
        <v>197893.16999999998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Monadnock Regional</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19255322.039999999</v>
      </c>
      <c r="D5" s="19">
        <f>SUM('DOE25'!L198:L201)+SUM('DOE25'!L216:L219)+SUM('DOE25'!L234:L237)-F5-G5-H5</f>
        <v>18810702.16</v>
      </c>
      <c r="E5" s="180"/>
      <c r="F5" s="181">
        <v>186804.31</v>
      </c>
      <c r="G5" s="19">
        <f>SUM('DOE25'!J198:J201)+SUM('DOE25'!J216:J219)+SUM('DOE25'!J234:J237)</f>
        <v>191090.29</v>
      </c>
      <c r="H5" s="19">
        <f>SUM('DOE25'!K198:K201)+SUM('DOE25'!K216:K219)+SUM('DOE25'!K234:K237)</f>
        <v>66725.279999999999</v>
      </c>
      <c r="I5" s="192"/>
    </row>
    <row r="6" spans="1:9" x14ac:dyDescent="0.2">
      <c r="A6" s="31">
        <v>2100</v>
      </c>
      <c r="B6" t="s">
        <v>796</v>
      </c>
      <c r="C6" s="206">
        <f t="shared" si="0"/>
        <v>2235000.4399999995</v>
      </c>
      <c r="D6" s="19">
        <f>'DOE25'!L203+'DOE25'!L221+'DOE25'!L239-F6-G6-H6</f>
        <v>2225403.1599999997</v>
      </c>
      <c r="E6" s="180"/>
      <c r="F6" s="181"/>
      <c r="G6" s="19">
        <f>'DOE25'!J203+'DOE25'!J221+'DOE25'!J239</f>
        <v>3432.88</v>
      </c>
      <c r="H6" s="19">
        <f>'DOE25'!K203+'DOE25'!K221+'DOE25'!K239</f>
        <v>6164.4</v>
      </c>
      <c r="I6" s="192"/>
    </row>
    <row r="7" spans="1:9" x14ac:dyDescent="0.2">
      <c r="A7" s="31">
        <v>2200</v>
      </c>
      <c r="B7" t="s">
        <v>820</v>
      </c>
      <c r="C7" s="206">
        <f t="shared" si="0"/>
        <v>820156.4800000001</v>
      </c>
      <c r="D7" s="19">
        <f>'DOE25'!L204+'DOE25'!L222+'DOE25'!L240-F7-G7-H7</f>
        <v>817141.57000000007</v>
      </c>
      <c r="E7" s="180"/>
      <c r="F7" s="181"/>
      <c r="G7" s="19">
        <f>'DOE25'!J204+'DOE25'!J222+'DOE25'!J240</f>
        <v>1248</v>
      </c>
      <c r="H7" s="19">
        <f>'DOE25'!K204+'DOE25'!K222+'DOE25'!K240</f>
        <v>1766.91</v>
      </c>
      <c r="I7" s="192"/>
    </row>
    <row r="8" spans="1:9" x14ac:dyDescent="0.2">
      <c r="A8" s="31">
        <v>2300</v>
      </c>
      <c r="B8" t="s">
        <v>797</v>
      </c>
      <c r="C8" s="206">
        <f t="shared" si="0"/>
        <v>528736.77</v>
      </c>
      <c r="D8" s="180"/>
      <c r="E8" s="19">
        <f>'DOE25'!L205+'DOE25'!L223+'DOE25'!L241-F8-G8-H8-D9-D11</f>
        <v>506765.14999999997</v>
      </c>
      <c r="F8" s="181"/>
      <c r="G8" s="19">
        <f>'DOE25'!J205+'DOE25'!J223+'DOE25'!J241</f>
        <v>0</v>
      </c>
      <c r="H8" s="19">
        <f>'DOE25'!K205+'DOE25'!K223+'DOE25'!K241</f>
        <v>21971.62</v>
      </c>
      <c r="I8" s="192"/>
    </row>
    <row r="9" spans="1:9" ht="14.25" x14ac:dyDescent="0.2">
      <c r="A9" s="31">
        <v>2310</v>
      </c>
      <c r="B9" s="71" t="s">
        <v>887</v>
      </c>
      <c r="C9" s="206">
        <f t="shared" si="0"/>
        <v>32537.21</v>
      </c>
      <c r="D9" s="181">
        <f>14525+15700+2312.21</f>
        <v>32537.21</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2011416.3600000003</v>
      </c>
      <c r="D12" s="19">
        <f>'DOE25'!L206+'DOE25'!L224+'DOE25'!L242-F12-G12-H12</f>
        <v>1997362.1100000003</v>
      </c>
      <c r="E12" s="180"/>
      <c r="F12" s="181"/>
      <c r="G12" s="19">
        <f>'DOE25'!J206+'DOE25'!J224+'DOE25'!J242</f>
        <v>4998.25</v>
      </c>
      <c r="H12" s="19">
        <f>'DOE25'!K206+'DOE25'!K224+'DOE25'!K242</f>
        <v>9056</v>
      </c>
      <c r="I12" s="192"/>
    </row>
    <row r="13" spans="1:9" x14ac:dyDescent="0.2">
      <c r="A13" s="31">
        <v>2500</v>
      </c>
      <c r="B13" t="s">
        <v>798</v>
      </c>
      <c r="C13" s="206">
        <f t="shared" si="0"/>
        <v>857076.32999999984</v>
      </c>
      <c r="D13" s="180"/>
      <c r="E13" s="19">
        <f>'DOE25'!L207+'DOE25'!L225+'DOE25'!L243-F13-G13-H13</f>
        <v>687493.89999999991</v>
      </c>
      <c r="F13" s="181">
        <v>153554.44</v>
      </c>
      <c r="G13" s="19">
        <f>'DOE25'!J207+'DOE25'!J225+'DOE25'!J243</f>
        <v>15048.990000000002</v>
      </c>
      <c r="H13" s="19">
        <f>'DOE25'!K207+'DOE25'!K225+'DOE25'!K243</f>
        <v>979</v>
      </c>
      <c r="I13" s="192"/>
    </row>
    <row r="14" spans="1:9" x14ac:dyDescent="0.2">
      <c r="A14" s="31">
        <v>2600</v>
      </c>
      <c r="B14" t="s">
        <v>818</v>
      </c>
      <c r="C14" s="206">
        <f t="shared" si="0"/>
        <v>2717988.13</v>
      </c>
      <c r="D14" s="19">
        <f>'DOE25'!L208+'DOE25'!L226+'DOE25'!L244-F14-G14-H14</f>
        <v>2696881.9</v>
      </c>
      <c r="E14" s="180"/>
      <c r="F14" s="181"/>
      <c r="G14" s="19">
        <f>'DOE25'!J208+'DOE25'!J226+'DOE25'!J244</f>
        <v>20603.620000000003</v>
      </c>
      <c r="H14" s="19">
        <f>'DOE25'!K208+'DOE25'!K226+'DOE25'!K244</f>
        <v>502.61</v>
      </c>
      <c r="I14" s="192"/>
    </row>
    <row r="15" spans="1:9" x14ac:dyDescent="0.2">
      <c r="A15" s="31">
        <v>2700</v>
      </c>
      <c r="B15" t="s">
        <v>799</v>
      </c>
      <c r="C15" s="206">
        <f t="shared" si="0"/>
        <v>2082541.89</v>
      </c>
      <c r="D15" s="19">
        <f>'DOE25'!L209+'DOE25'!L227+'DOE25'!L245-F15-G15-H15</f>
        <v>691013.21</v>
      </c>
      <c r="E15" s="180"/>
      <c r="F15" s="181">
        <v>1391528.68</v>
      </c>
      <c r="G15" s="19">
        <f>'DOE25'!J209+'DOE25'!J227+'DOE25'!J245</f>
        <v>0</v>
      </c>
      <c r="H15" s="19">
        <f>'DOE25'!K209+'DOE25'!K227+'DOE25'!K245</f>
        <v>0</v>
      </c>
      <c r="I15" s="192"/>
    </row>
    <row r="16" spans="1:9" x14ac:dyDescent="0.2">
      <c r="A16" s="31">
        <v>2800</v>
      </c>
      <c r="B16" t="s">
        <v>800</v>
      </c>
      <c r="C16" s="206">
        <f t="shared" si="0"/>
        <v>1274378.8899999999</v>
      </c>
      <c r="D16" s="180"/>
      <c r="E16" s="19">
        <f>'DOE25'!L210+'DOE25'!L228+'DOE25'!L246-F16-G16-H16</f>
        <v>897752.69</v>
      </c>
      <c r="F16" s="181">
        <v>120148.75</v>
      </c>
      <c r="G16" s="19">
        <f>'DOE25'!J210+'DOE25'!J228+'DOE25'!J246</f>
        <v>256477.44999999995</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328387</v>
      </c>
      <c r="D22" s="180"/>
      <c r="E22" s="180"/>
      <c r="F22" s="180"/>
      <c r="G22" s="19">
        <f>'DOE25'!L256+'DOE25'!L337</f>
        <v>328387</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715996.99999999988</v>
      </c>
      <c r="D29" s="212">
        <f>'DOE25'!L359+'DOE25'!L360+'DOE25'!L361-'DOE25'!I368-F29-G29-H29-F39</f>
        <v>694528.16999999981</v>
      </c>
      <c r="E29" s="180"/>
      <c r="F29" s="180"/>
      <c r="G29" s="19">
        <f>'DOE25'!J359+'DOE25'!J360+'DOE25'!J361</f>
        <v>18425.050000000003</v>
      </c>
      <c r="H29" s="19">
        <f>'DOE25'!K359+'DOE25'!K360+'DOE25'!K361</f>
        <v>3043.7799999999997</v>
      </c>
      <c r="I29" s="192"/>
    </row>
    <row r="30" spans="1:9" x14ac:dyDescent="0.2">
      <c r="A30" s="31"/>
      <c r="C30" s="207"/>
      <c r="D30" s="19"/>
      <c r="F30" s="201"/>
      <c r="G30" s="19"/>
      <c r="H30" s="19"/>
      <c r="I30" s="192"/>
    </row>
    <row r="31" spans="1:9" x14ac:dyDescent="0.2">
      <c r="A31" s="31" t="s">
        <v>817</v>
      </c>
      <c r="B31" t="s">
        <v>816</v>
      </c>
      <c r="C31" s="206">
        <f>SUM(D31:I31)</f>
        <v>3570560.99</v>
      </c>
      <c r="D31" s="19">
        <f>'DOE25'!L291+'DOE25'!L310+'DOE25'!L329+'DOE25'!L334+'DOE25'!L335+'DOE25'!L336-F31-G31-H31</f>
        <v>3345606.72</v>
      </c>
      <c r="E31" s="180"/>
      <c r="F31" s="181">
        <f>91145+47250</f>
        <v>138395</v>
      </c>
      <c r="G31" s="19">
        <f>'DOE25'!J291+'DOE25'!J310+'DOE25'!J329+'DOE25'!J334+'DOE25'!J335+'DOE25'!J336</f>
        <v>38775.71</v>
      </c>
      <c r="H31" s="19">
        <f>'DOE25'!K291+'DOE25'!K310+'DOE25'!K329+'DOE25'!K334+'DOE25'!K335+'DOE25'!K336</f>
        <v>47783.56</v>
      </c>
      <c r="I31" s="192"/>
    </row>
    <row r="32" spans="1:9" ht="12" thickBot="1" x14ac:dyDescent="0.25">
      <c r="C32" s="207"/>
      <c r="G32" s="188"/>
      <c r="H32" s="188"/>
      <c r="I32" s="194"/>
    </row>
    <row r="33" spans="1:9" ht="12" thickTop="1" x14ac:dyDescent="0.2">
      <c r="B33" t="s">
        <v>809</v>
      </c>
      <c r="D33" s="182">
        <f t="shared" ref="D33:I33" si="1">SUM(D5:D31)</f>
        <v>31311176.209999997</v>
      </c>
      <c r="E33" s="182">
        <f t="shared" si="1"/>
        <v>2092011.7399999998</v>
      </c>
      <c r="F33" s="182">
        <f t="shared" si="1"/>
        <v>1990431.18</v>
      </c>
      <c r="G33" s="182">
        <f t="shared" si="1"/>
        <v>878487.24</v>
      </c>
      <c r="H33" s="182">
        <f t="shared" si="1"/>
        <v>157993.15999999997</v>
      </c>
      <c r="I33" s="182">
        <f t="shared" si="1"/>
        <v>0</v>
      </c>
    </row>
    <row r="34" spans="1:9" ht="12" thickBot="1" x14ac:dyDescent="0.25"/>
    <row r="35" spans="1:9" ht="12" thickBot="1" x14ac:dyDescent="0.25">
      <c r="B35" s="188" t="s">
        <v>830</v>
      </c>
      <c r="D35" s="189">
        <f>E33</f>
        <v>2092011.7399999998</v>
      </c>
      <c r="E35" s="185"/>
      <c r="F35" s="295" t="s">
        <v>1608</v>
      </c>
      <c r="G35" s="296"/>
      <c r="H35" s="296"/>
      <c r="I35" s="297"/>
    </row>
    <row r="36" spans="1:9" ht="12" thickTop="1" x14ac:dyDescent="0.2">
      <c r="B36" t="s">
        <v>810</v>
      </c>
      <c r="D36" s="19">
        <f>D33</f>
        <v>31311176.209999997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13">
        <v>10000</v>
      </c>
      <c r="G42" s="304"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Monadnock Regional</v>
      </c>
      <c r="B2">
        <f>'DOE25'!B2</f>
        <v>363</v>
      </c>
      <c r="J2" s="224" t="s">
        <v>1808</v>
      </c>
      <c r="K2" s="308">
        <f>SUM('DOE25'!L198:L201)+SUM('DOE25'!L216:L219)+SUM('DOE25'!L234:L237)+SUM('DOE25'!L277:L280)+SUM('DOE25'!L296:L299)+SUM('DOE25'!L315:L318)</f>
        <v>21382922.149999999</v>
      </c>
      <c r="L2" s="308">
        <f>'DOE25'!L203+'DOE25'!L221+'DOE25'!L239+'DOE25'!L282+'DOE25'!L301+'DOE25'!L320</f>
        <v>2560548.1699999995</v>
      </c>
      <c r="M2" s="308">
        <f>'DOE25'!L204+'DOE25'!L222+'DOE25'!L240+'DOE25'!L283+'DOE25'!L302+'DOE25'!L321</f>
        <v>1269841.9600000002</v>
      </c>
      <c r="N2" s="308">
        <f>'DOE25'!L206+'DOE25'!L224+'DOE25'!L242+'DOE25'!L285+'DOE25'!L304+'DOE25'!L323</f>
        <v>2134653.6100000003</v>
      </c>
      <c r="O2" s="308">
        <f>'Salaries-Benefits'!B10+'Salaries-Benefits'!B12+'Salaries-Benefits'!B19+'Salaries-Benefits'!B21+'Salaries-Benefits'!B28+'Salaries-Benefits'!B30+'Salaries-Benefits'!B37+'Salaries-Benefits'!B39</f>
        <v>8579924.5</v>
      </c>
      <c r="P2" s="308">
        <f>'Salaries-Benefits'!B11+'Salaries-Benefits'!B20+'Salaries-Benefits'!B29+'Salaries-Benefits'!B38</f>
        <v>1641395.96</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1">
        <f>K21+K33+K43-K2</f>
        <v>-21382922.149999999</v>
      </c>
      <c r="L3" s="310">
        <f t="shared" ref="L3:P3" si="0">L21+L33+L43-L2</f>
        <v>-2560548.1699999995</v>
      </c>
      <c r="M3" s="310">
        <f t="shared" si="0"/>
        <v>-1269841.9600000002</v>
      </c>
      <c r="N3" s="310">
        <f t="shared" si="0"/>
        <v>-2134653.6100000003</v>
      </c>
      <c r="O3" s="310">
        <f t="shared" si="0"/>
        <v>-8579924.5</v>
      </c>
      <c r="P3" s="310">
        <f t="shared" si="0"/>
        <v>-1641395.96</v>
      </c>
      <c r="Q3" s="309"/>
      <c r="R3" s="305"/>
      <c r="S3" s="215"/>
      <c r="T3" s="215"/>
      <c r="U3" s="216"/>
    </row>
    <row r="4" spans="1:21" ht="55.5" customHeight="1" thickBot="1" x14ac:dyDescent="0.25">
      <c r="A4" s="224" t="s">
        <v>1522</v>
      </c>
      <c r="B4" s="224" t="s">
        <v>1523</v>
      </c>
      <c r="C4" s="224" t="s">
        <v>896</v>
      </c>
      <c r="D4" s="224" t="s">
        <v>786</v>
      </c>
      <c r="E4" s="224" t="s">
        <v>786</v>
      </c>
      <c r="F4" s="228">
        <f>SUM(F5:F20)</f>
        <v>20144013.23</v>
      </c>
      <c r="G4" s="229">
        <f>'DOE25'!L212+'DOE25'!L291</f>
        <v>20144013.229999997</v>
      </c>
      <c r="H4" s="264">
        <f>F4-G4</f>
        <v>0</v>
      </c>
      <c r="I4" s="312" t="str">
        <f>IF(H4=0,"","ISSUES!! Please review pages 7 and 11 totals in comparison with total on this page")</f>
        <v/>
      </c>
      <c r="J4" s="224" t="s">
        <v>1522</v>
      </c>
      <c r="K4" s="306" t="s">
        <v>1803</v>
      </c>
      <c r="L4" s="306" t="s">
        <v>1802</v>
      </c>
      <c r="M4" s="306" t="s">
        <v>1806</v>
      </c>
      <c r="N4" s="306" t="s">
        <v>1807</v>
      </c>
      <c r="O4" s="306" t="s">
        <v>1809</v>
      </c>
      <c r="P4" s="306" t="s">
        <v>1804</v>
      </c>
      <c r="Q4" s="306" t="s">
        <v>1810</v>
      </c>
    </row>
    <row r="5" spans="1:21" x14ac:dyDescent="0.2">
      <c r="A5" t="s">
        <v>1540</v>
      </c>
      <c r="B5" s="230">
        <f>IFERROR(VLOOKUP(A5,'School Tables'!$C$3:$D$365,2,FALSE),"")</f>
        <v>99999</v>
      </c>
      <c r="C5" s="223" t="str">
        <f>IFERROR(INDEX('School Tables'!$B$3:$B$365,MATCH('School Level Expenditures'!B5,'School Tables'!$D$3:$D$365,0)),"")</f>
        <v>Other District Expenditures</v>
      </c>
      <c r="D5" s="220">
        <v>202672.69</v>
      </c>
      <c r="E5" s="220"/>
      <c r="F5" s="232">
        <f>D5+E5</f>
        <v>202672.69</v>
      </c>
      <c r="G5" s="223"/>
      <c r="H5" s="223"/>
      <c r="J5" s="223"/>
      <c r="K5" s="223"/>
      <c r="L5" s="223"/>
      <c r="M5" s="223"/>
      <c r="N5" s="223"/>
      <c r="O5" s="223"/>
      <c r="P5" s="223"/>
      <c r="Q5" s="223"/>
    </row>
    <row r="6" spans="1:21" x14ac:dyDescent="0.2">
      <c r="A6" t="str" cm="1">
        <f t="array" ref="A6">IFERROR(INDEX('School Tables'!$A$4:$G$325,'School Tables'!$J4,3),"")</f>
        <v>Cutler Elementary School</v>
      </c>
      <c r="B6" s="230">
        <f>IFERROR(VLOOKUP(A6,'School Tables'!$C$3:$D$365,2,FALSE),"")</f>
        <v>21715</v>
      </c>
      <c r="C6" s="223" t="str">
        <f>IFERROR(INDEX('School Tables'!$B$3:$B$365,MATCH('School Level Expenditures'!B6,'School Tables'!$D$3:$D$365,0)),"")</f>
        <v>Monadnock Regional</v>
      </c>
      <c r="D6" s="220">
        <f>3142446.22+1820502.36</f>
        <v>4962948.58</v>
      </c>
      <c r="E6" s="220">
        <v>691488.47</v>
      </c>
      <c r="F6" s="232">
        <f t="shared" ref="F6:F20" si="1">D6+E6</f>
        <v>5654437.0499999998</v>
      </c>
      <c r="G6" s="223"/>
      <c r="H6" s="223"/>
      <c r="J6" t="str">
        <f>A6</f>
        <v>Cutler Elementary School</v>
      </c>
      <c r="K6" s="20"/>
      <c r="L6" s="20"/>
      <c r="M6" s="307"/>
      <c r="N6" s="20"/>
      <c r="O6" s="20"/>
      <c r="P6" s="20"/>
      <c r="Q6" s="20"/>
    </row>
    <row r="7" spans="1:21" x14ac:dyDescent="0.2">
      <c r="A7" t="str" cm="1">
        <f t="array" ref="A7">IFERROR(INDEX('School Tables'!$A$4:$G$325,'School Tables'!$J5,3),"")</f>
        <v>Dr. George S. Emerson Elementary School</v>
      </c>
      <c r="B7" s="230">
        <f>IFERROR(VLOOKUP(A7,'School Tables'!$C$3:$D$365,2,FALSE),"")</f>
        <v>21665</v>
      </c>
      <c r="C7" s="223" t="str">
        <f>IFERROR(INDEX('School Tables'!$B$3:$B$365,MATCH('School Level Expenditures'!B7,'School Tables'!$D$3:$D$365,0)),"")</f>
        <v>Monadnock Regional</v>
      </c>
      <c r="D7" s="220">
        <f>2472403.53+1026788.53</f>
        <v>3499192.0599999996</v>
      </c>
      <c r="E7" s="220">
        <v>390009.07</v>
      </c>
      <c r="F7" s="232">
        <f t="shared" si="1"/>
        <v>3889201.1299999994</v>
      </c>
      <c r="G7" s="223"/>
      <c r="H7" s="223"/>
      <c r="J7" t="str">
        <f t="shared" ref="J7:J20" si="2">A7</f>
        <v>Dr. George S. Emerson Elementary School</v>
      </c>
      <c r="K7" s="20"/>
      <c r="L7" s="20"/>
      <c r="M7" s="307"/>
      <c r="N7" s="20"/>
      <c r="O7" s="20"/>
      <c r="P7" s="20"/>
      <c r="Q7" s="20"/>
    </row>
    <row r="8" spans="1:21" x14ac:dyDescent="0.2">
      <c r="A8" t="str" cm="1">
        <f t="array" ref="A8">IFERROR(INDEX('School Tables'!$A$4:$G$325,'School Tables'!$J6,3),"")</f>
        <v>Gilsum STEAM Academy</v>
      </c>
      <c r="B8" s="230">
        <f>IFERROR(VLOOKUP(A8,'School Tables'!$C$3:$D$365,2,FALSE),"")</f>
        <v>21670</v>
      </c>
      <c r="C8" s="223" t="str">
        <f>IFERROR(INDEX('School Tables'!$B$3:$B$365,MATCH('School Level Expenditures'!B8,'School Tables'!$D$3:$D$365,0)),"")</f>
        <v>Monadnock Regional</v>
      </c>
      <c r="D8" s="220">
        <f>849512.17+327564.44</f>
        <v>1177076.6100000001</v>
      </c>
      <c r="E8" s="220">
        <v>124420.06</v>
      </c>
      <c r="F8" s="232">
        <f t="shared" si="1"/>
        <v>1301496.6700000002</v>
      </c>
      <c r="G8" s="223"/>
      <c r="H8" s="223"/>
      <c r="J8" t="str">
        <f t="shared" si="2"/>
        <v>Gilsum STEAM Academy</v>
      </c>
      <c r="K8" s="20"/>
      <c r="L8" s="20"/>
      <c r="M8" s="307"/>
      <c r="N8" s="20"/>
      <c r="O8" s="20"/>
      <c r="P8" s="20"/>
      <c r="Q8" s="20"/>
    </row>
    <row r="9" spans="1:21" x14ac:dyDescent="0.2">
      <c r="A9" t="str" cm="1">
        <f t="array" ref="A9">IFERROR(INDEX('School Tables'!$A$4:$G$325,'School Tables'!$J7,3),"")</f>
        <v>Mt. Caesar Elementary School</v>
      </c>
      <c r="B9" s="230">
        <f>IFERROR(VLOOKUP(A9,'School Tables'!$C$3:$D$365,2,FALSE),"")</f>
        <v>21695</v>
      </c>
      <c r="C9" s="223" t="str">
        <f>IFERROR(INDEX('School Tables'!$B$3:$B$365,MATCH('School Level Expenditures'!B9,'School Tables'!$D$3:$D$365,0)),"")</f>
        <v>Monadnock Regional</v>
      </c>
      <c r="D9" s="220">
        <f>3312035.96+1726012.62</f>
        <v>5038048.58</v>
      </c>
      <c r="E9" s="220">
        <v>655598.06999999995</v>
      </c>
      <c r="F9" s="232">
        <f t="shared" si="1"/>
        <v>5693646.6500000004</v>
      </c>
      <c r="G9" s="223"/>
      <c r="H9" s="223"/>
      <c r="J9" t="str">
        <f t="shared" si="2"/>
        <v>Mt. Caesar Elementary School</v>
      </c>
      <c r="K9" s="20"/>
      <c r="L9" s="20"/>
      <c r="M9" s="307"/>
      <c r="N9" s="20"/>
      <c r="O9" s="20"/>
      <c r="P9" s="20"/>
      <c r="Q9" s="20"/>
    </row>
    <row r="10" spans="1:21" x14ac:dyDescent="0.2">
      <c r="A10" t="str" cm="1">
        <f t="array" ref="A10">IFERROR(INDEX('School Tables'!$A$4:$G$325,'School Tables'!$J8,3),"")</f>
        <v>Troy Elementary School</v>
      </c>
      <c r="B10" s="230">
        <f>IFERROR(VLOOKUP(A10,'School Tables'!$C$3:$D$365,2,FALSE),"")</f>
        <v>21725</v>
      </c>
      <c r="C10" s="223" t="str">
        <f>IFERROR(INDEX('School Tables'!$B$3:$B$365,MATCH('School Level Expenditures'!B10,'School Tables'!$D$3:$D$365,0)),"")</f>
        <v>Monadnock Regional</v>
      </c>
      <c r="D10" s="220">
        <f>2229137.72+850407.67</f>
        <v>3079545.39</v>
      </c>
      <c r="E10" s="220">
        <v>323013.65000000002</v>
      </c>
      <c r="F10" s="232">
        <f t="shared" si="1"/>
        <v>3402559.04</v>
      </c>
      <c r="G10" s="223"/>
      <c r="H10" s="223"/>
      <c r="J10" t="str">
        <f t="shared" si="2"/>
        <v>Troy Elementary School</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17959483.91</v>
      </c>
      <c r="E21" s="262">
        <f>SUM(E5:E20)</f>
        <v>2184529.3199999998</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6" t="s">
        <v>1803</v>
      </c>
      <c r="L23" s="306" t="s">
        <v>1802</v>
      </c>
      <c r="M23" s="306" t="s">
        <v>1806</v>
      </c>
      <c r="N23" s="306" t="s">
        <v>1807</v>
      </c>
      <c r="O23" s="306" t="s">
        <v>1805</v>
      </c>
      <c r="P23" s="306" t="s">
        <v>1804</v>
      </c>
      <c r="Q23" s="306" t="s">
        <v>1810</v>
      </c>
    </row>
    <row r="24" spans="1:17" ht="46.5" customHeight="1" thickBot="1" x14ac:dyDescent="0.25">
      <c r="A24" s="224" t="s">
        <v>1536</v>
      </c>
      <c r="B24" s="224" t="s">
        <v>1537</v>
      </c>
      <c r="C24" s="224" t="s">
        <v>896</v>
      </c>
      <c r="D24" s="224" t="s">
        <v>786</v>
      </c>
      <c r="E24" s="224" t="s">
        <v>786</v>
      </c>
      <c r="F24" s="233">
        <f>SUM(F25:F32)</f>
        <v>5511000.2000000002</v>
      </c>
      <c r="G24" s="229">
        <f>'DOE25'!L230+'DOE25'!L310</f>
        <v>5511000.2000000002</v>
      </c>
      <c r="H24" s="264">
        <f>F24-G24</f>
        <v>0</v>
      </c>
      <c r="I24" s="312"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503203.82</v>
      </c>
      <c r="E25" s="220"/>
      <c r="F25" s="232">
        <f>D25+E25</f>
        <v>503203.82</v>
      </c>
      <c r="G25" s="223"/>
      <c r="H25" s="223"/>
      <c r="J25" s="223"/>
      <c r="K25" s="223"/>
      <c r="L25" s="224"/>
      <c r="M25" s="223"/>
      <c r="N25" s="223"/>
      <c r="O25" s="223"/>
      <c r="P25" s="223"/>
      <c r="Q25" s="223"/>
    </row>
    <row r="26" spans="1:17" x14ac:dyDescent="0.2">
      <c r="A26" t="str" cm="1">
        <f t="array" ref="A26">IFERROR(INDEX('School Tables'!$L$4:$R$75,'School Tables'!$U4,3),"")</f>
        <v>Monadnock Regional Middle School</v>
      </c>
      <c r="B26" s="230">
        <f>IFERROR(VLOOKUP(A26,'School Tables'!$N$4:$O$75,2,FALSE),"")</f>
        <v>26980</v>
      </c>
      <c r="C26" s="223" t="str">
        <f>IFERROR(INDEX('School Tables'!$M$4:$M$75,MATCH('School Level Expenditures'!A26,'School Tables'!$N$4:$N$75,0)),"")</f>
        <v>Monadnock Regional</v>
      </c>
      <c r="D26" s="220">
        <v>4507367.58</v>
      </c>
      <c r="E26" s="220">
        <v>500428.79999999999</v>
      </c>
      <c r="F26" s="232">
        <f t="shared" ref="F26:F32" si="4">D26+E26</f>
        <v>5007796.38</v>
      </c>
      <c r="G26" s="223"/>
      <c r="H26" s="223"/>
      <c r="J26" t="str">
        <f t="shared" ref="J26:J32" si="5">A26</f>
        <v>Monadnock Regional Middle School</v>
      </c>
      <c r="K26" s="20"/>
      <c r="L26" s="20"/>
      <c r="M26" s="307"/>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5010571.4000000004</v>
      </c>
      <c r="E33" s="262">
        <f>SUM(E25:E32)</f>
        <v>500428.79999999999</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6" t="s">
        <v>1803</v>
      </c>
      <c r="L35" s="306" t="s">
        <v>1802</v>
      </c>
      <c r="M35" s="306" t="s">
        <v>1806</v>
      </c>
      <c r="N35" s="306" t="s">
        <v>1807</v>
      </c>
      <c r="O35" s="306" t="s">
        <v>1805</v>
      </c>
      <c r="P35" s="306" t="s">
        <v>1804</v>
      </c>
      <c r="Q35" s="306" t="s">
        <v>1810</v>
      </c>
    </row>
    <row r="36" spans="1:18" ht="53.25" customHeight="1" thickBot="1" x14ac:dyDescent="0.25">
      <c r="A36" s="219" t="s">
        <v>1538</v>
      </c>
      <c r="B36" s="224" t="s">
        <v>1539</v>
      </c>
      <c r="C36" s="224" t="s">
        <v>896</v>
      </c>
      <c r="D36" s="224" t="s">
        <v>786</v>
      </c>
      <c r="E36" s="224" t="s">
        <v>786</v>
      </c>
      <c r="F36" s="233">
        <f>SUM(F37:F42)</f>
        <v>9730702.1000000015</v>
      </c>
      <c r="G36" s="229">
        <f>'DOE25'!L248+'DOE25'!L329</f>
        <v>9730702.0999999996</v>
      </c>
      <c r="H36" s="264">
        <f>F36-G36</f>
        <v>0</v>
      </c>
      <c r="I36" s="312"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1263523.54</v>
      </c>
      <c r="E37" s="220"/>
      <c r="F37" s="232">
        <f t="shared" ref="F37:F42" si="7">D37+E37</f>
        <v>1263523.54</v>
      </c>
      <c r="G37" s="223"/>
      <c r="H37" s="223"/>
      <c r="J37" s="223"/>
      <c r="K37" s="223"/>
      <c r="L37" s="224"/>
      <c r="M37" s="223"/>
      <c r="N37" s="223"/>
      <c r="O37" s="223"/>
      <c r="P37" s="223"/>
      <c r="Q37" s="223"/>
    </row>
    <row r="38" spans="1:18" x14ac:dyDescent="0.2">
      <c r="A38" t="str" cm="1">
        <f t="array" ref="A38">IFERROR(INDEX('School Tables'!$W$4:$AC$100,'School Tables'!$AF4,3),"")</f>
        <v>Monadnock Regional High School</v>
      </c>
      <c r="B38" s="230">
        <f>IFERROR(VLOOKUP(A38,'School Tables'!$Y$4:$Z$100,2,FALSE),"")</f>
        <v>21700</v>
      </c>
      <c r="C38" s="223" t="str">
        <f>IFERROR(INDEX('School Tables'!$X$4:$X$100,MATCH('School Level Expenditures'!A38,'School Tables'!$Y$4:$Y$100,0)),"")</f>
        <v>Monadnock Regional</v>
      </c>
      <c r="D38" s="220">
        <v>7581575.6900000004</v>
      </c>
      <c r="E38" s="220">
        <v>885602.87</v>
      </c>
      <c r="F38" s="232">
        <f t="shared" si="7"/>
        <v>8467178.5600000005</v>
      </c>
      <c r="G38" s="223"/>
      <c r="H38" s="223"/>
      <c r="J38" t="str">
        <f t="shared" ref="J38:J42" si="8">A38</f>
        <v>Monadnock Regional High School</v>
      </c>
      <c r="K38" s="20"/>
      <c r="L38" s="20"/>
      <c r="M38" s="307"/>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8845099.2300000004</v>
      </c>
      <c r="E43" s="263">
        <f>SUM(E37:E42)</f>
        <v>885602.87</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Monadnock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-108434</v>
      </c>
      <c r="D8" s="73">
        <f>'DOE25'!G9</f>
        <v>534679.03</v>
      </c>
      <c r="E8" s="73">
        <f>'DOE25'!H9</f>
        <v>724068</v>
      </c>
      <c r="F8" s="73">
        <f>'DOE25'!I9</f>
        <v>1302323</v>
      </c>
      <c r="G8" s="73">
        <f>'DOE25'!J9</f>
        <v>0</v>
      </c>
      <c r="H8" s="13">
        <f>SUM(C8:G8)</f>
        <v>2452636.0300000003</v>
      </c>
      <c r="I8" s="90"/>
    </row>
    <row r="9" spans="1:9" x14ac:dyDescent="0.2">
      <c r="A9" s="1" t="s">
        <v>140</v>
      </c>
      <c r="B9" s="6">
        <v>110</v>
      </c>
      <c r="C9" s="73">
        <f>'DOE25'!F10</f>
        <v>1612145</v>
      </c>
      <c r="D9" s="73">
        <f>'DOE25'!G10</f>
        <v>0</v>
      </c>
      <c r="E9" s="73">
        <f>'DOE25'!H10</f>
        <v>0</v>
      </c>
      <c r="F9" s="73">
        <f>'DOE25'!I10</f>
        <v>0</v>
      </c>
      <c r="G9" s="73">
        <f>'DOE25'!J10</f>
        <v>0</v>
      </c>
      <c r="H9" s="13">
        <f t="shared" ref="H9:H18" si="0">SUM(C9:G9)</f>
        <v>1612145</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312454</v>
      </c>
      <c r="D11" s="73">
        <f>'DOE25'!G12</f>
        <v>0</v>
      </c>
      <c r="E11" s="73">
        <f>'DOE25'!H12</f>
        <v>0</v>
      </c>
      <c r="F11" s="73">
        <f>'DOE25'!I12</f>
        <v>0</v>
      </c>
      <c r="G11" s="73">
        <f>'DOE25'!J12</f>
        <v>0</v>
      </c>
      <c r="H11" s="13">
        <f t="shared" si="0"/>
        <v>312454</v>
      </c>
      <c r="I11" s="90"/>
    </row>
    <row r="12" spans="1:9" x14ac:dyDescent="0.2">
      <c r="A12" s="1" t="s">
        <v>143</v>
      </c>
      <c r="B12" s="6">
        <v>140</v>
      </c>
      <c r="C12" s="73">
        <f>'DOE25'!F13</f>
        <v>987180</v>
      </c>
      <c r="D12" s="73">
        <f>'DOE25'!G13</f>
        <v>90135</v>
      </c>
      <c r="E12" s="73">
        <f>'DOE25'!H13</f>
        <v>0</v>
      </c>
      <c r="F12" s="73">
        <f>'DOE25'!I13</f>
        <v>0</v>
      </c>
      <c r="G12" s="73">
        <f>'DOE25'!J13</f>
        <v>655639.01</v>
      </c>
      <c r="H12" s="13">
        <f t="shared" si="0"/>
        <v>1732954.01</v>
      </c>
      <c r="I12" s="90"/>
    </row>
    <row r="13" spans="1:9" x14ac:dyDescent="0.2">
      <c r="A13" s="1" t="s">
        <v>144</v>
      </c>
      <c r="B13" s="6">
        <v>150</v>
      </c>
      <c r="C13" s="73">
        <f>'DOE25'!F14</f>
        <v>12990</v>
      </c>
      <c r="D13" s="73">
        <f>'DOE25'!G14</f>
        <v>59593</v>
      </c>
      <c r="E13" s="73">
        <f>'DOE25'!H14</f>
        <v>1806</v>
      </c>
      <c r="F13" s="73">
        <f>'DOE25'!I14</f>
        <v>0</v>
      </c>
      <c r="G13" s="73">
        <f>'DOE25'!J14</f>
        <v>0</v>
      </c>
      <c r="H13" s="13">
        <f t="shared" si="0"/>
        <v>74389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25514</v>
      </c>
      <c r="E15" s="73">
        <f>'DOE25'!H16</f>
        <v>0</v>
      </c>
      <c r="F15" s="73">
        <f>'DOE25'!I16</f>
        <v>0</v>
      </c>
      <c r="G15" s="23" t="s">
        <v>288</v>
      </c>
      <c r="H15" s="13">
        <f t="shared" si="0"/>
        <v>25514</v>
      </c>
      <c r="I15" s="90"/>
    </row>
    <row r="16" spans="1:9" x14ac:dyDescent="0.2">
      <c r="A16" s="1" t="s">
        <v>147</v>
      </c>
      <c r="B16" s="6">
        <v>180</v>
      </c>
      <c r="C16" s="73">
        <f>'DOE25'!F17</f>
        <v>6622</v>
      </c>
      <c r="D16" s="73">
        <f>'DOE25'!G17</f>
        <v>0</v>
      </c>
      <c r="E16" s="73">
        <f>'DOE25'!H17</f>
        <v>0</v>
      </c>
      <c r="F16" s="73">
        <f>'DOE25'!I17</f>
        <v>0</v>
      </c>
      <c r="G16" s="73">
        <f>'DOE25'!J17</f>
        <v>0</v>
      </c>
      <c r="H16" s="13">
        <f t="shared" si="0"/>
        <v>6622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2822957</v>
      </c>
      <c r="D18" s="38">
        <f>SUM(D8:D17)</f>
        <v>709921.03</v>
      </c>
      <c r="E18" s="38">
        <f>SUM(E8:E17)</f>
        <v>725874</v>
      </c>
      <c r="F18" s="38">
        <f>SUM(F8:F17)</f>
        <v>1302323</v>
      </c>
      <c r="G18" s="38">
        <f>SUM(G8:G17)</f>
        <v>655639.01</v>
      </c>
      <c r="H18" s="38">
        <f t="shared" si="0"/>
        <v>6216714.04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58295</v>
      </c>
      <c r="D21" s="73">
        <f>'DOE25'!G22</f>
        <v>0</v>
      </c>
      <c r="E21" s="73">
        <f>'DOE25'!H22</f>
        <v>281948</v>
      </c>
      <c r="F21" s="73">
        <f>'DOE25'!I22</f>
        <v>0</v>
      </c>
      <c r="G21" s="73">
        <f>'DOE25'!J22</f>
        <v>0</v>
      </c>
      <c r="H21" s="13">
        <f t="shared" ref="H21:H31" si="1">SUM(C21:G21)</f>
        <v>340243</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936844</v>
      </c>
      <c r="D23" s="73">
        <f>'DOE25'!G24</f>
        <v>29116</v>
      </c>
      <c r="E23" s="73">
        <f>'DOE25'!H24</f>
        <v>389872</v>
      </c>
      <c r="F23" s="73">
        <f>'DOE25'!I24</f>
        <v>13157</v>
      </c>
      <c r="G23" s="73">
        <f>'DOE25'!J24</f>
        <v>0</v>
      </c>
      <c r="H23" s="13">
        <f t="shared" si="1"/>
        <v>1368989</v>
      </c>
      <c r="I23" s="90"/>
    </row>
    <row r="24" spans="1:9" x14ac:dyDescent="0.2">
      <c r="A24" s="1" t="s">
        <v>153</v>
      </c>
      <c r="B24" s="6">
        <v>430</v>
      </c>
      <c r="C24" s="73">
        <f>'DOE25'!F25</f>
        <v>0</v>
      </c>
      <c r="D24" s="73">
        <f>'DOE25'!G25</f>
        <v>0</v>
      </c>
      <c r="E24" s="73">
        <f>'DOE25'!H25</f>
        <v>0</v>
      </c>
      <c r="F24" s="73">
        <f>'DOE25'!I25</f>
        <v>211044</v>
      </c>
      <c r="G24" s="23" t="s">
        <v>288</v>
      </c>
      <c r="H24" s="13">
        <f t="shared" si="1"/>
        <v>211044</v>
      </c>
      <c r="I24" s="90"/>
    </row>
    <row r="25" spans="1:9" x14ac:dyDescent="0.2">
      <c r="A25" s="1" t="s">
        <v>154</v>
      </c>
      <c r="B25" s="6">
        <v>440</v>
      </c>
      <c r="C25" s="73">
        <f>'DOE25'!F26</f>
        <v>0</v>
      </c>
      <c r="D25" s="23" t="s">
        <v>288</v>
      </c>
      <c r="E25" s="23" t="s">
        <v>288</v>
      </c>
      <c r="F25" s="73">
        <f>'DOE25'!I26</f>
        <v>11108</v>
      </c>
      <c r="G25" s="23" t="s">
        <v>288</v>
      </c>
      <c r="H25" s="13">
        <f t="shared" si="1"/>
        <v>11108</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685880</v>
      </c>
      <c r="D28" s="73">
        <f>'DOE25'!G29</f>
        <v>0</v>
      </c>
      <c r="E28" s="73">
        <f>'DOE25'!H29</f>
        <v>0</v>
      </c>
      <c r="F28" s="73">
        <f>'DOE25'!I29</f>
        <v>0</v>
      </c>
      <c r="G28" s="23" t="s">
        <v>288</v>
      </c>
      <c r="H28" s="13">
        <f t="shared" si="1"/>
        <v>685880</v>
      </c>
      <c r="I28" s="90"/>
    </row>
    <row r="29" spans="1:9" x14ac:dyDescent="0.2">
      <c r="A29" s="1" t="s">
        <v>158</v>
      </c>
      <c r="B29" s="6">
        <v>480</v>
      </c>
      <c r="C29" s="73">
        <f>'DOE25'!F30</f>
        <v>0</v>
      </c>
      <c r="D29" s="73">
        <f>'DOE25'!G30</f>
        <v>0</v>
      </c>
      <c r="E29" s="73">
        <f>'DOE25'!H30</f>
        <v>54054</v>
      </c>
      <c r="F29" s="73">
        <f>'DOE25'!I30</f>
        <v>0</v>
      </c>
      <c r="G29" s="23" t="s">
        <v>288</v>
      </c>
      <c r="H29" s="13">
        <f t="shared" si="1"/>
        <v>54054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1681019</v>
      </c>
      <c r="D31" s="38">
        <f>SUM(D21:D30)</f>
        <v>29116</v>
      </c>
      <c r="E31" s="38">
        <f>SUM(E21:E30)</f>
        <v>725874</v>
      </c>
      <c r="F31" s="38">
        <f>SUM(F21:F30)</f>
        <v>235309</v>
      </c>
      <c r="G31" s="38">
        <f>SUM(G21:G30)</f>
        <v>0</v>
      </c>
      <c r="H31" s="38">
        <f t="shared" si="1"/>
        <v>2671318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25514</v>
      </c>
      <c r="E34" s="73">
        <f>'DOE25'!H35</f>
        <v>0</v>
      </c>
      <c r="F34" s="73">
        <f>'DOE25'!I35</f>
        <v>0</v>
      </c>
      <c r="G34" s="23" t="s">
        <v>288</v>
      </c>
      <c r="H34" s="13">
        <f t="shared" ref="H34:H51" si="2">SUM(C34:G34)</f>
        <v>25514</v>
      </c>
      <c r="I34" s="90"/>
    </row>
    <row r="35" spans="1:9" x14ac:dyDescent="0.2">
      <c r="A35" s="1" t="s">
        <v>849</v>
      </c>
      <c r="B35" s="6">
        <v>752</v>
      </c>
      <c r="C35" s="73">
        <f>'DOE25'!F36</f>
        <v>6622</v>
      </c>
      <c r="D35" s="73">
        <f>'DOE25'!G36</f>
        <v>0</v>
      </c>
      <c r="E35" s="73">
        <f>'DOE25'!H36</f>
        <v>0</v>
      </c>
      <c r="F35" s="73">
        <f>'DOE25'!I36</f>
        <v>0</v>
      </c>
      <c r="G35" s="23" t="s">
        <v>288</v>
      </c>
      <c r="H35" s="13">
        <f t="shared" si="2"/>
        <v>6622</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655291.03</v>
      </c>
      <c r="E39" s="23" t="s">
        <v>288</v>
      </c>
      <c r="F39" s="23" t="s">
        <v>288</v>
      </c>
      <c r="G39" s="23" t="s">
        <v>288</v>
      </c>
      <c r="H39" s="13">
        <f t="shared" si="2"/>
        <v>655291.03</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1067014</v>
      </c>
      <c r="G42" s="73">
        <f>'DOE25'!J43</f>
        <v>0</v>
      </c>
      <c r="H42" s="13">
        <f t="shared" si="2"/>
        <v>1067014</v>
      </c>
      <c r="I42" s="90"/>
    </row>
    <row r="43" spans="1:9" x14ac:dyDescent="0.2">
      <c r="A43" s="1" t="s">
        <v>862</v>
      </c>
      <c r="B43" s="6">
        <v>755</v>
      </c>
      <c r="C43" s="73">
        <f>'DOE25'!F44</f>
        <v>50001</v>
      </c>
      <c r="D43" s="73">
        <f>'DOE25'!G44</f>
        <v>0</v>
      </c>
      <c r="E43" s="73">
        <f>'DOE25'!H44</f>
        <v>0</v>
      </c>
      <c r="F43" s="73">
        <f>'DOE25'!I44</f>
        <v>0</v>
      </c>
      <c r="G43" s="23" t="s">
        <v>288</v>
      </c>
      <c r="H43" s="13">
        <f t="shared" si="2"/>
        <v>50001</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240000</v>
      </c>
      <c r="D45" s="23" t="s">
        <v>288</v>
      </c>
      <c r="E45" s="23" t="s">
        <v>288</v>
      </c>
      <c r="F45" s="23" t="s">
        <v>288</v>
      </c>
      <c r="G45" s="23" t="s">
        <v>288</v>
      </c>
      <c r="H45" s="13">
        <f t="shared" si="2"/>
        <v>240000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655639.01</v>
      </c>
      <c r="H47" s="13">
        <f t="shared" si="2"/>
        <v>655639.01</v>
      </c>
      <c r="I47" s="90"/>
    </row>
    <row r="48" spans="1:9" x14ac:dyDescent="0.2">
      <c r="A48" s="1" t="s">
        <v>881</v>
      </c>
      <c r="B48" s="6">
        <v>753</v>
      </c>
      <c r="C48" s="73">
        <f>'DOE25'!F49</f>
        <v>29327</v>
      </c>
      <c r="D48" s="73">
        <f>'DOE25'!G49</f>
        <v>0</v>
      </c>
      <c r="E48" s="73">
        <f>'DOE25'!H49</f>
        <v>0</v>
      </c>
      <c r="F48" s="73">
        <f>'DOE25'!I49</f>
        <v>0</v>
      </c>
      <c r="G48" s="73">
        <f>'DOE25'!J49</f>
        <v>0</v>
      </c>
      <c r="H48" s="13">
        <f t="shared" si="2"/>
        <v>29327</v>
      </c>
      <c r="I48" s="90"/>
    </row>
    <row r="49" spans="1:9" ht="12" thickBot="1" x14ac:dyDescent="0.25">
      <c r="A49" s="28" t="s">
        <v>882</v>
      </c>
      <c r="B49" s="56">
        <v>770</v>
      </c>
      <c r="C49" s="73">
        <f>'DOE25'!F50</f>
        <v>815988</v>
      </c>
      <c r="D49" s="23" t="s">
        <v>288</v>
      </c>
      <c r="E49" s="23" t="s">
        <v>288</v>
      </c>
      <c r="F49" s="23" t="s">
        <v>288</v>
      </c>
      <c r="G49" s="23" t="s">
        <v>288</v>
      </c>
      <c r="H49" s="13">
        <f t="shared" si="2"/>
        <v>815988</v>
      </c>
      <c r="I49" s="90"/>
    </row>
    <row r="50" spans="1:9" ht="12.75" thickTop="1" thickBot="1" x14ac:dyDescent="0.25">
      <c r="A50" s="35" t="s">
        <v>883</v>
      </c>
      <c r="B50" s="44"/>
      <c r="C50" s="38">
        <f>SUM(C34:C49)</f>
        <v>1141938</v>
      </c>
      <c r="D50" s="38">
        <f>SUM(D34:D49)</f>
        <v>680805.03</v>
      </c>
      <c r="E50" s="38">
        <f>SUM(E34:E49)</f>
        <v>0</v>
      </c>
      <c r="F50" s="38">
        <f>SUM(F34:F49)</f>
        <v>1067014</v>
      </c>
      <c r="G50" s="38">
        <f>SUM(G34:G49)</f>
        <v>655639.01</v>
      </c>
      <c r="H50" s="38">
        <f t="shared" si="2"/>
        <v>3545396.04</v>
      </c>
      <c r="I50" s="90"/>
    </row>
    <row r="51" spans="1:9" ht="12" thickTop="1" x14ac:dyDescent="0.2">
      <c r="A51" s="35" t="s">
        <v>884</v>
      </c>
      <c r="B51" s="2"/>
      <c r="C51" s="38">
        <f>C50+C31</f>
        <v>2822957</v>
      </c>
      <c r="D51" s="38">
        <f>D50+D31</f>
        <v>709921.03</v>
      </c>
      <c r="E51" s="38">
        <f>E50+E31</f>
        <v>725874</v>
      </c>
      <c r="F51" s="38">
        <f>F50+F31</f>
        <v>1302323</v>
      </c>
      <c r="G51" s="38">
        <f>G50+G31</f>
        <v>655639.01</v>
      </c>
      <c r="H51" s="38">
        <f t="shared" si="2"/>
        <v>6216714.04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17734809</v>
      </c>
      <c r="D56" s="73">
        <f>'DOE25'!G60</f>
        <v>0</v>
      </c>
      <c r="E56" s="73">
        <f>'DOE25'!H60</f>
        <v>0</v>
      </c>
      <c r="F56" s="73">
        <f>'DOE25'!I60</f>
        <v>0</v>
      </c>
      <c r="G56" s="73">
        <f>'DOE25'!J60</f>
        <v>0</v>
      </c>
      <c r="H56" s="13">
        <f t="shared" ref="H56:H63" si="3">SUM(C56:G56)</f>
        <v>17734809</v>
      </c>
      <c r="I56"/>
    </row>
    <row r="57" spans="1:9" x14ac:dyDescent="0.2">
      <c r="A57" s="1" t="s">
        <v>164</v>
      </c>
      <c r="B57" s="6" t="s">
        <v>165</v>
      </c>
      <c r="C57" s="73">
        <f>'DOE25'!F79</f>
        <v>149262.95000000001</v>
      </c>
      <c r="D57" s="23" t="s">
        <v>288</v>
      </c>
      <c r="E57" s="73">
        <f>'DOE25'!H79</f>
        <v>0</v>
      </c>
      <c r="F57" s="23" t="s">
        <v>288</v>
      </c>
      <c r="G57" s="23" t="s">
        <v>288</v>
      </c>
      <c r="H57" s="13">
        <f t="shared" si="3"/>
        <v>149262.95000000001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102868.8</v>
      </c>
      <c r="D59" s="73">
        <f>'DOE25'!G96</f>
        <v>0</v>
      </c>
      <c r="E59" s="73">
        <f>'DOE25'!H96</f>
        <v>0</v>
      </c>
      <c r="F59" s="73">
        <f>'DOE25'!I96</f>
        <v>0</v>
      </c>
      <c r="G59" s="73">
        <f>'DOE25'!J96</f>
        <v>19920.03</v>
      </c>
      <c r="H59" s="13">
        <f t="shared" si="3"/>
        <v>122788.83</v>
      </c>
      <c r="I59"/>
    </row>
    <row r="60" spans="1:9" x14ac:dyDescent="0.2">
      <c r="A60" s="1" t="s">
        <v>170</v>
      </c>
      <c r="B60" s="22" t="s">
        <v>171</v>
      </c>
      <c r="C60" s="23" t="s">
        <v>288</v>
      </c>
      <c r="D60" s="73">
        <f>'DOE25'!G97</f>
        <v>449028.56</v>
      </c>
      <c r="E60" s="23" t="s">
        <v>288</v>
      </c>
      <c r="F60" s="23" t="s">
        <v>288</v>
      </c>
      <c r="G60" s="23" t="s">
        <v>288</v>
      </c>
      <c r="H60" s="13">
        <f t="shared" si="3"/>
        <v>449028.56</v>
      </c>
      <c r="I60"/>
    </row>
    <row r="61" spans="1:9" ht="12" thickBot="1" x14ac:dyDescent="0.25">
      <c r="A61" s="1" t="s">
        <v>172</v>
      </c>
      <c r="B61" s="22" t="s">
        <v>173</v>
      </c>
      <c r="C61" s="73">
        <f>SUM('DOE25'!F98:F110)</f>
        <v>280265.63</v>
      </c>
      <c r="D61" s="73">
        <f>SUM('DOE25'!G98:G110)</f>
        <v>0</v>
      </c>
      <c r="E61" s="73">
        <f>SUM('DOE25'!H98:H110)</f>
        <v>9457.26</v>
      </c>
      <c r="F61" s="73">
        <f>SUM('DOE25'!I98:I110)</f>
        <v>0</v>
      </c>
      <c r="G61" s="73">
        <f>SUM('DOE25'!J98:J110)</f>
        <v>0</v>
      </c>
      <c r="H61" s="13">
        <f t="shared" si="3"/>
        <v>289722.89</v>
      </c>
      <c r="I61"/>
    </row>
    <row r="62" spans="1:9" ht="12.75" thickTop="1" thickBot="1" x14ac:dyDescent="0.25">
      <c r="A62" s="28" t="s">
        <v>174</v>
      </c>
      <c r="B62" s="6"/>
      <c r="C62" s="93">
        <f>SUM(C57:C61)</f>
        <v>532397.38</v>
      </c>
      <c r="D62" s="93">
        <f>SUM(D57:D61)</f>
        <v>449028.56</v>
      </c>
      <c r="E62" s="93">
        <f>SUM(E57:E61)</f>
        <v>9457.26</v>
      </c>
      <c r="F62" s="93">
        <f>SUM(F57:F61)</f>
        <v>0</v>
      </c>
      <c r="G62" s="93">
        <f>SUM(G57:G61)</f>
        <v>19920.03</v>
      </c>
      <c r="H62" s="13">
        <f t="shared" si="3"/>
        <v>1010803.23</v>
      </c>
      <c r="I62"/>
    </row>
    <row r="63" spans="1:9" ht="12" thickTop="1" x14ac:dyDescent="0.2">
      <c r="A63" s="28" t="s">
        <v>175</v>
      </c>
      <c r="B63" s="6"/>
      <c r="C63" s="21">
        <f>C56+C62</f>
        <v>18267206.379999999</v>
      </c>
      <c r="D63" s="21">
        <f>D56+D62</f>
        <v>449028.56</v>
      </c>
      <c r="E63" s="21">
        <f>E56+E62</f>
        <v>9457.26</v>
      </c>
      <c r="F63" s="21">
        <f>F56+F62</f>
        <v>0</v>
      </c>
      <c r="G63" s="21">
        <f>G56+G62</f>
        <v>19920.03</v>
      </c>
      <c r="H63" s="13">
        <f t="shared" si="3"/>
        <v>18745612.23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11323848.529999999</v>
      </c>
      <c r="D66" s="23" t="s">
        <v>288</v>
      </c>
      <c r="E66" s="23" t="s">
        <v>288</v>
      </c>
      <c r="F66" s="23" t="s">
        <v>288</v>
      </c>
      <c r="G66" s="23" t="s">
        <v>288</v>
      </c>
      <c r="H66" s="13">
        <f t="shared" ref="H66:H81" si="4">SUM(C66:G66)</f>
        <v>11323848.529999999</v>
      </c>
      <c r="I66"/>
    </row>
    <row r="67" spans="1:9" x14ac:dyDescent="0.2">
      <c r="A67" s="1" t="s">
        <v>770</v>
      </c>
      <c r="B67" s="6">
        <v>3112</v>
      </c>
      <c r="C67" s="73">
        <f>'DOE25'!F118</f>
        <v>1623141</v>
      </c>
      <c r="D67" s="23"/>
      <c r="E67" s="23"/>
      <c r="F67" s="23"/>
      <c r="G67" s="23"/>
      <c r="H67" s="13">
        <f t="shared" si="4"/>
        <v>1623141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177919.97</v>
      </c>
      <c r="D69" s="73">
        <f>'DOE25'!G120</f>
        <v>0</v>
      </c>
      <c r="E69" s="73">
        <f>'DOE25'!H120</f>
        <v>0</v>
      </c>
      <c r="F69" s="73">
        <f>'DOE25'!I120</f>
        <v>0</v>
      </c>
      <c r="G69" s="73">
        <f>'DOE25'!J120</f>
        <v>0</v>
      </c>
      <c r="H69" s="13">
        <f t="shared" si="4"/>
        <v>177919.97</v>
      </c>
      <c r="I69"/>
    </row>
    <row r="70" spans="1:9" ht="12" thickTop="1" x14ac:dyDescent="0.2">
      <c r="A70" s="28" t="s">
        <v>252</v>
      </c>
      <c r="B70" s="2"/>
      <c r="C70" s="97">
        <f>SUM(C66:C69)</f>
        <v>13124909.5</v>
      </c>
      <c r="D70" s="97">
        <f>D69</f>
        <v>0</v>
      </c>
      <c r="E70" s="97">
        <f>E69</f>
        <v>0</v>
      </c>
      <c r="F70" s="97">
        <f>F69</f>
        <v>0</v>
      </c>
      <c r="G70" s="97">
        <f>G69</f>
        <v>0</v>
      </c>
      <c r="H70" s="13">
        <f t="shared" si="4"/>
        <v>13124909.5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463894.12</v>
      </c>
      <c r="D75" s="23" t="s">
        <v>288</v>
      </c>
      <c r="E75" s="23" t="s">
        <v>288</v>
      </c>
      <c r="F75" s="23" t="s">
        <v>288</v>
      </c>
      <c r="G75" s="23" t="s">
        <v>288</v>
      </c>
      <c r="H75" s="13">
        <f t="shared" si="4"/>
        <v>463894.12</v>
      </c>
      <c r="I75"/>
    </row>
    <row r="76" spans="1:9" x14ac:dyDescent="0.2">
      <c r="A76" s="1" t="s">
        <v>257</v>
      </c>
      <c r="B76" s="6" t="s">
        <v>179</v>
      </c>
      <c r="C76" s="73">
        <f>SUM('DOE25'!F127:F130)</f>
        <v>7604.4</v>
      </c>
      <c r="D76" s="23" t="s">
        <v>288</v>
      </c>
      <c r="E76" s="73">
        <f>SUM('DOE25'!H127:H130)</f>
        <v>0</v>
      </c>
      <c r="F76" s="73">
        <f>SUM('DOE25'!I127:I130)</f>
        <v>0</v>
      </c>
      <c r="G76" s="23" t="s">
        <v>288</v>
      </c>
      <c r="H76" s="13">
        <f t="shared" si="4"/>
        <v>7604.4</v>
      </c>
      <c r="I76"/>
    </row>
    <row r="77" spans="1:9" ht="12" thickBot="1" x14ac:dyDescent="0.25">
      <c r="A77" s="1" t="s">
        <v>258</v>
      </c>
      <c r="B77" s="6" t="s">
        <v>180</v>
      </c>
      <c r="C77" s="73">
        <f>SUM('DOE25'!F131:F135)</f>
        <v>0</v>
      </c>
      <c r="D77" s="73">
        <f>SUM('DOE25'!G131:G135)</f>
        <v>15158.32</v>
      </c>
      <c r="E77" s="73">
        <f>SUM('DOE25'!H131:H135)</f>
        <v>0</v>
      </c>
      <c r="F77" s="73">
        <f>SUM('DOE25'!I131:I135)</f>
        <v>0</v>
      </c>
      <c r="G77" s="73">
        <f>SUM('DOE25'!J131:J135)</f>
        <v>0</v>
      </c>
      <c r="H77" s="13">
        <f t="shared" si="4"/>
        <v>15158.32</v>
      </c>
      <c r="I77"/>
    </row>
    <row r="78" spans="1:9" ht="12.75" thickTop="1" thickBot="1" x14ac:dyDescent="0.25">
      <c r="A78" s="28" t="s">
        <v>259</v>
      </c>
      <c r="B78" s="6"/>
      <c r="C78" s="93">
        <f>SUM(C72:C77)</f>
        <v>471498.52</v>
      </c>
      <c r="D78" s="93">
        <f>SUM(D72:D77)</f>
        <v>15158.32</v>
      </c>
      <c r="E78" s="93">
        <f>SUM(E72:E77)</f>
        <v>0</v>
      </c>
      <c r="F78" s="93">
        <f>SUM(F72:F77)</f>
        <v>0</v>
      </c>
      <c r="G78" s="93">
        <f>SUM(G72:G77)</f>
        <v>0</v>
      </c>
      <c r="H78" s="13">
        <f t="shared" si="4"/>
        <v>486656.84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13596408.02</v>
      </c>
      <c r="D81" s="93">
        <f>SUM(D79:D80)+D78+D70</f>
        <v>15158.32</v>
      </c>
      <c r="E81" s="93">
        <f>SUM(E79:E80)+E78+E70</f>
        <v>0</v>
      </c>
      <c r="F81" s="93">
        <f>SUM(F79:F80)+F78+F70</f>
        <v>0</v>
      </c>
      <c r="G81" s="93">
        <f>SUM(G79:G80)+G78+G70</f>
        <v>0</v>
      </c>
      <c r="H81" s="93">
        <f t="shared" si="4"/>
        <v>13611566.34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522739.75</v>
      </c>
      <c r="D88" s="253">
        <f>SUM('DOE25'!G153:G162)</f>
        <v>533351.14</v>
      </c>
      <c r="E88" s="253">
        <f>SUM('DOE25'!H153:H162)</f>
        <v>3769292.7300000004</v>
      </c>
      <c r="F88" s="253">
        <f>SUM('DOE25'!I153:I162)</f>
        <v>0</v>
      </c>
      <c r="G88" s="23" t="s">
        <v>288</v>
      </c>
      <c r="H88" s="13">
        <f t="shared" si="5"/>
        <v>4825383.620000001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522739.75</v>
      </c>
      <c r="D91" s="94">
        <f>SUM(D85:D90)</f>
        <v>533351.14</v>
      </c>
      <c r="E91" s="94">
        <f>SUM(E85:E90)</f>
        <v>3769292.7300000004</v>
      </c>
      <c r="F91" s="94">
        <f>SUM(F85:F90)</f>
        <v>0</v>
      </c>
      <c r="G91" s="23" t="s">
        <v>288</v>
      </c>
      <c r="H91" s="13">
        <f t="shared" si="5"/>
        <v>4825383.620000001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1193000</v>
      </c>
      <c r="G96" s="73">
        <f>'DOE25'!J180</f>
        <v>153348</v>
      </c>
      <c r="H96" s="13">
        <f t="shared" si="5"/>
        <v>1346348</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10338</v>
      </c>
      <c r="D98" s="73">
        <f>'DOE25'!G183</f>
        <v>0</v>
      </c>
      <c r="E98" s="73">
        <f>'DOE25'!H183</f>
        <v>0</v>
      </c>
      <c r="F98" s="23" t="s">
        <v>288</v>
      </c>
      <c r="G98" s="73">
        <f>'DOE25'!J183</f>
        <v>0</v>
      </c>
      <c r="H98" s="13">
        <f t="shared" si="5"/>
        <v>10338</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63807.17</v>
      </c>
      <c r="D100" s="73">
        <f>SUM('DOE25'!G187:G188)</f>
        <v>0</v>
      </c>
      <c r="E100" s="73">
        <f>SUM('DOE25'!H187:H188)</f>
        <v>0</v>
      </c>
      <c r="F100" s="73">
        <f>SUM('DOE25'!I187:I188)</f>
        <v>0</v>
      </c>
      <c r="G100" s="23" t="s">
        <v>288</v>
      </c>
      <c r="H100" s="13">
        <f t="shared" si="5"/>
        <v>63807.17</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74145.17</v>
      </c>
      <c r="D103" s="68">
        <f>SUM(D93:D102)</f>
        <v>0</v>
      </c>
      <c r="E103" s="68">
        <f>SUM(E93:E102)</f>
        <v>0</v>
      </c>
      <c r="F103" s="68">
        <f>SUM(F93:F102)</f>
        <v>1193000</v>
      </c>
      <c r="G103" s="68">
        <f>SUM(G93:G102)</f>
        <v>153348</v>
      </c>
      <c r="H103" s="68">
        <f t="shared" si="5"/>
        <v>1420493.17</v>
      </c>
    </row>
    <row r="104" spans="1:8" ht="12.75" thickTop="1" thickBot="1" x14ac:dyDescent="0.25">
      <c r="A104" s="32" t="s">
        <v>761</v>
      </c>
      <c r="C104" s="68">
        <f>C63+C81+C91+C103</f>
        <v>32460499.32</v>
      </c>
      <c r="D104" s="68">
        <f>D63+D81+D91+D103</f>
        <v>997538.02</v>
      </c>
      <c r="E104" s="68">
        <f>E63+E81+E91+E103</f>
        <v>3778749.99</v>
      </c>
      <c r="F104" s="68">
        <f>F63+F81+F91+F103</f>
        <v>1193000</v>
      </c>
      <c r="G104" s="68">
        <f>G63+G81+G103</f>
        <v>173268.03</v>
      </c>
      <c r="H104" s="68">
        <f t="shared" si="5"/>
        <v>38603055.359999999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10772710.75</v>
      </c>
      <c r="D109" s="23" t="s">
        <v>288</v>
      </c>
      <c r="E109" s="73">
        <f>('DOE25'!L277)+('DOE25'!L296)+('DOE25'!L315)</f>
        <v>986267.56</v>
      </c>
      <c r="F109" s="23" t="s">
        <v>288</v>
      </c>
      <c r="G109" s="23" t="s">
        <v>288</v>
      </c>
      <c r="H109" s="13">
        <f t="shared" ref="H109:H115" si="6">SUM(C109:G109)</f>
        <v>11758978.310000001</v>
      </c>
    </row>
    <row r="110" spans="1:8" x14ac:dyDescent="0.2">
      <c r="A110" t="s">
        <v>198</v>
      </c>
      <c r="B110" s="31" t="s">
        <v>199</v>
      </c>
      <c r="C110" s="73">
        <f>('DOE25'!L199)+('DOE25'!L217)+('DOE25'!L235)</f>
        <v>7972230.2999999998</v>
      </c>
      <c r="D110" s="23" t="s">
        <v>288</v>
      </c>
      <c r="E110" s="73">
        <f>('DOE25'!L278)+('DOE25'!L297)+('DOE25'!L316)</f>
        <v>445044.42000000004</v>
      </c>
      <c r="F110" s="23" t="s">
        <v>288</v>
      </c>
      <c r="G110" s="23" t="s">
        <v>288</v>
      </c>
      <c r="H110" s="13">
        <f t="shared" si="6"/>
        <v>8417274.7200000007</v>
      </c>
    </row>
    <row r="111" spans="1:8" x14ac:dyDescent="0.2">
      <c r="A111" t="s">
        <v>200</v>
      </c>
      <c r="B111" s="31" t="s">
        <v>165</v>
      </c>
      <c r="C111" s="73">
        <f>('DOE25'!L200)+('DOE25'!L218)+('DOE25'!L236)</f>
        <v>64411.53</v>
      </c>
      <c r="D111" s="23" t="s">
        <v>288</v>
      </c>
      <c r="E111" s="73">
        <f>('DOE25'!L279)+('DOE25'!L298)+('DOE25'!L317)</f>
        <v>0</v>
      </c>
      <c r="F111" s="23" t="s">
        <v>288</v>
      </c>
      <c r="G111" s="23" t="s">
        <v>288</v>
      </c>
      <c r="H111" s="13">
        <f t="shared" si="6"/>
        <v>64411.53</v>
      </c>
    </row>
    <row r="112" spans="1:8" x14ac:dyDescent="0.2">
      <c r="A112" t="s">
        <v>201</v>
      </c>
      <c r="B112" s="31" t="s">
        <v>167</v>
      </c>
      <c r="C112" s="73">
        <f>('DOE25'!L201)+('DOE25'!L219)+('DOE25'!L237)</f>
        <v>445969.46</v>
      </c>
      <c r="D112" s="23" t="s">
        <v>288</v>
      </c>
      <c r="E112" s="73">
        <f>+('DOE25'!L280)+('DOE25'!L299)+('DOE25'!L318)</f>
        <v>696288.12999999989</v>
      </c>
      <c r="F112" s="23" t="s">
        <v>288</v>
      </c>
      <c r="G112" s="23" t="s">
        <v>288</v>
      </c>
      <c r="H112" s="13">
        <f t="shared" si="6"/>
        <v>1142257.5899999999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19255322.040000003</v>
      </c>
      <c r="D115" s="68">
        <f>SUM(D109:D114)</f>
        <v>0</v>
      </c>
      <c r="E115" s="68">
        <f>SUM(E109:E114)</f>
        <v>2127600.11</v>
      </c>
      <c r="F115" s="68">
        <f>SUM(F109:F114)</f>
        <v>0</v>
      </c>
      <c r="G115" s="68">
        <f>SUM(G109:G114)</f>
        <v>0</v>
      </c>
      <c r="H115" s="68">
        <f t="shared" si="6"/>
        <v>21382922.150000002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2235000.4399999995</v>
      </c>
      <c r="D118" s="23" t="s">
        <v>288</v>
      </c>
      <c r="E118" s="73">
        <f>+('DOE25'!L282)+('DOE25'!L301)+('DOE25'!L320)</f>
        <v>325547.73</v>
      </c>
      <c r="F118" s="23" t="s">
        <v>288</v>
      </c>
      <c r="G118" s="23" t="s">
        <v>288</v>
      </c>
      <c r="H118" s="13">
        <f t="shared" ref="H118:H145" si="7">SUM(C118:G118)</f>
        <v>2560548.1699999995</v>
      </c>
    </row>
    <row r="119" spans="1:8" x14ac:dyDescent="0.2">
      <c r="A119" t="s">
        <v>208</v>
      </c>
      <c r="B119" s="31" t="s">
        <v>209</v>
      </c>
      <c r="C119" s="73">
        <f>('DOE25'!L204)+('DOE25'!L222)+('DOE25'!L240)</f>
        <v>820156.4800000001</v>
      </c>
      <c r="D119" s="23" t="s">
        <v>288</v>
      </c>
      <c r="E119" s="73">
        <f>+('DOE25'!L283)+('DOE25'!L302)+('DOE25'!L321)</f>
        <v>449685.48</v>
      </c>
      <c r="F119" s="23" t="s">
        <v>288</v>
      </c>
      <c r="G119" s="23" t="s">
        <v>288</v>
      </c>
      <c r="H119" s="13">
        <f t="shared" si="7"/>
        <v>1269841.96</v>
      </c>
    </row>
    <row r="120" spans="1:8" x14ac:dyDescent="0.2">
      <c r="A120" t="s">
        <v>210</v>
      </c>
      <c r="B120" s="31" t="s">
        <v>211</v>
      </c>
      <c r="C120" s="73">
        <f>('DOE25'!L205)+('DOE25'!L223)+('DOE25'!L241)</f>
        <v>561273.98</v>
      </c>
      <c r="D120" s="23" t="s">
        <v>288</v>
      </c>
      <c r="E120" s="73">
        <f>+('DOE25'!L284)+('DOE25'!L303)+('DOE25'!L322)</f>
        <v>94273.579999999987</v>
      </c>
      <c r="F120" s="23" t="s">
        <v>288</v>
      </c>
      <c r="G120" s="23" t="s">
        <v>288</v>
      </c>
      <c r="H120" s="13">
        <f t="shared" si="7"/>
        <v>655547.55999999994</v>
      </c>
    </row>
    <row r="121" spans="1:8" x14ac:dyDescent="0.2">
      <c r="A121" t="s">
        <v>212</v>
      </c>
      <c r="B121" s="31" t="s">
        <v>213</v>
      </c>
      <c r="C121" s="73">
        <f>('DOE25'!L206)+('DOE25'!L224)+('DOE25'!L242)</f>
        <v>2011416.3600000003</v>
      </c>
      <c r="D121" s="23" t="s">
        <v>288</v>
      </c>
      <c r="E121" s="73">
        <f>+('DOE25'!L285)+('DOE25'!L304)+('DOE25'!L323)</f>
        <v>123237.25000000001</v>
      </c>
      <c r="F121" s="23" t="s">
        <v>288</v>
      </c>
      <c r="G121" s="23" t="s">
        <v>288</v>
      </c>
      <c r="H121" s="13">
        <f t="shared" si="7"/>
        <v>2134653.6100000003</v>
      </c>
    </row>
    <row r="122" spans="1:8" x14ac:dyDescent="0.2">
      <c r="A122" t="s">
        <v>214</v>
      </c>
      <c r="B122" s="31" t="s">
        <v>215</v>
      </c>
      <c r="C122" s="73">
        <f>('DOE25'!L207)+('DOE25'!L225)+('DOE25'!L243)</f>
        <v>857076.32999999984</v>
      </c>
      <c r="D122" s="23" t="s">
        <v>288</v>
      </c>
      <c r="E122" s="73">
        <f>+('DOE25'!L286)+('DOE25'!L305)+('DOE25'!L324)</f>
        <v>0</v>
      </c>
      <c r="F122" s="23" t="s">
        <v>288</v>
      </c>
      <c r="G122" s="23" t="s">
        <v>288</v>
      </c>
      <c r="H122" s="13">
        <f t="shared" si="7"/>
        <v>857076.32999999984</v>
      </c>
    </row>
    <row r="123" spans="1:8" x14ac:dyDescent="0.2">
      <c r="A123" t="s">
        <v>216</v>
      </c>
      <c r="B123" s="31" t="s">
        <v>217</v>
      </c>
      <c r="C123" s="73">
        <f>('DOE25'!L208)+('DOE25'!L226)+('DOE25'!L244)</f>
        <v>2717988.13</v>
      </c>
      <c r="D123" s="23" t="s">
        <v>288</v>
      </c>
      <c r="E123" s="73">
        <f>+('DOE25'!L287)+('DOE25'!L306)+('DOE25'!L325)</f>
        <v>374866.98</v>
      </c>
      <c r="F123" s="23" t="s">
        <v>288</v>
      </c>
      <c r="G123" s="23" t="s">
        <v>288</v>
      </c>
      <c r="H123" s="13">
        <f t="shared" si="7"/>
        <v>3092855.11</v>
      </c>
    </row>
    <row r="124" spans="1:8" x14ac:dyDescent="0.2">
      <c r="A124" t="s">
        <v>218</v>
      </c>
      <c r="B124" s="31" t="s">
        <v>219</v>
      </c>
      <c r="C124" s="73">
        <f>('DOE25'!L209)+('DOE25'!L227)+('DOE25'!L245+'DOE25'!L255)</f>
        <v>2082541.89</v>
      </c>
      <c r="D124" s="23" t="s">
        <v>288</v>
      </c>
      <c r="E124" s="73">
        <f>+('DOE25'!L288)+('DOE25'!L307)+('DOE25'!L326)</f>
        <v>47292.86</v>
      </c>
      <c r="F124" s="23" t="s">
        <v>288</v>
      </c>
      <c r="G124" s="23" t="s">
        <v>288</v>
      </c>
      <c r="H124" s="13">
        <f t="shared" si="7"/>
        <v>2129834.75</v>
      </c>
    </row>
    <row r="125" spans="1:8" x14ac:dyDescent="0.2">
      <c r="A125" t="s">
        <v>220</v>
      </c>
      <c r="B125" s="31" t="s">
        <v>221</v>
      </c>
      <c r="C125" s="73">
        <f>('DOE25'!L210)+('DOE25'!L228)+('DOE25'!L246)</f>
        <v>1274378.8899999999</v>
      </c>
      <c r="D125" s="23" t="s">
        <v>288</v>
      </c>
      <c r="E125" s="73">
        <f>+('DOE25'!L289)+('DOE25'!L308)+('DOE25'!L327)</f>
        <v>28057</v>
      </c>
      <c r="F125" s="23" t="s">
        <v>288</v>
      </c>
      <c r="G125" s="23" t="s">
        <v>288</v>
      </c>
      <c r="H125" s="13">
        <f t="shared" si="7"/>
        <v>1302435.8899999999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1065038.1099999999</v>
      </c>
      <c r="E127" s="23" t="s">
        <v>288</v>
      </c>
      <c r="F127" s="23" t="s">
        <v>288</v>
      </c>
      <c r="G127" s="23" t="s">
        <v>288</v>
      </c>
      <c r="H127" s="13">
        <f t="shared" si="7"/>
        <v>1065038.1099999999</v>
      </c>
    </row>
    <row r="128" spans="1:8" ht="12.75" thickTop="1" thickBot="1" x14ac:dyDescent="0.25">
      <c r="A128" s="32" t="s">
        <v>226</v>
      </c>
      <c r="C128" s="68">
        <f>SUM(C118:C127)</f>
        <v>12559832.5</v>
      </c>
      <c r="D128" s="68">
        <f>SUM(D118:D127)</f>
        <v>1065038.1099999999</v>
      </c>
      <c r="E128" s="68">
        <f>SUM(E118:E127)</f>
        <v>1442960.8800000001</v>
      </c>
      <c r="F128" s="68">
        <f>SUM(F118:F127)</f>
        <v>0</v>
      </c>
      <c r="G128" s="68">
        <f>SUM(G118:G127)</f>
        <v>0</v>
      </c>
      <c r="H128" s="68">
        <f t="shared" si="7"/>
        <v>15067831.49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120198</v>
      </c>
      <c r="D130" s="23" t="s">
        <v>288</v>
      </c>
      <c r="E130" s="92">
        <f>'DOE25'!L337</f>
        <v>208189</v>
      </c>
      <c r="F130" s="92">
        <f>SUM('DOE25'!L375:'DOE25'!L381)</f>
        <v>651852.5</v>
      </c>
      <c r="G130" s="23" t="s">
        <v>288</v>
      </c>
      <c r="H130" s="13">
        <f t="shared" si="7"/>
        <v>980239.5</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10338.17</v>
      </c>
      <c r="G134" s="73">
        <f>'DOE25'!K435</f>
        <v>124063.17</v>
      </c>
      <c r="H134" s="13">
        <f t="shared" si="7"/>
        <v>134401.34</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1193000</v>
      </c>
      <c r="D137" s="23" t="s">
        <v>288</v>
      </c>
      <c r="E137" s="92">
        <f>'DOE25'!L347</f>
        <v>0</v>
      </c>
      <c r="F137" s="23" t="s">
        <v>288</v>
      </c>
      <c r="G137" s="23" t="s">
        <v>288</v>
      </c>
      <c r="H137" s="13">
        <f t="shared" si="7"/>
        <v>1193000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173268.03</v>
      </c>
      <c r="D139" s="23" t="s">
        <v>288</v>
      </c>
      <c r="E139" s="23" t="s">
        <v>288</v>
      </c>
      <c r="F139" s="23" t="s">
        <v>288</v>
      </c>
      <c r="G139" s="23" t="s">
        <v>288</v>
      </c>
      <c r="H139" s="13">
        <f t="shared" si="7"/>
        <v>173268.03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-19920.03</v>
      </c>
      <c r="D141" s="23" t="s">
        <v>288</v>
      </c>
      <c r="E141" s="23" t="s">
        <v>288</v>
      </c>
      <c r="F141" s="23" t="s">
        <v>288</v>
      </c>
      <c r="G141" s="23" t="s">
        <v>288</v>
      </c>
      <c r="H141" s="13">
        <f t="shared" si="7"/>
        <v>-19920.03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1466546</v>
      </c>
      <c r="D144" s="98">
        <f>SUM(D130:D143)</f>
        <v>0</v>
      </c>
      <c r="E144" s="98">
        <f>SUM(E130:E143)</f>
        <v>208189</v>
      </c>
      <c r="F144" s="98">
        <f>SUM(F130:F143)</f>
        <v>662190.67000000004</v>
      </c>
      <c r="G144" s="98">
        <f>SUM(G130:G143)</f>
        <v>124063.17</v>
      </c>
      <c r="H144" s="98">
        <f t="shared" si="7"/>
        <v>2460988.84</v>
      </c>
    </row>
    <row r="145" spans="1:9" ht="12.75" thickTop="1" thickBot="1" x14ac:dyDescent="0.25">
      <c r="A145" s="32" t="s">
        <v>244</v>
      </c>
      <c r="C145" s="68">
        <f>(C115+C128+C144)</f>
        <v>33281700.540000003</v>
      </c>
      <c r="D145" s="68">
        <f>(D115+D128+D144)</f>
        <v>1065038.1099999999</v>
      </c>
      <c r="E145" s="68">
        <f>(E115+E128+E144)</f>
        <v>3778749.99</v>
      </c>
      <c r="F145" s="68">
        <f>(F115+F128+F144)</f>
        <v>662190.67000000004</v>
      </c>
      <c r="G145" s="68">
        <f>(G115+G128+G144)</f>
        <v>124063.17</v>
      </c>
      <c r="H145" s="68">
        <f t="shared" si="7"/>
        <v>38911742.480000012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Monadnock Regional</v>
      </c>
    </row>
    <row r="3" spans="1:4" x14ac:dyDescent="0.2">
      <c r="B3" s="137" t="s">
        <v>1799</v>
      </c>
    </row>
    <row r="4" spans="1:4" x14ac:dyDescent="0.2">
      <c r="B4" t="s">
        <v>61</v>
      </c>
      <c r="C4" s="129">
        <f>IF('DOE25'!F666+'DOE25'!F671=0,0,ROUND('DOE25'!F673,0))</f>
        <v>21482</v>
      </c>
    </row>
    <row r="5" spans="1:4" x14ac:dyDescent="0.2">
      <c r="B5" t="s">
        <v>700</v>
      </c>
      <c r="C5" s="129">
        <f>IF('DOE25'!G666+'DOE25'!G671=0,0,ROUND('DOE25'!G673,0))</f>
        <v>18352</v>
      </c>
    </row>
    <row r="6" spans="1:4" x14ac:dyDescent="0.2">
      <c r="B6" t="s">
        <v>62</v>
      </c>
      <c r="C6" s="129">
        <f>IF('DOE25'!H666+'DOE25'!H671=0,0,ROUND('DOE25'!H673,0))</f>
        <v>18159</v>
      </c>
    </row>
    <row r="7" spans="1:4" x14ac:dyDescent="0.2">
      <c r="B7" t="s">
        <v>701</v>
      </c>
      <c r="C7" s="129">
        <f>IF('DOE25'!I666+'DOE25'!I671=0,0,ROUND('DOE25'!I673,0))</f>
        <v>20066</v>
      </c>
    </row>
    <row r="9" spans="1:4" x14ac:dyDescent="0.2">
      <c r="A9" s="136" t="s">
        <v>94</v>
      </c>
      <c r="B9" s="137" t="s">
        <v>1800</v>
      </c>
      <c r="C9" s="131" t="s">
        <v>720</v>
      </c>
      <c r="D9" s="131" t="s">
        <v>721</v>
      </c>
    </row>
    <row r="10" spans="1:4" x14ac:dyDescent="0.2">
      <c r="A10">
        <v>1100</v>
      </c>
      <c r="B10" t="s">
        <v>702</v>
      </c>
      <c r="C10" s="129">
        <f>ROUND('DOE25'!L198+'DOE25'!L216+'DOE25'!L234+'DOE25'!L277+'DOE25'!L296+'DOE25'!L315,0)</f>
        <v>11758978</v>
      </c>
      <c r="D10" s="132">
        <f>ROUND((C10/$C$28)*100,1)</f>
        <v>32.700000000000003</v>
      </c>
    </row>
    <row r="11" spans="1:4" x14ac:dyDescent="0.2">
      <c r="A11">
        <v>1200</v>
      </c>
      <c r="B11" t="s">
        <v>703</v>
      </c>
      <c r="C11" s="129">
        <f>ROUND('DOE25'!L199+'DOE25'!L217+'DOE25'!L235+'DOE25'!L278+'DOE25'!L297+'DOE25'!L316,0)</f>
        <v>8417275</v>
      </c>
      <c r="D11" s="132">
        <f>ROUND((C11/$C$28)*100,1)</f>
        <v>23.4</v>
      </c>
    </row>
    <row r="12" spans="1:4" x14ac:dyDescent="0.2">
      <c r="A12">
        <v>1300</v>
      </c>
      <c r="B12" t="s">
        <v>704</v>
      </c>
      <c r="C12" s="129">
        <f>ROUND('DOE25'!L200+'DOE25'!L218+'DOE25'!L236+'DOE25'!L279+'DOE25'!L298+'DOE25'!L317,0)</f>
        <v>64412</v>
      </c>
      <c r="D12" s="132">
        <f>ROUND((C12/$C$28)*100,1)</f>
        <v>0.2</v>
      </c>
    </row>
    <row r="13" spans="1:4" x14ac:dyDescent="0.2">
      <c r="A13">
        <v>1400</v>
      </c>
      <c r="B13" t="s">
        <v>705</v>
      </c>
      <c r="C13" s="129">
        <f>ROUND('DOE25'!L201+'DOE25'!L219+'DOE25'!L237+'DOE25'!L280+'DOE25'!L299+'DOE25'!L318,0)</f>
        <v>1142258</v>
      </c>
      <c r="D13" s="132">
        <f>ROUND((C13/$C$28)*100,1)</f>
        <v>3.2</v>
      </c>
    </row>
    <row r="14" spans="1:4" x14ac:dyDescent="0.2">
      <c r="D14" s="132"/>
    </row>
    <row r="15" spans="1:4" x14ac:dyDescent="0.2">
      <c r="A15">
        <v>2100</v>
      </c>
      <c r="B15" t="s">
        <v>706</v>
      </c>
      <c r="C15" s="129">
        <f>ROUND('DOE25'!L203+'DOE25'!L221+'DOE25'!L239+'DOE25'!L282+'DOE25'!L301+'DOE25'!L320,0)</f>
        <v>2560548</v>
      </c>
      <c r="D15" s="132">
        <f t="shared" ref="D15:D27" si="0">ROUND((C15/$C$28)*100,1)</f>
        <v>7.1</v>
      </c>
    </row>
    <row r="16" spans="1:4" x14ac:dyDescent="0.2">
      <c r="A16">
        <v>2200</v>
      </c>
      <c r="B16" t="s">
        <v>707</v>
      </c>
      <c r="C16" s="129">
        <f>ROUND('DOE25'!L204+'DOE25'!L222+'DOE25'!L240+'DOE25'!L283+'DOE25'!L302+'DOE25'!L321,0)</f>
        <v>1269842</v>
      </c>
      <c r="D16" s="132">
        <f t="shared" si="0"/>
        <v>3.5</v>
      </c>
    </row>
    <row r="17" spans="1:4" x14ac:dyDescent="0.2">
      <c r="A17" s="133" t="s">
        <v>723</v>
      </c>
      <c r="B17" t="s">
        <v>738</v>
      </c>
      <c r="C17" s="129">
        <f>ROUND('DOE25'!L205+'DOE25'!L210+'DOE25'!L223+'DOE25'!L228+'DOE25'!L241+'DOE25'!L246+'DOE25'!L284+'DOE25'!L289+'DOE25'!L303+'DOE25'!L308+'DOE25'!L322+'DOE25'!L327,0)</f>
        <v>1957983</v>
      </c>
      <c r="D17" s="132">
        <f t="shared" si="0"/>
        <v>5.4</v>
      </c>
    </row>
    <row r="18" spans="1:4" x14ac:dyDescent="0.2">
      <c r="A18">
        <v>2400</v>
      </c>
      <c r="B18" t="s">
        <v>711</v>
      </c>
      <c r="C18" s="129">
        <f>ROUND('DOE25'!L206+'DOE25'!L224+'DOE25'!L242+'DOE25'!L285+'DOE25'!L304+'DOE25'!L323,0)</f>
        <v>2134654</v>
      </c>
      <c r="D18" s="132">
        <f t="shared" si="0"/>
        <v>5.9</v>
      </c>
    </row>
    <row r="19" spans="1:4" x14ac:dyDescent="0.2">
      <c r="A19">
        <v>2500</v>
      </c>
      <c r="B19" t="s">
        <v>708</v>
      </c>
      <c r="C19" s="129">
        <f>ROUND('DOE25'!L207+'DOE25'!L225+'DOE25'!L243+'DOE25'!L286+'DOE25'!L305+'DOE25'!L324,0)</f>
        <v>857076</v>
      </c>
      <c r="D19" s="132">
        <f t="shared" si="0"/>
        <v>2.4</v>
      </c>
    </row>
    <row r="20" spans="1:4" x14ac:dyDescent="0.2">
      <c r="A20">
        <v>2600</v>
      </c>
      <c r="B20" t="s">
        <v>709</v>
      </c>
      <c r="C20" s="129">
        <f>ROUND('DOE25'!L208+'DOE25'!L226+'DOE25'!L244+'DOE25'!L287+'DOE25'!L306+'DOE25'!L325,0)</f>
        <v>3092855</v>
      </c>
      <c r="D20" s="132">
        <f t="shared" si="0"/>
        <v>8.6</v>
      </c>
    </row>
    <row r="21" spans="1:4" x14ac:dyDescent="0.2">
      <c r="A21">
        <v>2700</v>
      </c>
      <c r="B21" t="s">
        <v>710</v>
      </c>
      <c r="C21" s="129">
        <f>ROUND('DOE25'!L209+'DOE25'!L227+'DOE25'!L245+'DOE25'!L288+'DOE25'!L307+'DOE25'!L326,0)</f>
        <v>2129835</v>
      </c>
      <c r="D21" s="132">
        <f t="shared" si="0"/>
        <v>5.9</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616009.43999999994</v>
      </c>
      <c r="D27" s="132">
        <f t="shared" si="0"/>
        <v>1.7</v>
      </c>
    </row>
    <row r="28" spans="1:4" x14ac:dyDescent="0.2">
      <c r="B28" s="136" t="s">
        <v>719</v>
      </c>
      <c r="C28" s="130">
        <f>SUM(C10:C27)</f>
        <v>36001725.439999998</v>
      </c>
      <c r="D28" s="134">
        <f>ROUND(SUM(D10:D27),0)</f>
        <v>100</v>
      </c>
    </row>
    <row r="29" spans="1:4" x14ac:dyDescent="0.2">
      <c r="A29">
        <v>4000</v>
      </c>
      <c r="B29" t="s">
        <v>724</v>
      </c>
      <c r="C29" s="129">
        <f>ROUND('DOE25'!L256+'DOE25'!L337+'DOE25'!L375+'DOE25'!L376+'DOE25'!L377+'DOE25'!L378+'DOE25'!L379+'DOE25'!L380+'DOE25'!L381,0)</f>
        <v>980240</v>
      </c>
    </row>
    <row r="30" spans="1:4" x14ac:dyDescent="0.2">
      <c r="B30" s="136" t="s">
        <v>725</v>
      </c>
      <c r="C30" s="130">
        <f>SUM(C28:C29)</f>
        <v>36981965.439999998</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17734809</v>
      </c>
      <c r="D35" s="132">
        <f t="shared" ref="D35:D40" si="1">ROUND((C35/$C$41)*100,1)</f>
        <v>48.3</v>
      </c>
    </row>
    <row r="36" spans="1:4" x14ac:dyDescent="0.2">
      <c r="B36" s="71" t="s">
        <v>739</v>
      </c>
      <c r="C36" s="129">
        <f>SUM('DOE25'!F112:J112)-SUM('DOE25'!G97:G110)+('DOE25'!F175+'DOE25'!F176+'DOE25'!I175+'DOE25'!I176)-C35</f>
        <v>561774.67000000179</v>
      </c>
      <c r="D36" s="132">
        <f t="shared" si="1"/>
        <v>1.5</v>
      </c>
    </row>
    <row r="37" spans="1:4" x14ac:dyDescent="0.2">
      <c r="A37" s="133" t="s">
        <v>834</v>
      </c>
      <c r="B37" s="71" t="s">
        <v>728</v>
      </c>
      <c r="C37" s="129">
        <f>ROUND('DOE25'!F117+'DOE25'!F118,0)</f>
        <v>12946990</v>
      </c>
      <c r="D37" s="132">
        <f t="shared" si="1"/>
        <v>35.200000000000003</v>
      </c>
    </row>
    <row r="38" spans="1:4" x14ac:dyDescent="0.2">
      <c r="A38" s="133" t="s">
        <v>734</v>
      </c>
      <c r="B38" s="71" t="s">
        <v>729</v>
      </c>
      <c r="C38" s="129">
        <f>ROUND(SUM('DOE25'!F140:J140)-SUM('DOE25'!F117:F119),0)</f>
        <v>664577</v>
      </c>
      <c r="D38" s="132">
        <f t="shared" si="1"/>
        <v>1.8</v>
      </c>
    </row>
    <row r="39" spans="1:4" x14ac:dyDescent="0.2">
      <c r="A39">
        <v>4000</v>
      </c>
      <c r="B39" s="71" t="s">
        <v>730</v>
      </c>
      <c r="C39" s="129">
        <f>ROUND('DOE25'!F170+'DOE25'!G170+'DOE25'!H170+'DOE25'!I170,0)</f>
        <v>4825384</v>
      </c>
      <c r="D39" s="132">
        <f t="shared" si="1"/>
        <v>13.1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36733534.670000002</v>
      </c>
      <c r="D41" s="134">
        <f>SUM(D35:D40)</f>
        <v>99.899999999999991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Monadnock Regional</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56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46</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59</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64</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98</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200</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f>IFERROR(SMALL($I$4:$I$325,ROWS($I$4:I8)),"")</f>
        <v>294</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f>IF('School Level Expenditures'!$B$2='School Tables'!L49,'School Tables'!S49,"")</f>
        <v>46</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f>IF('School Level Expenditures'!$B$2=A59,'School Tables'!H59,"")</f>
        <v>56</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f>IF('School Level Expenditures'!$B$2='School Tables'!W62,'School Tables'!AD62,"")</f>
        <v>59</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f>IF('School Level Expenditures'!$B$2=A67,'School Tables'!H67,"")</f>
        <v>64</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f>IF('School Level Expenditures'!$B$2=A101,'School Tables'!H101,"")</f>
        <v>98</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f>IF('School Level Expenditures'!$B$2=A203,'School Tables'!H203,"")</f>
        <v>200</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f>IF('School Level Expenditures'!$B$2=A297,'School Tables'!H297,"")</f>
        <v>294</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2023-12-28T19:57:07Z</dcterms:modified>
</cp:coreProperties>
</file>