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5104634-FBC3-4637-A93D-93EFC6457A0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93" i="1" l="1"/>
  <c r="H492" i="1"/>
  <c r="F24" i="1"/>
  <c r="F368" i="1"/>
  <c r="G40" i="1"/>
  <c r="G470" i="1"/>
  <c r="G469" i="1"/>
  <c r="K6" i="14" l="1"/>
  <c r="N6" i="14"/>
  <c r="L6" i="14"/>
  <c r="D6" i="14"/>
  <c r="C37" i="12"/>
  <c r="B37" i="12"/>
  <c r="C20" i="12"/>
  <c r="C19" i="12"/>
  <c r="B20" i="12" l="1"/>
  <c r="B19" i="12"/>
  <c r="B10" i="12"/>
  <c r="C10" i="12"/>
  <c r="C11" i="12" l="1"/>
  <c r="D5" i="14"/>
  <c r="I199" i="1"/>
  <c r="H198" i="1"/>
  <c r="H199" i="1"/>
  <c r="H605" i="1"/>
  <c r="H527" i="1"/>
  <c r="H522" i="1"/>
  <c r="I522" i="1"/>
  <c r="G522" i="1"/>
  <c r="F522" i="1"/>
  <c r="H209" i="1"/>
  <c r="I208" i="1"/>
  <c r="H208" i="1"/>
  <c r="I206" i="1"/>
  <c r="H206" i="1"/>
  <c r="F6" i="13"/>
  <c r="D9" i="13"/>
  <c r="D11" i="13"/>
  <c r="K205" i="1"/>
  <c r="H205" i="1"/>
  <c r="G205" i="1"/>
  <c r="F205" i="1"/>
  <c r="I204" i="1"/>
  <c r="H204" i="1"/>
  <c r="G204" i="1"/>
  <c r="F204" i="1"/>
  <c r="K203" i="1"/>
  <c r="I203" i="1"/>
  <c r="H203" i="1"/>
  <c r="G203" i="1"/>
  <c r="F203" i="1"/>
  <c r="I201" i="1"/>
  <c r="H201" i="1"/>
  <c r="G201" i="1"/>
  <c r="F201" i="1"/>
  <c r="J592" i="1"/>
  <c r="H592" i="1"/>
  <c r="H596" i="1"/>
  <c r="F110" i="1"/>
  <c r="F57" i="1"/>
  <c r="F9" i="1"/>
  <c r="H473" i="1" l="1"/>
  <c r="H288" i="1"/>
  <c r="H48" i="1"/>
  <c r="H12" i="1"/>
  <c r="J96" i="1"/>
  <c r="J469" i="1"/>
  <c r="J466" i="1"/>
  <c r="G440" i="1"/>
  <c r="G460" i="1"/>
  <c r="F460" i="1"/>
  <c r="F440" i="1"/>
  <c r="H393" i="1"/>
  <c r="H469" i="1"/>
  <c r="H466" i="1"/>
  <c r="H278" i="1"/>
  <c r="I277" i="1"/>
  <c r="H155" i="1"/>
  <c r="H162" i="1"/>
  <c r="F369" i="1" l="1"/>
  <c r="G97" i="1" l="1"/>
  <c r="H137" i="2" l="1"/>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32" i="2"/>
  <c r="H131" i="2"/>
  <c r="H125" i="2"/>
  <c r="H113" i="2"/>
  <c r="H114" i="2"/>
  <c r="H97" i="2"/>
  <c r="H98" i="2"/>
  <c r="H99" i="2"/>
  <c r="H100" i="2"/>
  <c r="H101" i="2"/>
  <c r="H102" i="2"/>
  <c r="H94" i="2"/>
  <c r="H93" i="2"/>
  <c r="H89" i="2"/>
  <c r="H87" i="2"/>
  <c r="H73" i="2"/>
  <c r="H74" i="2"/>
  <c r="H75" i="2"/>
  <c r="H79" i="2"/>
  <c r="H80" i="2"/>
  <c r="H72" i="2"/>
  <c r="H57" i="2"/>
  <c r="H58" i="2"/>
  <c r="H48" i="2"/>
  <c r="H43" i="2"/>
  <c r="H44" i="2"/>
  <c r="H42" i="2"/>
  <c r="H40" i="2"/>
  <c r="H38" i="2"/>
  <c r="H36" i="2"/>
  <c r="H35" i="2"/>
  <c r="H22" i="2"/>
  <c r="H24" i="2"/>
  <c r="H25" i="2"/>
  <c r="H26" i="2"/>
  <c r="H27" i="2"/>
  <c r="H30" i="2"/>
  <c r="H21" i="2"/>
  <c r="H9" i="2"/>
  <c r="H10" i="2"/>
  <c r="H12"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H29" i="2" s="1"/>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C76" i="2"/>
  <c r="H76" i="2" s="1"/>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4" i="2"/>
  <c r="C125"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H653" i="1"/>
  <c r="G654" i="1"/>
  <c r="H654" i="1"/>
  <c r="H655" i="1"/>
  <c r="H656" i="1"/>
  <c r="I170" i="1"/>
  <c r="G477" i="1" l="1"/>
  <c r="H624" i="1" s="1"/>
  <c r="J624" i="1" s="1"/>
  <c r="C121" i="2"/>
  <c r="C120" i="2"/>
  <c r="H120" i="2" s="1"/>
  <c r="M2" i="14"/>
  <c r="M3" i="14" s="1"/>
  <c r="L2" i="14"/>
  <c r="L3" i="14" s="1"/>
  <c r="C13" i="10"/>
  <c r="H112" i="2"/>
  <c r="K2" i="14"/>
  <c r="K3" i="14" s="1"/>
  <c r="J652" i="1"/>
  <c r="D15" i="13"/>
  <c r="C15" i="13" s="1"/>
  <c r="C12" i="10"/>
  <c r="H59" i="2"/>
  <c r="H23" i="2"/>
  <c r="H47" i="2"/>
  <c r="H11" i="2"/>
  <c r="H477" i="1"/>
  <c r="H625" i="1" s="1"/>
  <c r="J625" i="1" s="1"/>
  <c r="E121" i="2"/>
  <c r="H121" i="2" s="1"/>
  <c r="N2" i="14"/>
  <c r="N3" i="14" s="1"/>
  <c r="H61" i="2"/>
  <c r="H13" i="2"/>
  <c r="H8" i="2"/>
  <c r="G662" i="1"/>
  <c r="D78" i="2"/>
  <c r="H78" i="2" s="1"/>
  <c r="H77"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B33" i="16" l="1"/>
  <c r="H123" i="2"/>
  <c r="C81" i="2"/>
  <c r="H81" i="2" s="1"/>
  <c r="F194" i="1"/>
  <c r="G628" i="1" s="1"/>
  <c r="J628" i="1" s="1"/>
  <c r="G144" i="2"/>
  <c r="G145" i="2" s="1"/>
  <c r="H134" i="2"/>
  <c r="E128" i="2"/>
  <c r="H118" i="2"/>
  <c r="E91" i="2"/>
  <c r="H91" i="2" s="1"/>
  <c r="H85" i="2"/>
  <c r="H50" i="2"/>
  <c r="H18" i="2"/>
  <c r="I662" i="1"/>
  <c r="D128" i="2"/>
  <c r="H127" i="2"/>
  <c r="D63" i="2"/>
  <c r="H62" i="2"/>
  <c r="D51" i="2"/>
  <c r="H31"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C144" i="2"/>
  <c r="H144" i="2" s="1"/>
  <c r="H141" i="2"/>
  <c r="E104" i="2"/>
  <c r="H104" i="2" s="1"/>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<sst xmlns="http://schemas.openxmlformats.org/spreadsheetml/2006/main" count="6567" uniqueCount="1822">
  <si>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</si>
  <si>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</si>
  <si>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</si>
  <si>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</si>
  <si>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</si>
  <si>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</si>
  <si>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</si>
  <si>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</si>
  <si>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</si>
  <si>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</si>
  <si>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</si>
  <si>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</si>
  <si>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</si>
  <si>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</si>
  <si>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</si>
  <si>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</si>
  <si>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</si>
  <si>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</si>
  <si>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</si>
  <si>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</si>
  <si>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</si>
  <si>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</si>
  <si>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</si>
  <si>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</si>
  <si>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</si>
  <si>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</si>
  <si>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</si>
  <si>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</si>
  <si>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</si>
  <si>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</si>
  <si>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</si>
  <si>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</si>
  <si>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</si>
  <si>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</si>
  <si>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</si>
  <si>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</si>
  <si>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</si>
  <si>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</si>
  <si>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</si>
  <si>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</si>
  <si>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</si>
  <si>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</si>
  <si>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</si>
  <si>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</si>
  <si>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</si>
  <si>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</si>
  <si>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</si>
  <si>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</si>
  <si>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</si>
  <si>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</si>
  <si>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</si>
  <si>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</si>
  <si>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</si>
  <si>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</si>
  <si>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</si>
  <si>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</si>
  <si>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</si>
  <si>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</si>
  <si>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</si>
  <si>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</si>
  <si>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</si>
  <si>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</si>
  <si>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</si>
  <si>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</si>
  <si>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</si>
  <si>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</si>
  <si>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</si>
  <si>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</si>
  <si>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</si>
  <si>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</si>
  <si>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</si>
  <si>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</si>
  <si>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</si>
  <si>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</si>
  <si>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</si>
  <si>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</si>
  <si>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</si>
  <si>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</si>
  <si>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</si>
  <si>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</si>
  <si>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</si>
  <si>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</si>
  <si>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</si>
  <si>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</si>
  <si>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</si>
  <si>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</si>
  <si>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</si>
  <si>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</si>
  <si>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</si>
  <si>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</si>
  <si>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</si>
  <si>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</si>
  <si>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</si>
  <si>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</si>
  <si>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</si>
  <si>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</si>
  <si>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</si>
  <si>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</si>
  <si>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</si>
  <si>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</si>
  <si>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</si>
  <si>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</si>
  <si>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</si>
  <si>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</si>
  <si>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</si>
  <si>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</si>
  <si>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</si>
  <si>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</si>
  <si>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</si>
  <si>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</si>
  <si>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</si>
  <si>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</si>
  <si>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</si>
  <si>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</si>
  <si>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</si>
  <si>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</si>
  <si>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</si>
  <si>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</si>
  <si>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</si>
  <si>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</si>
  <si>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</si>
  <si>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</si>
  <si>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</si>
  <si>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</si>
  <si>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</si>
  <si>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</si>
  <si>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</si>
  <si>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</si>
  <si>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</si>
  <si>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</si>
  <si>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</si>
  <si>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</si>
  <si>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</si>
  <si>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</si>
  <si>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</si>
  <si>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</si>
  <si>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</si>
  <si>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</si>
  <si>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</si>
  <si>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</si>
  <si>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</si>
  <si>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</si>
  <si>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</si>
  <si>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</si>
  <si>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</si>
  <si>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</si>
  <si>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</si>
  <si>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</si>
  <si>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</si>
  <si>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</si>
  <si>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</si>
  <si>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</si>
  <si>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</si>
  <si>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</si>
  <si>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</si>
  <si>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</si>
  <si>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</si>
  <si>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</si>
  <si>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</si>
  <si>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</si>
  <si>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</si>
  <si>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</si>
  <si>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</si>
  <si>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</si>
  <si>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</si>
  <si>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</si>
  <si>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</si>
  <si>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</si>
  <si>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</si>
  <si>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</si>
  <si>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</si>
  <si>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</si>
  <si>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</si>
  <si>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</si>
  <si>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</si>
  <si>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</si>
  <si>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</si>
  <si>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</si>
  <si>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</si>
  <si>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</si>
  <si>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</si>
  <si>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</si>
  <si>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</si>
  <si>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</si>
  <si>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</si>
  <si>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</si>
  <si>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</si>
  <si>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</si>
  <si>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</si>
  <si>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</si>
  <si>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</si>
  <si>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</si>
  <si>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</si>
  <si>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</si>
  <si>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</si>
  <si>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</si>
  <si>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</si>
  <si>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</si>
  <si>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</si>
  <si>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</si>
  <si>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</si>
  <si>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</si>
  <si>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</si>
  <si>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</si>
  <si>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</si>
  <si>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</si>
  <si>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</si>
  <si>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</si>
  <si>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</si>
  <si>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</si>
  <si>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</si>
  <si>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</si>
  <si>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</si>
  <si>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</si>
  <si>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</si>
  <si>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</si>
  <si>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</si>
  <si>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</si>
  <si>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</si>
  <si>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</si>
  <si>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</si>
  <si>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</si>
  <si>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</si>
  <si>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</si>
  <si>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</si>
  <si>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</si>
  <si>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</si>
  <si>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</si>
  <si>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</si>
  <si>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</si>
  <si>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</si>
  <si>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</si>
  <si>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</si>
  <si>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</si>
  <si>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</si>
  <si>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</si>
  <si>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</si>
  <si>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</si>
  <si>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</si>
  <si>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</si>
  <si>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</si>
  <si>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</si>
  <si>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</si>
  <si>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</si>
  <si>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</si>
  <si>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</si>
  <si>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</si>
  <si>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</si>
  <si>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</si>
  <si>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</si>
  <si>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</si>
  <si>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</si>
  <si>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</si>
  <si>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</si>
  <si>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</si>
  <si>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</si>
  <si>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</si>
  <si>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</si>
  <si>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</si>
  <si>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</si>
  <si>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</si>
  <si>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</si>
  <si>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</si>
  <si>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</si>
  <si>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</si>
  <si>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</si>
  <si>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</si>
  <si>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</si>
  <si>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</si>
  <si>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</si>
  <si>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</si>
  <si>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</si>
  <si>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</si>
  <si>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</si>
  <si>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</si>
  <si>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</si>
  <si>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</si>
  <si>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</si>
  <si>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</si>
  <si>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</si>
  <si>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</si>
  <si>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</si>
  <si>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</si>
  <si>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</si>
  <si>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</si>
  <si>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</si>
  <si>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</si>
  <si>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</si>
  <si>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</si>
  <si>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</si>
  <si>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</si>
  <si>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</si>
  <si>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</si>
  <si>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</si>
  <si>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</si>
  <si>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</si>
  <si>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</si>
  <si>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</si>
  <si>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</si>
  <si>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</si>
  <si>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</si>
  <si>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</si>
  <si>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</si>
  <si>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</si>
  <si>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</si>
  <si>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</si>
  <si>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</si>
  <si>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</si>
  <si>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</si>
  <si>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</si>
  <si>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</si>
  <si>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</si>
  <si>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</si>
  <si>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</si>
  <si>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</si>
  <si>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</si>
  <si>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</si>
  <si>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</si>
  <si>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</si>
  <si>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</si>
  <si>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</si>
  <si>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</si>
  <si>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</si>
  <si>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</si>
  <si>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</si>
  <si>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</si>
  <si>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</si>
  <si>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</si>
  <si>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</si>
  <si>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</si>
  <si>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</si>
  <si>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</si>
  <si>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</si>
  <si>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</si>
  <si>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</si>
  <si>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</si>
  <si>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</si>
  <si>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</si>
  <si>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</si>
  <si>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</si>
  <si>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</si>
  <si>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</si>
  <si>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</si>
  <si>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</si>
  <si>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</si>
  <si>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</si>
  <si>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</si>
  <si>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</si>
  <si>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</si>
  <si>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</si>
  <si>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</si>
  <si>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</si>
  <si>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</si>
  <si>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</si>
  <si>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</si>
  <si>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</si>
  <si>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</si>
  <si>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</si>
  <si>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</si>
  <si>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</si>
  <si>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</si>
  <si>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</si>
  <si>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</si>
  <si>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</si>
  <si>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</si>
  <si>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</si>
  <si>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</si>
  <si>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</si>
  <si>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</si>
  <si>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</si>
  <si>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</si>
  <si>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</si>
  <si>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</si>
  <si>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</si>
  <si>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</si>
  <si>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</si>
  <si>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</si>
  <si>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</si>
  <si>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</si>
  <si>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</si>
  <si>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</si>
  <si>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</si>
  <si>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</si>
  <si>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</si>
  <si>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</si>
  <si>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</si>
  <si>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</si>
  <si>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</si>
  <si>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</si>
  <si>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</si>
  <si>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</si>
  <si>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</si>
  <si>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</si>
  <si>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</si>
  <si>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</si>
  <si>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</si>
  <si>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</si>
  <si>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</si>
  <si>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</si>
  <si>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</si>
  <si>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</si>
  <si>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</si>
  <si>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</si>
  <si>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</si>
  <si>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</si>
  <si>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</si>
  <si>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</si>
  <si>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</si>
  <si>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</si>
  <si>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</si>
  <si>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</si>
  <si>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</si>
  <si>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</si>
  <si>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</si>
  <si>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</si>
  <si>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</si>
  <si>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</si>
  <si>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</si>
  <si>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</si>
  <si>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</si>
  <si>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</si>
  <si>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</si>
  <si>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</si>
  <si>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</si>
  <si>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</si>
  <si>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</si>
  <si>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</si>
  <si>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</si>
  <si>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</si>
  <si>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</si>
  <si>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</si>
  <si>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</si>
  <si>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</si>
  <si>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</si>
  <si>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</si>
  <si>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</si>
  <si>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</si>
  <si>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</si>
  <si>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</si>
  <si>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</si>
  <si>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</si>
  <si>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</si>
  <si>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</si>
  <si>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</si>
  <si>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</si>
  <si>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</si>
  <si>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</si>
  <si>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</si>
  <si>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</si>
  <si>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</si>
  <si>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</si>
  <si>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</si>
  <si>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</si>
  <si>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</si>
  <si>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</si>
  <si>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</si>
  <si>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</si>
  <si>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</si>
  <si>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</si>
  <si>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</si>
  <si>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</si>
  <si>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</si>
  <si>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</si>
  <si>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</si>
  <si>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</si>
  <si>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</si>
  <si>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</si>
  <si>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</si>
  <si>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</si>
  <si>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</si>
  <si>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</si>
  <si>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</si>
  <si>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</si>
  <si>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</si>
  <si>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</si>
  <si>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</si>
  <si>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</si>
  <si>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</si>
  <si>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</si>
  <si>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</si>
  <si>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</si>
  <si>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</si>
  <si>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</si>
  <si>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</si>
  <si>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</si>
  <si>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</si>
  <si>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</si>
  <si>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</si>
  <si>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</si>
  <si>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</si>
  <si>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</si>
  <si>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</si>
  <si>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</si>
  <si>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</si>
  <si>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</si>
  <si>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</si>
  <si>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</si>
  <si>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</si>
  <si>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</si>
  <si>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</si>
  <si>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</si>
  <si>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</si>
  <si>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</si>
  <si>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</si>
  <si>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</si>
  <si>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</si>
  <si>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</si>
  <si>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</si>
  <si>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</si>
  <si>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</si>
  <si>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</si>
  <si>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</si>
  <si>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</si>
  <si>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</si>
  <si>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</si>
  <si>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</si>
  <si>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</si>
  <si>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</si>
  <si>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</si>
  <si>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</si>
  <si>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</si>
  <si>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</si>
  <si>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</si>
  <si>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</si>
  <si>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</si>
  <si>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</si>
  <si>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</si>
  <si>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</si>
  <si>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</si>
  <si>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</si>
  <si>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</si>
  <si>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</si>
  <si>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</si>
  <si>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</si>
  <si>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</si>
  <si>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</si>
  <si>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</si>
  <si>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</si>
  <si>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</si>
  <si>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</si>
  <si>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</si>
  <si>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</si>
  <si>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</si>
  <si>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</si>
  <si>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</si>
  <si>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</si>
  <si>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</si>
  <si>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</si>
  <si>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</si>
  <si>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</si>
  <si>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</si>
  <si>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</si>
  <si>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</si>
  <si>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</si>
  <si>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</si>
  <si>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</si>
  <si>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</si>
  <si>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</si>
  <si>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</si>
  <si>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</si>
  <si>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</si>
  <si>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</si>
  <si>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</si>
  <si>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</si>
  <si>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</si>
  <si>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</si>
  <si>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</si>
  <si>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</si>
  <si>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</si>
  <si>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</si>
  <si>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</si>
  <si>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</si>
  <si>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</si>
  <si>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</si>
  <si>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</si>
  <si>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</si>
  <si>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</si>
  <si>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</si>
  <si>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</si>
  <si>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</si>
  <si>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</si>
  <si>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</si>
  <si>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</si>
  <si>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</si>
  <si>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</si>
  <si>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</si>
  <si>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</si>
  <si>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</si>
  <si>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</si>
  <si>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</si>
  <si>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</si>
  <si>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</si>
  <si>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</si>
  <si>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</si>
  <si>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</si>
  <si>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</si>
  <si>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</si>
  <si>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</si>
  <si>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</si>
  <si>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</si>
  <si>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</si>
  <si>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</si>
  <si>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</si>
  <si>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</si>
  <si>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</si>
  <si>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</si>
  <si>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</si>
  <si>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</si>
  <si>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</si>
  <si>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</si>
  <si>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</si>
  <si>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</si>
  <si>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</si>
  <si>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</si>
  <si>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</si>
  <si>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</si>
  <si>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</si>
  <si>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</si>
  <si>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</si>
  <si>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</si>
  <si>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</si>
  <si>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</si>
  <si>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</si>
  <si>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</si>
  <si>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</si>
  <si>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</si>
  <si>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</si>
  <si>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</si>
  <si>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</si>
  <si>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</si>
  <si>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</si>
  <si>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</si>
  <si>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</si>
  <si>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</si>
  <si>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</si>
  <si>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</si>
  <si>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</si>
  <si>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</si>
  <si>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</si>
  <si>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</si>
  <si>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</si>
  <si>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</si>
  <si>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</si>
  <si>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</si>
  <si>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</si>
  <si>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</si>
  <si>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</si>
  <si>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</si>
  <si>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</si>
  <si>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</si>
  <si>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</si>
  <si>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</si>
  <si>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</si>
  <si>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</si>
  <si>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</si>
  <si>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</si>
  <si>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</si>
  <si>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</si>
  <si>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</si>
  <si>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</si>
  <si>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</si>
  <si>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</si>
  <si>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</si>
  <si>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</si>
  <si>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</si>
  <si>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</si>
  <si>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</si>
  <si>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</si>
  <si>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</si>
  <si>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</si>
  <si>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</si>
  <si>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</si>
  <si>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</si>
  <si>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</si>
  <si>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</si>
  <si>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</si>
  <si>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</si>
  <si>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</si>
  <si>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</si>
  <si>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</si>
  <si>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</si>
  <si>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</si>
  <si>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</si>
  <si>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</si>
  <si>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</si>
  <si>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</si>
  <si>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</si>
  <si>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</si>
  <si>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</si>
  <si>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</si>
  <si>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</si>
  <si>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</si>
  <si>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</si>
  <si>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</si>
  <si>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</si>
  <si>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</si>
  <si>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</si>
  <si>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</si>
  <si>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</si>
  <si>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</si>
  <si>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</si>
  <si>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</si>
  <si>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</si>
  <si>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</si>
  <si>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</si>
  <si>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</si>
  <si>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</si>
  <si>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</si>
  <si>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</si>
  <si>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</si>
  <si>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</si>
  <si>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</si>
  <si>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</si>
  <si>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</si>
  <si>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</si>
  <si>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</si>
  <si>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</si>
  <si>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</si>
  <si>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</si>
  <si>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</si>
  <si>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</si>
  <si>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</si>
  <si>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</si>
  <si>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</si>
  <si>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</si>
  <si>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</si>
  <si>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</si>
  <si>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</si>
  <si>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</si>
  <si>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</si>
  <si>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</si>
  <si>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</si>
  <si>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</si>
  <si>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</si>
  <si>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</si>
  <si>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</si>
  <si>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</si>
  <si>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</si>
  <si>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</si>
  <si>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</si>
  <si>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</si>
  <si>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</si>
  <si>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</si>
  <si>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</si>
  <si>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</si>
  <si>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</si>
  <si>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</si>
  <si>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</si>
  <si>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</si>
  <si>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</si>
  <si>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</si>
  <si>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</si>
  <si>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</si>
  <si>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</si>
  <si>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</si>
  <si>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</si>
  <si>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</si>
  <si>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</si>
  <si>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</si>
  <si>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</si>
  <si>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</si>
  <si>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</si>
  <si>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</si>
  <si>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</si>
  <si>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</si>
  <si>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</si>
  <si>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</si>
  <si>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</si>
  <si>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</si>
  <si>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</si>
  <si>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</si>
  <si>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</si>
  <si>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</si>
  <si>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</si>
  <si>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</si>
  <si>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</si>
  <si>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</si>
  <si>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</si>
  <si>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</si>
  <si>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</si>
  <si>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</si>
  <si>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</si>
  <si>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</si>
  <si>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</si>
  <si>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</si>
  <si>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</si>
  <si>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</si>
  <si>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</si>
  <si>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</si>
  <si>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</si>
  <si>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</si>
  <si>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</si>
  <si>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</si>
  <si>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</si>
  <si>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</si>
  <si>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</si>
  <si>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</si>
  <si>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</si>
  <si>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</si>
  <si>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</si>
  <si>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</si>
  <si>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</si>
  <si>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</si>
  <si>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</si>
  <si>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</si>
  <si>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</si>
  <si>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</si>
  <si>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</si>
  <si>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</si>
  <si>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</si>
  <si>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</si>
  <si>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</si>
  <si>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</si>
  <si>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</si>
  <si>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</si>
  <si>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</si>
  <si>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</si>
  <si>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</si>
  <si>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</si>
  <si>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</si>
  <si>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</si>
  <si>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</si>
  <si>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</si>
  <si>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</si>
  <si>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</si>
  <si>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</si>
  <si>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</si>
  <si>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</si>
  <si>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</si>
  <si>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</si>
  <si>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</si>
  <si>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</si>
  <si>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</si>
  <si>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</si>
  <si>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</si>
  <si>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</si>
  <si>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</si>
  <si>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</si>
  <si>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</si>
  <si>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</si>
  <si>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</si>
  <si>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</si>
  <si>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</si>
  <si>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</si>
  <si>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</si>
  <si>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</si>
  <si>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</si>
  <si>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</si>
  <si>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</si>
  <si>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</si>
  <si>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</si>
  <si>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</si>
  <si>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</si>
  <si>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</si>
  <si>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</si>
  <si>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</si>
  <si>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</si>
  <si>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</si>
  <si>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</si>
  <si>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</si>
  <si>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</si>
  <si>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</si>
  <si>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</si>
  <si>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</si>
  <si>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</si>
  <si>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</si>
  <si>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</si>
  <si>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</si>
  <si>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</si>
  <si>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</si>
  <si>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</si>
  <si>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</si>
  <si>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</si>
  <si>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</si>
  <si>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</si>
  <si>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</si>
  <si>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</si>
  <si>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</si>
  <si>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</si>
  <si>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</si>
  <si>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</si>
  <si>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</si>
  <si>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</si>
  <si>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</si>
  <si>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</si>
  <si>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</si>
  <si>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</si>
  <si>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</si>
  <si>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</si>
  <si>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</si>
  <si>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</si>
  <si>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</si>
  <si>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</si>
  <si>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</si>
  <si>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</si>
  <si>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</si>
  <si>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</si>
  <si>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</si>
  <si>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</si>
  <si>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</si>
  <si>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</si>
  <si>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</si>
  <si>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</si>
  <si>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</si>
  <si>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</si>
  <si>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</si>
  <si>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</si>
  <si>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</si>
  <si>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</si>
  <si>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</si>
  <si>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</si>
  <si>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</si>
  <si>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</si>
  <si>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</si>
  <si>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</si>
  <si>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</si>
  <si>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</si>
  <si>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</si>
  <si>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</si>
  <si>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</si>
  <si>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</si>
  <si>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</si>
  <si>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</si>
  <si>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</si>
  <si>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</si>
  <si>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</si>
  <si>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</si>
  <si>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</si>
  <si>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</si>
  <si>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</si>
  <si>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</si>
  <si>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</si>
  <si>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</si>
  <si>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</si>
  <si>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</si>
  <si>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</si>
  <si>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</si>
  <si>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</si>
  <si>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</si>
  <si>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</si>
  <si>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</si>
  <si>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</si>
  <si>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</si>
  <si>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</si>
  <si>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</si>
  <si>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</si>
  <si>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</si>
  <si>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</si>
  <si>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</si>
  <si>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</si>
  <si>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</si>
  <si>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</si>
  <si>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</si>
  <si>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</si>
  <si>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</si>
  <si>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</si>
  <si>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</si>
  <si>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</si>
  <si>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</si>
  <si>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</si>
  <si>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</si>
  <si>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</si>
  <si>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</si>
  <si>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</si>
  <si>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</si>
  <si>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</si>
  <si>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</si>
  <si>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</si>
  <si>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</si>
  <si>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</si>
  <si>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</si>
  <si>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</si>
  <si>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</si>
  <si>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</si>
  <si>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</si>
  <si>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</si>
  <si>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</si>
  <si>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</si>
  <si>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</si>
  <si>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</si>
  <si>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</si>
  <si>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</si>
  <si>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</si>
  <si>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</si>
  <si>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</si>
  <si>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</si>
  <si>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</si>
  <si>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</si>
  <si>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</si>
  <si>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</si>
  <si>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</si>
  <si>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</si>
  <si>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</si>
  <si>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</si>
  <si>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</si>
  <si>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</si>
  <si>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</si>
  <si>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</si>
  <si>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</si>
  <si>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</si>
  <si>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</si>
  <si>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</si>
  <si>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</si>
  <si>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</si>
  <si>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</si>
  <si>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</si>
  <si>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</si>
  <si>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</si>
  <si>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</si>
  <si>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</si>
  <si>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</si>
  <si>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</si>
  <si>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</si>
  <si>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</si>
  <si>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</si>
  <si>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</si>
  <si>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</si>
  <si>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</si>
  <si>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</si>
  <si>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</si>
  <si>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</si>
  <si>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</si>
  <si>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</si>
  <si>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</si>
  <si>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</si>
  <si>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</si>
  <si>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</si>
  <si>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</si>
  <si>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</si>
  <si>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</si>
  <si>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</si>
  <si>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</si>
  <si>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</si>
  <si>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</si>
  <si>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</si>
  <si>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</si>
  <si>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</si>
  <si>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</si>
  <si>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</si>
  <si>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</si>
  <si>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</si>
  <si>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</si>
  <si>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</si>
  <si>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</si>
  <si>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</si>
  <si>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</si>
  <si>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</si>
  <si>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</si>
  <si>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</si>
  <si>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</si>
  <si>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</si>
  <si>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</si>
  <si>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</si>
  <si>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</si>
  <si>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</si>
  <si>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</si>
  <si>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</si>
  <si>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</si>
  <si>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</si>
  <si>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</si>
  <si>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</si>
  <si>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</si>
  <si>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</si>
  <si>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</si>
  <si>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</si>
  <si>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</si>
  <si>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</si>
  <si>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</si>
  <si>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</si>
  <si>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</si>
  <si>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</si>
  <si>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</si>
  <si>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</si>
  <si>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</si>
  <si>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</si>
  <si>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</si>
  <si>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</si>
  <si>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</si>
  <si>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</si>
  <si>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</si>
  <si>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</si>
  <si>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</si>
  <si>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</si>
  <si>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</si>
  <si>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</si>
  <si>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</si>
  <si>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</si>
  <si>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</si>
  <si>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</si>
  <si>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</si>
  <si>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</si>
  <si>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</si>
  <si>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</si>
  <si>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</si>
  <si>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</si>
  <si>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</si>
  <si>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</si>
  <si>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</si>
  <si>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</si>
  <si>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</si>
  <si>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</si>
  <si>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</si>
  <si>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</si>
  <si>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</si>
  <si>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</si>
  <si>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</si>
  <si>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</si>
  <si>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</si>
  <si>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</si>
  <si>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</si>
  <si>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</si>
  <si>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</si>
  <si>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</si>
  <si>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</si>
  <si>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</si>
  <si>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</si>
  <si>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</si>
  <si>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</si>
  <si>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</si>
  <si>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</si>
  <si>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</si>
  <si>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</si>
  <si>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</si>
  <si>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</si>
  <si>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</si>
  <si>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</si>
  <si>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</si>
  <si>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</si>
  <si>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</si>
  <si>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</si>
  <si>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</si>
  <si>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</si>
  <si>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</si>
  <si>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</si>
  <si>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</si>
  <si>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</si>
  <si>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</si>
  <si>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</si>
  <si>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</si>
  <si>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</si>
  <si>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</si>
  <si>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</si>
  <si>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</si>
  <si>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</si>
  <si>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</si>
  <si>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</si>
  <si>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</si>
  <si>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</si>
  <si>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</si>
  <si>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</si>
  <si>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</si>
  <si>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</si>
  <si>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</si>
  <si>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</si>
  <si>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</si>
  <si>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</si>
  <si>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</si>
  <si>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</si>
  <si>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</si>
  <si>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</si>
  <si>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</si>
  <si>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</si>
  <si>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</si>
  <si>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</si>
  <si>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</si>
  <si>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</si>
  <si>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</si>
  <si>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</si>
  <si>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</si>
  <si>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</si>
  <si>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</si>
  <si>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</si>
  <si>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</si>
  <si>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</si>
  <si>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</si>
  <si>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</si>
  <si>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</si>
  <si>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</si>
  <si>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</si>
  <si>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</si>
  <si>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</si>
  <si>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</si>
  <si>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</si>
  <si>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</si>
  <si>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</si>
  <si>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</si>
  <si>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</si>
  <si>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</si>
  <si>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</si>
  <si>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</si>
  <si>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</si>
  <si>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</si>
  <si>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</si>
  <si>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</si>
  <si>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</si>
  <si>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</si>
  <si>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</si>
  <si>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</si>
  <si>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</si>
  <si>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</si>
  <si>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</si>
  <si>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</si>
  <si>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</si>
  <si>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</si>
  <si>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</si>
  <si>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</si>
  <si>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</si>
  <si>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</si>
  <si>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</si>
  <si>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</si>
  <si>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</si>
  <si>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</si>
  <si>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</si>
  <si>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</si>
  <si>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</si>
  <si>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</si>
  <si>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</si>
  <si>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</si>
  <si>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</si>
  <si>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</si>
  <si>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</si>
  <si>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</si>
  <si>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</si>
  <si>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</si>
  <si>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</si>
  <si>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</si>
  <si>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</si>
  <si>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</si>
  <si>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</si>
  <si>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</si>
  <si>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</si>
  <si>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</si>
  <si>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</si>
  <si>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</si>
  <si>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</si>
  <si>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</si>
  <si>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</si>
  <si>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</si>
  <si>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</si>
  <si>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</si>
  <si>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</si>
  <si>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</si>
  <si>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</si>
  <si>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</si>
  <si>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</si>
  <si>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</si>
  <si>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</si>
  <si>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</si>
  <si>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</si>
  <si>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</si>
  <si>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</si>
  <si>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</si>
  <si>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</si>
  <si>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</si>
  <si>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</si>
  <si>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</si>
  <si>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</si>
  <si>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</si>
  <si>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</si>
  <si>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</si>
  <si>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</si>
  <si>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</si>
  <si>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</si>
  <si>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</si>
  <si>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</si>
  <si>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</si>
  <si>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</si>
  <si>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</si>
  <si>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</si>
  <si>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</si>
  <si>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</si>
  <si>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</si>
  <si>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</si>
  <si>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</si>
  <si>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</si>
  <si>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</si>
  <si>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</si>
  <si>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</si>
  <si>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</si>
  <si>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</si>
  <si>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</si>
  <si>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</si>
  <si>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</si>
  <si>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</si>
  <si>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</si>
  <si>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</si>
  <si>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</si>
  <si>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</si>
  <si>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</si>
  <si>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</si>
  <si>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</si>
  <si>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</si>
  <si>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</si>
  <si>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</si>
  <si>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</si>
  <si>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</si>
  <si>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</si>
  <si>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</si>
  <si>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</si>
  <si>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</si>
  <si>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</si>
  <si>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</si>
  <si>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</si>
  <si>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</si>
  <si>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</si>
  <si>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</si>
  <si>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</si>
  <si>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</si>
  <si>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</si>
  <si>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</si>
  <si>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</si>
  <si>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</si>
  <si>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</si>
  <si>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</si>
  <si>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</si>
  <si>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</si>
  <si>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</si>
  <si>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</si>
  <si>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</si>
  <si>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</si>
  <si>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</si>
  <si>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</si>
  <si>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</si>
  <si>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</si>
  <si>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</si>
  <si>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</si>
  <si>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</si>
  <si>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</si>
  <si>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</si>
  <si>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</si>
  <si>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</si>
  <si>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</si>
  <si>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</si>
  <si>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</si>
  <si>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</si>
  <si>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</si>
  <si>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</si>
  <si>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</si>
  <si>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</si>
  <si>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</si>
  <si>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</si>
  <si>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</si>
  <si>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</si>
  <si>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</si>
  <si>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</si>
  <si>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</si>
  <si>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</si>
  <si>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</si>
  <si>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</si>
  <si>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</si>
  <si>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</si>
  <si>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</si>
  <si>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</si>
  <si>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</si>
  <si>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</si>
  <si>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</si>
  <si>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</si>
  <si>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</si>
  <si>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</si>
  <si>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</si>
  <si>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</si>
  <si>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</si>
  <si>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</si>
  <si>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</si>
  <si>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</si>
  <si>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</si>
  <si>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</si>
  <si>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</si>
  <si>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</si>
  <si>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</si>
  <si>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</si>
  <si>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</si>
  <si>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</si>
  <si>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</si>
  <si>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</si>
  <si>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</si>
  <si>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</si>
  <si>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</si>
  <si>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</si>
  <si>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</si>
  <si>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</si>
  <si>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</si>
  <si>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</si>
  <si>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</si>
  <si>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</si>
  <si>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</si>
  <si>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</si>
  <si>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</si>
  <si>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</si>
  <si>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</si>
  <si>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</si>
  <si>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</si>
  <si>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</si>
  <si>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</si>
  <si>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</si>
  <si>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</si>
  <si>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</si>
  <si>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</si>
  <si>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</si>
  <si>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</si>
  <si>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</si>
  <si>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</si>
  <si>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</si>
  <si>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</si>
  <si>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</si>
  <si>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</si>
  <si>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</si>
  <si>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</si>
  <si>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</si>
  <si>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</si>
  <si>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</si>
  <si>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</si>
  <si>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</si>
  <si>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</si>
  <si>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</si>
  <si>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</si>
  <si>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</si>
  <si>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</si>
  <si>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</si>
  <si>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</si>
  <si>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</si>
  <si>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</si>
  <si>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</si>
  <si>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</si>
  <si>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</si>
  <si>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</si>
  <si>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</si>
  <si>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</si>
  <si>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</si>
  <si>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</si>
  <si>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</si>
  <si>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</si>
  <si>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</si>
  <si>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</si>
  <si>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</si>
  <si>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</si>
  <si>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</si>
  <si>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</si>
  <si>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</si>
  <si>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</si>
  <si>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</si>
  <si>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</si>
  <si>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</si>
  <si>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</si>
  <si>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</si>
  <si>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</si>
  <si>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</si>
  <si>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</si>
  <si>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</si>
  <si>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</si>
  <si>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</si>
  <si>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</si>
  <si>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</si>
  <si>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</si>
  <si>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</si>
  <si>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</si>
  <si>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</si>
  <si>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</si>
  <si>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</si>
  <si>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</si>
  <si>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</si>
  <si>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</si>
  <si>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</si>
  <si>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</si>
  <si>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</si>
  <si>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</si>
  <si>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</si>
  <si>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</si>
  <si>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</si>
  <si>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</si>
  <si>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</si>
  <si>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</si>
  <si>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</si>
  <si>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</si>
  <si>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</si>
  <si>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</si>
  <si>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</si>
  <si>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</si>
  <si>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</si>
  <si>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</si>
  <si>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</si>
  <si>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</si>
  <si>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</si>
  <si>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</si>
  <si>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</si>
  <si>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</si>
  <si>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</si>
  <si>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</si>
  <si>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</si>
  <si>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</si>
  <si>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</si>
  <si>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</si>
  <si>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</si>
  <si>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</si>
  <si>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</si>
  <si>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</si>
  <si>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</si>
  <si>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</si>
  <si>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</si>
  <si>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</si>
  <si>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</si>
  <si>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</si>
  <si>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</si>
  <si>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</si>
  <si>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</si>
  <si>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</si>
  <si>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</si>
  <si>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</si>
  <si>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</si>
  <si>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</si>
  <si>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</si>
  <si>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</si>
  <si>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</si>
  <si>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</si>
  <si>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</si>
  <si>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</si>
  <si>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</si>
  <si>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</si>
  <si>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</si>
  <si>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</si>
  <si>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</si>
  <si>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</si>
  <si>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</si>
  <si>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</si>
  <si>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</si>
  <si>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</si>
  <si>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</si>
  <si>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</si>
  <si>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</si>
  <si>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</si>
  <si>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</si>
  <si>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</si>
  <si>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</si>
  <si>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</si>
  <si>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</si>
  <si>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</si>
  <si>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</si>
  <si>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</si>
  <si>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</si>
  <si>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</si>
  <si>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</si>
  <si>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</si>
  <si>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</si>
  <si>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</si>
  <si>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</si>
  <si>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</si>
  <si>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</si>
  <si>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</si>
  <si>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</si>
  <si>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</si>
  <si>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</si>
  <si>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</si>
  <si>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</si>
  <si>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</si>
  <si>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</si>
  <si>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</si>
  <si>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</si>
  <si>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</si>
  <si>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</si>
  <si>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</si>
  <si>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</si>
  <si>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</si>
  <si>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</si>
  <si>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</si>
  <si>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</si>
  <si>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</si>
  <si>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</si>
  <si>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</si>
  <si>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</si>
  <si>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</si>
  <si>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</si>
  <si>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</si>
  <si>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</si>
  <si>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</si>
  <si>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</si>
  <si>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</si>
  <si>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</si>
  <si>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</si>
  <si>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</si>
  <si>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</si>
  <si>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</si>
  <si>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</si>
  <si>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</si>
  <si>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</si>
  <si>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</si>
  <si>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</si>
  <si>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</si>
  <si>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</si>
  <si>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</si>
  <si>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</si>
  <si>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</si>
  <si>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</si>
  <si>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</si>
  <si>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</si>
  <si>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</si>
  <si>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</si>
  <si>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</si>
  <si>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</si>
  <si>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</si>
  <si>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</si>
  <si>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</si>
  <si>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</si>
  <si>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</si>
  <si>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</si>
  <si>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</si>
  <si>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</si>
  <si>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</si>
  <si>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</si>
  <si>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</si>
  <si>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</si>
  <si>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</si>
  <si>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</si>
  <si>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</si>
  <si>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</si>
  <si>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</si>
  <si>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</si>
  <si>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</si>
  <si>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</si>
  <si>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</si>
  <si>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</si>
  <si>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</si>
  <si>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</si>
  <si>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</si>
  <si>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</si>
  <si>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</si>
  <si>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</si>
  <si>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</si>
  <si>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</si>
  <si>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</si>
  <si>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</si>
  <si>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</si>
  <si>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</si>
  <si>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</si>
  <si>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</si>
  <si>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</si>
  <si>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</si>
  <si>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</si>
  <si>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</si>
  <si>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</si>
  <si>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</si>
  <si>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</si>
  <si>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</si>
  <si>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</si>
  <si>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</si>
  <si>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</si>
  <si>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</si>
  <si>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</si>
  <si>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</si>
  <si>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</si>
  <si>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</si>
  <si>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</si>
  <si>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</si>
  <si>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</si>
  <si>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</si>
  <si>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</si>
  <si>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</si>
  <si>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</si>
  <si>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</si>
  <si>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</si>
  <si>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</si>
  <si>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</si>
  <si>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</si>
  <si>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</si>
  <si>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</si>
  <si>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</si>
  <si>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</si>
  <si>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</si>
  <si>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</si>
  <si>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</si>
  <si>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</si>
  <si>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</si>
  <si>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</si>
  <si>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</si>
  <si>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</si>
  <si>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</si>
  <si>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</si>
  <si>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</si>
  <si>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</si>
  <si>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</si>
  <si>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</si>
  <si>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</si>
  <si>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</si>
  <si>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</si>
  <si>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</si>
  <si>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</si>
  <si>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</si>
  <si>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</si>
  <si>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</si>
  <si>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</si>
  <si>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</si>
  <si>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</si>
  <si>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</si>
  <si>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</si>
  <si>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</si>
  <si>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</si>
  <si>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</si>
  <si>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</si>
  <si>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</si>
  <si>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</si>
  <si>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</si>
  <si>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</si>
  <si>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</si>
  <si>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</si>
  <si>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</si>
  <si>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</si>
  <si>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</si>
  <si>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</si>
  <si>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</si>
  <si>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</si>
  <si>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</si>
  <si>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</si>
  <si>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</si>
  <si>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</si>
  <si>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</si>
  <si>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</si>
  <si>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</si>
  <si>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</si>
  <si>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</si>
  <si>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</si>
  <si>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</si>
  <si>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</si>
  <si>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</si>
  <si>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</si>
  <si>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</si>
  <si>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</si>
  <si>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</si>
  <si>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</si>
  <si>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</si>
  <si>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</si>
  <si>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</si>
  <si>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</si>
  <si>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</si>
  <si>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</si>
  <si>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</si>
  <si>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</si>
  <si>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</si>
  <si>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</si>
  <si>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</si>
  <si>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</si>
  <si>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</si>
  <si>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</si>
  <si>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</si>
  <si>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</si>
  <si>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</si>
  <si>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</si>
  <si>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</si>
  <si>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</si>
  <si>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</si>
  <si>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</si>
  <si>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</si>
  <si>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</si>
  <si>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</si>
  <si>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</si>
  <si>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</si>
  <si>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</si>
  <si>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</si>
  <si>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</si>
  <si>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</si>
  <si>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</si>
  <si>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</si>
  <si>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</si>
  <si>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</si>
  <si>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</si>
  <si>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</si>
  <si>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</si>
  <si>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</si>
  <si>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</si>
  <si>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</si>
  <si>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</si>
  <si>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</si>
  <si>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</si>
  <si>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</si>
  <si>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</si>
  <si>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</si>
  <si>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</si>
  <si>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</si>
  <si>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</si>
  <si>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</si>
  <si>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</si>
  <si>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</si>
  <si>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</si>
  <si>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</si>
  <si>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</si>
  <si>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</si>
  <si>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</si>
  <si>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</si>
  <si>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</si>
  <si>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</si>
  <si>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</si>
  <si>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</si>
  <si>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</si>
  <si>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</si>
  <si>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</si>
  <si>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</si>
  <si>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</si>
  <si>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</si>
  <si>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</si>
  <si>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</si>
  <si>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</si>
  <si>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</si>
  <si>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</si>
  <si>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</si>
  <si>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</si>
  <si>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</si>
  <si>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</si>
  <si>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</si>
  <si>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</si>
  <si>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</si>
  <si>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</si>
  <si>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</si>
  <si>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</si>
  <si>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</si>
  <si>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Fund 21 Audits found FY22 expense should have been charged to FY23 not fy22 thus increasing fy22 fb by $662.81</t>
  </si>
  <si>
    <t>4/20/23</t>
  </si>
  <si>
    <t>05/15/2034</t>
  </si>
  <si>
    <t>5/23/23</t>
  </si>
  <si>
    <t>08/01/27</t>
  </si>
  <si>
    <t>DOE-25</t>
  </si>
  <si>
    <t>Bottom</t>
  </si>
  <si>
    <t>Added elementary ADMA to bottom of page. - Brian Eaton, NHED</t>
  </si>
  <si>
    <t>MS-25</t>
  </si>
  <si>
    <t>Updated header from "2021-2022" to "2022-2023" - Brian Eaton, NHED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</si>
</sst>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1268</v>
      </c>
      <c r="B2">
        <f>INDEX('School Tables'!$AH$3:$AH$209,MATCH('DOE25'!A2,'School Tables'!$AJ$3:$AJ$209,0))</f>
        <v>365</v>
      </c>
      <c r="C2">
        <f>INDEX('School Tables'!$AI$3:$AI$209,MATCH('DOE25'!A2,'School Tables'!$AJ$3:$AJ$209,0))</f>
        <v>365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89818.49+100.05+450451.05</f>
        <v>540369.59</v>
      </c>
      <c r="G9" s="18">
        <v>25</v>
      </c>
      <c r="H9" s="18"/>
      <c r="I9" s="18"/>
      <c r="J9" s="13">
        <f>SUM(I440)</f>
        <v>593665.39</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3722.94</v>
      </c>
      <c r="G12" s="18">
        <v>11056.94</v>
      </c>
      <c r="H12" s="18">
        <f>652.05-31122.56+15690.62</f>
        <v>-14779.890000000001</v>
      </c>
      <c r="I12" s="18"/>
      <c r="J12" s="13">
        <f>SUM(I442)</f>
        <v>0.01</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13744.96</v>
      </c>
      <c r="G14" s="18">
        <v>2859.74</v>
      </c>
      <c r="H14" s="18">
        <v>31122.560000000001</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3189.6</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24960.37</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582797.85999999987</v>
      </c>
      <c r="G19" s="38">
        <f>SUM(G9:G18)</f>
        <v>17131.28</v>
      </c>
      <c r="H19" s="38">
        <f>SUM(H9:H18)</f>
        <v>16342.67</v>
      </c>
      <c r="I19" s="38">
        <f>SUM(I9:I18)</f>
        <v>0</v>
      </c>
      <c r="J19" s="38">
        <f>SUM(J9:J18)</f>
        <v>593665.4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126279.85+112845.54</f>
        <v>239125.39</v>
      </c>
      <c r="G24" s="18">
        <v>4021.35</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0.11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2500.17</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239125.5</v>
      </c>
      <c r="G32" s="38">
        <f>SUM(G22:G31)</f>
        <v>6521.52</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3189.6</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25953.95-18533.79</f>
        <v>7420.16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154432.75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652.05+15690.62</f>
        <v>16342.67</v>
      </c>
      <c r="I48" s="18"/>
      <c r="J48" s="13">
        <f>SUM(I460)</f>
        <v>593665.4</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189239.61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343672.36</v>
      </c>
      <c r="G51" s="38">
        <f>SUM(G35:G50)</f>
        <v>10609.76</v>
      </c>
      <c r="H51" s="38">
        <f>SUM(H35:H50)</f>
        <v>16342.67</v>
      </c>
      <c r="I51" s="38">
        <f>SUM(I35:I50)</f>
        <v>0</v>
      </c>
      <c r="J51" s="38">
        <f>SUM(J35:J50)</f>
        <v>593665.4</v>
      </c>
      <c r="K51" s="42" t="s">
        <v>288</v>
      </c>
      <c r="L51" s="42" t="s">
        <v>288</v>
      </c>
      <c r="N51" s="131"/>
    </row>
    <row r="52" spans="1:14" s="3" customFormat="1" ht="12.2" customHeight="1" thickTop="1" x14ac:dyDescent="0.15">
      <c r="A52" s="35" t="s">
        <v>455</v>
      </c>
      <c r="B52" s="36" t="s">
        <v>289</v>
      </c>
      <c r="C52" s="6">
        <v>37</v>
      </c>
      <c r="D52" s="36" t="s">
        <v>653</v>
      </c>
      <c r="E52" s="36"/>
      <c r="F52" s="38">
        <f>F51+F32</f>
        <v>582797.86</v>
      </c>
      <c r="G52" s="38">
        <f>G51+G32</f>
        <v>17131.28</v>
      </c>
      <c r="H52" s="38">
        <f>H51+H32</f>
        <v>16342.67</v>
      </c>
      <c r="I52" s="38">
        <f>I51+I32</f>
        <v>0</v>
      </c>
      <c r="J52" s="38">
        <f>J51+J32</f>
        <v>593665.4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2933470+38707</f>
        <v>2972177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2972177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21334.35</v>
      </c>
      <c r="G96" s="18"/>
      <c r="H96" s="18"/>
      <c r="I96" s="18"/>
      <c r="J96" s="18">
        <f>798.1+240.55+628.89+8.69+7.41</f>
        <v>1683.64</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24632.05+2570.25</f>
        <v>27202.3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4057.88</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v>100</v>
      </c>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1575.68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646+4714.8</f>
        <v>5360.8</v>
      </c>
      <c r="G110" s="18"/>
      <c r="H110" s="18">
        <v>1000</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28270.829999999998</v>
      </c>
      <c r="G111" s="38">
        <f>SUM(G96:G110)</f>
        <v>27302.3</v>
      </c>
      <c r="H111" s="38">
        <f>SUM(H96:H110)</f>
        <v>5057.88</v>
      </c>
      <c r="I111" s="38">
        <f>SUM(I96:I110)</f>
        <v>0</v>
      </c>
      <c r="J111" s="38">
        <f>SUM(J96:J110)</f>
        <v>1683.64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3000447.83</v>
      </c>
      <c r="G112" s="38">
        <f>G60+G111</f>
        <v>27302.3</v>
      </c>
      <c r="H112" s="38">
        <f>H60+H79+H94+H111</f>
        <v>5057.88</v>
      </c>
      <c r="I112" s="38">
        <f>I60+I111</f>
        <v>0</v>
      </c>
      <c r="J112" s="38">
        <f>J60+J111</f>
        <v>1683.64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524497.81999999995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116478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14604.31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655580.13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2451.06</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947.55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2451.06</v>
      </c>
      <c r="G136" s="38">
        <f>SUM(G123:G135)</f>
        <v>947.55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658031.19000000006</v>
      </c>
      <c r="G140" s="38">
        <f>G121+SUM(G136:G137)</f>
        <v>947.55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10520.16</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10520.16</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18424.25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7803.32+10656.33</f>
        <v>18459.650000000001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40928.42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19690.650000000001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92903.67+5792.5</f>
        <v>98696.17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40928.42</v>
      </c>
      <c r="H163" s="38">
        <f>SUM(H150:H162)</f>
        <v>155270.72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206.57</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206.57</v>
      </c>
      <c r="G170" s="38">
        <f>G147+G163+SUM(G164:G169)</f>
        <v>40928.42</v>
      </c>
      <c r="H170" s="38">
        <f>H147+H163+SUM(H164:H169)</f>
        <v>165790.88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38706.949999999997</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38706.949999999997</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38706.949999999997</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3658685.59</v>
      </c>
      <c r="G194" s="38">
        <f>G112+G140+G170+G193</f>
        <v>107885.21999999999</v>
      </c>
      <c r="H194" s="38">
        <f>H112+H140+H170+H193</f>
        <v>170848.76</v>
      </c>
      <c r="I194" s="38">
        <f>I112+I140+I170+I193</f>
        <v>0</v>
      </c>
      <c r="J194" s="38">
        <f>J112+J140+J193</f>
        <v>1683.64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641881.36</v>
      </c>
      <c r="G198" s="18">
        <v>349686.57</v>
      </c>
      <c r="H198" s="18">
        <f>4775+4959.96+12118+78.6</f>
        <v>21931.559999999998</v>
      </c>
      <c r="I198" s="18">
        <v>35755.08</v>
      </c>
      <c r="J198" s="18">
        <v>11167.76</v>
      </c>
      <c r="K198" s="18">
        <v>1643</v>
      </c>
      <c r="L198" s="13">
        <f>SUM(F198:K198)</f>
        <v>1062065.33</v>
      </c>
      <c r="M198" s="8"/>
      <c r="N198" s="165"/>
    </row>
    <row r="199" spans="1:14" s="3" customFormat="1" ht="12.2" customHeight="1" x14ac:dyDescent="0.15">
      <c r="A199" s="1" t="s">
        <v>439</v>
      </c>
      <c r="B199" s="2" t="s">
        <v>341</v>
      </c>
      <c r="C199" s="2" t="s">
        <v>291</v>
      </c>
      <c r="D199" s="2" t="s">
        <v>431</v>
      </c>
      <c r="E199" s="6">
        <v>1200</v>
      </c>
      <c r="F199" s="18">
        <v>213474.53</v>
      </c>
      <c r="G199" s="18">
        <v>120770.44</v>
      </c>
      <c r="H199" s="18">
        <f>3257.72+42911.54+6203.69+386.1</f>
        <v>52759.05</v>
      </c>
      <c r="I199" s="18">
        <f>488.7+224</f>
        <v>712.7</v>
      </c>
      <c r="J199" s="18">
        <v>0</v>
      </c>
      <c r="K199" s="18">
        <v>555</v>
      </c>
      <c r="L199" s="13">
        <f>SUM(F199:K199)</f>
        <v>388271.72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3550+7375</f>
        <v>10925</v>
      </c>
      <c r="G201" s="18">
        <f>1277.33+413.56</f>
        <v>1690.8899999999999</v>
      </c>
      <c r="H201" s="18">
        <f>2714</f>
        <v>2714</v>
      </c>
      <c r="I201" s="18">
        <f>233.71+1677.72</f>
        <v>1911.43</v>
      </c>
      <c r="J201" s="18">
        <v>648.74</v>
      </c>
      <c r="K201" s="18"/>
      <c r="L201" s="13">
        <f>SUM(F201:K201)</f>
        <v>17890.060000000001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61894.79+55032.87</f>
        <v>116927.66</v>
      </c>
      <c r="G203" s="18">
        <f>44862.96+28550.79</f>
        <v>73413.75</v>
      </c>
      <c r="H203" s="18">
        <f>1610+21924+27446.47+12474+3855.5+256.1+145</f>
        <v>67711.070000000007</v>
      </c>
      <c r="I203" s="18">
        <f>2705.44+2433.12</f>
        <v>5138.5599999999995</v>
      </c>
      <c r="J203" s="18"/>
      <c r="K203" s="18">
        <f>45+1054.9</f>
        <v>1099.9000000000001</v>
      </c>
      <c r="L203" s="13">
        <f t="shared" ref="L203:L209" si="0">SUM(F203:K203)</f>
        <v>264290.94000000006</v>
      </c>
      <c r="M203" s="8"/>
      <c r="N203" s="165"/>
    </row>
    <row r="204" spans="1:14" s="3" customFormat="1" ht="12.2" customHeight="1" x14ac:dyDescent="0.15">
      <c r="A204" s="1" t="s">
        <v>443</v>
      </c>
      <c r="B204" s="2" t="s">
        <v>341</v>
      </c>
      <c r="C204" s="2" t="s">
        <v>295</v>
      </c>
      <c r="D204" s="2" t="s">
        <v>431</v>
      </c>
      <c r="E204" s="6">
        <v>2200</v>
      </c>
      <c r="F204" s="18">
        <f>3000+71623.12</f>
        <v>74623.12</v>
      </c>
      <c r="G204" s="18">
        <f>21533.27+48053.39</f>
        <v>69586.66</v>
      </c>
      <c r="H204" s="18">
        <f>855.04+4435.43</f>
        <v>5290.47</v>
      </c>
      <c r="I204" s="18">
        <f>691.72+2561.03</f>
        <v>3252.75</v>
      </c>
      <c r="J204" s="18"/>
      <c r="K204" s="18">
        <v>139</v>
      </c>
      <c r="L204" s="13">
        <f t="shared" si="0"/>
        <v>152892</v>
      </c>
      <c r="M204" s="8"/>
      <c r="N204" s="165"/>
    </row>
    <row r="205" spans="1:14" s="3" customFormat="1" ht="12.2" customHeight="1" x14ac:dyDescent="0.15">
      <c r="A205" s="1" t="s">
        <v>444</v>
      </c>
      <c r="B205" s="2" t="s">
        <v>341</v>
      </c>
      <c r="C205" s="2" t="s">
        <v>296</v>
      </c>
      <c r="D205" s="2" t="s">
        <v>431</v>
      </c>
      <c r="E205" s="6">
        <v>2300</v>
      </c>
      <c r="F205" s="18">
        <f>4550+2500+280+164853.66</f>
        <v>172183.66</v>
      </c>
      <c r="G205" s="18">
        <f>365.93+200.93+22.68+60277.68</f>
        <v>60867.22</v>
      </c>
      <c r="H205" s="18">
        <f>360+1422.04+11650+46601.94+1563.87</f>
        <v>61597.850000000006</v>
      </c>
      <c r="I205" s="18">
        <v>905.42</v>
      </c>
      <c r="J205" s="18">
        <v>3392.49</v>
      </c>
      <c r="K205" s="18">
        <f>2739.85+1958.25</f>
        <v>4698.1000000000004</v>
      </c>
      <c r="L205" s="13">
        <f t="shared" si="0"/>
        <v>303644.73999999993</v>
      </c>
      <c r="M205" s="8"/>
      <c r="N205" s="165"/>
    </row>
    <row r="206" spans="1:14" s="3" customFormat="1" ht="12.2" customHeight="1" x14ac:dyDescent="0.15">
      <c r="A206" s="1" t="s">
        <v>445</v>
      </c>
      <c r="B206" s="2" t="s">
        <v>341</v>
      </c>
      <c r="C206" s="2" t="s">
        <v>297</v>
      </c>
      <c r="D206" s="2" t="s">
        <v>431</v>
      </c>
      <c r="E206" s="6">
        <v>2400</v>
      </c>
      <c r="F206" s="18">
        <v>46545.4</v>
      </c>
      <c r="G206" s="18">
        <v>38077.57</v>
      </c>
      <c r="H206" s="18">
        <f>14259.75+5133.44+13370.83</f>
        <v>32764.019999999997</v>
      </c>
      <c r="I206" s="18">
        <f>7741.56+177.69</f>
        <v>7919.25</v>
      </c>
      <c r="J206" s="18">
        <v>1333.73</v>
      </c>
      <c r="K206" s="18">
        <v>4460.45</v>
      </c>
      <c r="L206" s="13">
        <f t="shared" si="0"/>
        <v>131100.41999999998</v>
      </c>
      <c r="M206" s="8"/>
      <c r="N206" s="165"/>
    </row>
    <row r="207" spans="1:14" s="3" customFormat="1" ht="12.2" customHeight="1" x14ac:dyDescent="0.15">
      <c r="A207" s="1" t="s">
        <v>446</v>
      </c>
      <c r="B207" s="2" t="s">
        <v>341</v>
      </c>
      <c r="C207" s="2" t="s">
        <v>298</v>
      </c>
      <c r="D207" s="2" t="s">
        <v>431</v>
      </c>
      <c r="E207" s="6">
        <v>2500</v>
      </c>
      <c r="F207" s="18">
        <v>66410.83</v>
      </c>
      <c r="G207" s="18">
        <v>29700.85</v>
      </c>
      <c r="H207" s="18">
        <v>2288.7600000000002</v>
      </c>
      <c r="I207" s="18">
        <v>3413.54</v>
      </c>
      <c r="J207" s="18"/>
      <c r="K207" s="18">
        <v>937.1</v>
      </c>
      <c r="L207" s="13">
        <f t="shared" si="0"/>
        <v>102751.07999999999</v>
      </c>
      <c r="M207" s="8"/>
      <c r="N207" s="165"/>
    </row>
    <row r="208" spans="1:14" s="3" customFormat="1" ht="12.2" customHeight="1" x14ac:dyDescent="0.15">
      <c r="A208" s="1" t="s">
        <v>447</v>
      </c>
      <c r="B208" s="2" t="s">
        <v>341</v>
      </c>
      <c r="C208" s="2" t="s">
        <v>299</v>
      </c>
      <c r="D208" s="2" t="s">
        <v>431</v>
      </c>
      <c r="E208" s="6">
        <v>2600</v>
      </c>
      <c r="F208" s="18">
        <v>39120.699999999997</v>
      </c>
      <c r="G208" s="18">
        <v>18552.52</v>
      </c>
      <c r="H208" s="18">
        <f>903+19003.64+6894.87+3350</f>
        <v>30151.51</v>
      </c>
      <c r="I208" s="18">
        <f>51952.8</f>
        <v>51952.800000000003</v>
      </c>
      <c r="J208" s="18">
        <v>329</v>
      </c>
      <c r="K208" s="18">
        <v>1140</v>
      </c>
      <c r="L208" s="13">
        <f t="shared" si="0"/>
        <v>141246.53</v>
      </c>
      <c r="M208" s="8"/>
      <c r="N208" s="165"/>
    </row>
    <row r="209" spans="1:14" s="3" customFormat="1" ht="12.2" customHeight="1" x14ac:dyDescent="0.15">
      <c r="A209" s="1" t="s">
        <v>448</v>
      </c>
      <c r="B209" s="2" t="s">
        <v>341</v>
      </c>
      <c r="C209" s="2" t="s">
        <v>300</v>
      </c>
      <c r="D209" s="2" t="s">
        <v>431</v>
      </c>
      <c r="E209" s="6">
        <v>2700</v>
      </c>
      <c r="F209" s="18"/>
      <c r="G209" s="18"/>
      <c r="H209" s="18">
        <f>142936.55-71379+19505.67</f>
        <v>91063.219999999987</v>
      </c>
      <c r="I209" s="18"/>
      <c r="J209" s="18"/>
      <c r="K209" s="18"/>
      <c r="L209" s="13">
        <f t="shared" si="0"/>
        <v>91063.219999999987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1382092.2599999998</v>
      </c>
      <c r="G212" s="38">
        <f t="shared" si="1"/>
        <v>762346.47</v>
      </c>
      <c r="H212" s="38">
        <f t="shared" si="1"/>
        <v>368271.50999999995</v>
      </c>
      <c r="I212" s="38">
        <f t="shared" si="1"/>
        <v>110961.53</v>
      </c>
      <c r="J212" s="38">
        <f t="shared" si="1"/>
        <v>16871.72</v>
      </c>
      <c r="K212" s="38">
        <f t="shared" si="1"/>
        <v>14672.550000000001</v>
      </c>
      <c r="L212" s="38">
        <f t="shared" si="1"/>
        <v>2655216.04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854436.4</v>
      </c>
      <c r="I234" s="18">
        <v>135</v>
      </c>
      <c r="J234" s="18"/>
      <c r="K234" s="18"/>
      <c r="L234" s="13">
        <f>SUM(F234:K234)</f>
        <v>854571.4</v>
      </c>
      <c r="M234" s="8"/>
      <c r="N234" s="165"/>
    </row>
    <row r="235" spans="1:14" s="3" customFormat="1" ht="12.2" customHeight="1" x14ac:dyDescent="0.15">
      <c r="A235" s="1" t="s">
        <v>439</v>
      </c>
      <c r="B235" s="2" t="s">
        <v>350</v>
      </c>
      <c r="C235" s="2" t="s">
        <v>291</v>
      </c>
      <c r="D235" s="2" t="s">
        <v>431</v>
      </c>
      <c r="E235" s="6">
        <v>1200</v>
      </c>
      <c r="F235" s="18"/>
      <c r="G235" s="18"/>
      <c r="H235" s="18">
        <v>91532.800000000003</v>
      </c>
      <c r="I235" s="18"/>
      <c r="J235" s="18"/>
      <c r="K235" s="18"/>
      <c r="L235" s="13">
        <f>SUM(F235:K235)</f>
        <v>91532.800000000003</v>
      </c>
      <c r="M235" s="8"/>
      <c r="N235" s="165"/>
    </row>
    <row r="236" spans="1:14" s="3" customFormat="1" ht="12.2" customHeight="1" x14ac:dyDescent="0.15">
      <c r="A236" s="1" t="s">
        <v>440</v>
      </c>
      <c r="B236" s="2" t="s">
        <v>350</v>
      </c>
      <c r="C236" s="2" t="s">
        <v>292</v>
      </c>
      <c r="D236" s="2" t="s">
        <v>431</v>
      </c>
      <c r="E236" s="6">
        <v>1300</v>
      </c>
      <c r="F236" s="18"/>
      <c r="G236" s="18"/>
      <c r="H236" s="18">
        <v>32531.26</v>
      </c>
      <c r="I236" s="18"/>
      <c r="J236" s="18"/>
      <c r="K236" s="18"/>
      <c r="L236" s="13">
        <f>SUM(F236:K236)</f>
        <v>32531.26</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7308</v>
      </c>
      <c r="I239" s="18"/>
      <c r="J239" s="18"/>
      <c r="K239" s="18"/>
      <c r="L239" s="13">
        <f t="shared" ref="L239:L245" si="4">SUM(F239:K239)</f>
        <v>7308</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71379</v>
      </c>
      <c r="I245" s="18"/>
      <c r="J245" s="18"/>
      <c r="K245" s="18"/>
      <c r="L245" s="13">
        <f t="shared" si="4"/>
        <v>71379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1057187.46</v>
      </c>
      <c r="I248" s="38">
        <f t="shared" si="5"/>
        <v>135</v>
      </c>
      <c r="J248" s="38">
        <f t="shared" si="5"/>
        <v>0</v>
      </c>
      <c r="K248" s="38">
        <f t="shared" si="5"/>
        <v>0</v>
      </c>
      <c r="L248" s="38">
        <f t="shared" si="5"/>
        <v>1057322.46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11606.65</v>
      </c>
      <c r="I256" s="18"/>
      <c r="J256" s="18"/>
      <c r="K256" s="18"/>
      <c r="L256" s="13">
        <f t="shared" si="6"/>
        <v>11606.65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11606.65</v>
      </c>
      <c r="I257" s="38">
        <f t="shared" si="7"/>
        <v>0</v>
      </c>
      <c r="J257" s="38">
        <f t="shared" si="7"/>
        <v>0</v>
      </c>
      <c r="K257" s="38">
        <f t="shared" si="7"/>
        <v>0</v>
      </c>
      <c r="L257" s="38">
        <f>SUM(F257:K257)</f>
        <v>11606.65</v>
      </c>
      <c r="M257" s="8"/>
      <c r="N257" s="165"/>
    </row>
    <row r="258" spans="1:14" s="3" customFormat="1" ht="12.2" customHeight="1" thickTop="1" x14ac:dyDescent="0.15">
      <c r="A258" s="35" t="s">
        <v>462</v>
      </c>
      <c r="B258" s="37">
        <v>10</v>
      </c>
      <c r="C258" s="37">
        <v>8</v>
      </c>
      <c r="D258" s="36" t="s">
        <v>431</v>
      </c>
      <c r="E258" s="37"/>
      <c r="F258" s="38">
        <f t="shared" ref="F258:L258" si="8">F212+F230+F248+F257</f>
        <v>1382092.2599999998</v>
      </c>
      <c r="G258" s="38">
        <f t="shared" si="8"/>
        <v>762346.47</v>
      </c>
      <c r="H258" s="38">
        <f t="shared" si="8"/>
        <v>1437065.6199999999</v>
      </c>
      <c r="I258" s="38">
        <f t="shared" si="8"/>
        <v>111096.53</v>
      </c>
      <c r="J258" s="38">
        <f t="shared" si="8"/>
        <v>16871.72</v>
      </c>
      <c r="K258" s="38">
        <f t="shared" si="8"/>
        <v>14672.550000000001</v>
      </c>
      <c r="L258" s="38">
        <f t="shared" si="8"/>
        <v>3724145.15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38706.949999999997</v>
      </c>
      <c r="L264" s="13">
        <f>SUM(F264:K264)</f>
        <v>38706.949999999997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38706.949999999997</v>
      </c>
      <c r="L271" s="38">
        <f t="shared" si="9"/>
        <v>38706.949999999997</v>
      </c>
      <c r="M271" s="8"/>
      <c r="N271" s="165"/>
    </row>
    <row r="272" spans="1:14" s="33" customFormat="1" ht="12.2" customHeight="1" thickTop="1" x14ac:dyDescent="0.2">
      <c r="A272" s="40" t="s">
        <v>464</v>
      </c>
      <c r="B272" s="37">
        <v>10</v>
      </c>
      <c r="C272" s="37">
        <v>18</v>
      </c>
      <c r="D272" s="36" t="s">
        <v>431</v>
      </c>
      <c r="E272" s="37"/>
      <c r="F272" s="39">
        <f t="shared" ref="F272:L272" si="11">F258+F271</f>
        <v>1382092.2599999998</v>
      </c>
      <c r="G272" s="39">
        <f t="shared" si="11"/>
        <v>762346.47</v>
      </c>
      <c r="H272" s="39">
        <f t="shared" si="11"/>
        <v>1437065.6199999999</v>
      </c>
      <c r="I272" s="39">
        <f t="shared" si="11"/>
        <v>111096.53</v>
      </c>
      <c r="J272" s="39">
        <f t="shared" si="11"/>
        <v>16871.72</v>
      </c>
      <c r="K272" s="39">
        <f t="shared" si="11"/>
        <v>53379.5</v>
      </c>
      <c r="L272" s="39">
        <f t="shared" si="11"/>
        <v>3762852.1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80835.19</v>
      </c>
      <c r="G277" s="18">
        <v>23923.94</v>
      </c>
      <c r="H277" s="18">
        <v>9000</v>
      </c>
      <c r="I277" s="18">
        <f>495.82+3937.34</f>
        <v>4433.16</v>
      </c>
      <c r="J277" s="18">
        <v>974.02</v>
      </c>
      <c r="K277" s="18"/>
      <c r="L277" s="13">
        <f>SUM(F277:K277)</f>
        <v>119166.31000000001</v>
      </c>
      <c r="M277" s="8"/>
      <c r="N277" s="165"/>
    </row>
    <row r="278" spans="1:14" s="3" customFormat="1" ht="12.2" customHeight="1" x14ac:dyDescent="0.15">
      <c r="A278" s="1" t="s">
        <v>439</v>
      </c>
      <c r="B278" s="2" t="s">
        <v>357</v>
      </c>
      <c r="C278" s="2" t="s">
        <v>291</v>
      </c>
      <c r="D278" s="2" t="s">
        <v>431</v>
      </c>
      <c r="E278" s="6">
        <v>1200</v>
      </c>
      <c r="F278" s="18">
        <v>11921.26</v>
      </c>
      <c r="G278" s="18">
        <v>3759.35</v>
      </c>
      <c r="H278" s="18">
        <f>826.5+0</f>
        <v>826.5</v>
      </c>
      <c r="I278" s="18">
        <v>885.29</v>
      </c>
      <c r="J278" s="18">
        <v>1537</v>
      </c>
      <c r="K278" s="18"/>
      <c r="L278" s="13">
        <f>SUM(F278:K278)</f>
        <v>18929.400000000001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v>7250</v>
      </c>
      <c r="I280" s="18">
        <v>3743.54</v>
      </c>
      <c r="J280" s="18"/>
      <c r="K280" s="18"/>
      <c r="L280" s="13">
        <f>SUM(F280:K280)</f>
        <v>10993.54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761.25</v>
      </c>
      <c r="I282" s="18"/>
      <c r="J282" s="18"/>
      <c r="K282" s="18"/>
      <c r="L282" s="13">
        <f t="shared" ref="L282:L288" si="12">SUM(F282:K282)</f>
        <v>761.25</v>
      </c>
      <c r="M282" s="8"/>
      <c r="N282" s="165"/>
    </row>
    <row r="283" spans="1:14" s="3" customFormat="1" ht="12.2" customHeight="1" x14ac:dyDescent="0.15">
      <c r="A283" s="1" t="s">
        <v>443</v>
      </c>
      <c r="B283" s="2" t="s">
        <v>357</v>
      </c>
      <c r="C283" s="2" t="s">
        <v>295</v>
      </c>
      <c r="D283" s="2" t="s">
        <v>431</v>
      </c>
      <c r="E283" s="6">
        <v>2200</v>
      </c>
      <c r="F283" s="18">
        <v>3400</v>
      </c>
      <c r="G283" s="18">
        <v>6792.56</v>
      </c>
      <c r="H283" s="18">
        <v>2446.42</v>
      </c>
      <c r="I283" s="18"/>
      <c r="J283" s="18"/>
      <c r="K283" s="18"/>
      <c r="L283" s="13">
        <f t="shared" si="12"/>
        <v>12638.980000000001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v>552.49</v>
      </c>
      <c r="J285" s="18"/>
      <c r="K285" s="18"/>
      <c r="L285" s="13">
        <f t="shared" si="12"/>
        <v>552.49</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3458.87</v>
      </c>
      <c r="G287" s="18">
        <v>157.75</v>
      </c>
      <c r="H287" s="18"/>
      <c r="I287" s="18">
        <v>2103.92</v>
      </c>
      <c r="J287" s="18"/>
      <c r="K287" s="18"/>
      <c r="L287" s="13">
        <f t="shared" si="12"/>
        <v>5720.54</v>
      </c>
      <c r="M287" s="8"/>
      <c r="N287" s="165"/>
    </row>
    <row r="288" spans="1:14" s="3" customFormat="1" ht="12.2" customHeight="1" x14ac:dyDescent="0.15">
      <c r="A288" s="1" t="s">
        <v>448</v>
      </c>
      <c r="B288" s="2" t="s">
        <v>357</v>
      </c>
      <c r="C288" s="2" t="s">
        <v>300</v>
      </c>
      <c r="D288" s="2" t="s">
        <v>431</v>
      </c>
      <c r="E288" s="6">
        <v>2700</v>
      </c>
      <c r="F288" s="18"/>
      <c r="G288" s="18"/>
      <c r="H288" s="18">
        <f>1820.22+4.18</f>
        <v>1824.4</v>
      </c>
      <c r="I288" s="18"/>
      <c r="J288" s="18"/>
      <c r="K288" s="18"/>
      <c r="L288" s="13">
        <f t="shared" si="12"/>
        <v>1824.4</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99615.319999999992</v>
      </c>
      <c r="G291" s="39">
        <f t="shared" si="13"/>
        <v>34633.599999999999</v>
      </c>
      <c r="H291" s="39">
        <f t="shared" si="13"/>
        <v>22108.57</v>
      </c>
      <c r="I291" s="39">
        <f t="shared" si="13"/>
        <v>11718.4</v>
      </c>
      <c r="J291" s="39">
        <f t="shared" si="13"/>
        <v>2511.02</v>
      </c>
      <c r="K291" s="39">
        <f t="shared" si="13"/>
        <v>0</v>
      </c>
      <c r="L291" s="38">
        <f t="shared" si="13"/>
        <v>170586.91000000003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99615.319999999992</v>
      </c>
      <c r="G339" s="38">
        <f t="shared" si="20"/>
        <v>34633.599999999999</v>
      </c>
      <c r="H339" s="38">
        <f t="shared" si="20"/>
        <v>22108.57</v>
      </c>
      <c r="I339" s="38">
        <f t="shared" si="20"/>
        <v>11718.4</v>
      </c>
      <c r="J339" s="38">
        <f t="shared" si="20"/>
        <v>2511.02</v>
      </c>
      <c r="K339" s="38">
        <f t="shared" si="20"/>
        <v>0</v>
      </c>
      <c r="L339" s="38">
        <f t="shared" si="20"/>
        <v>170586.91000000003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99615.319999999992</v>
      </c>
      <c r="G353" s="38">
        <f>G339</f>
        <v>34633.599999999999</v>
      </c>
      <c r="H353" s="38">
        <f>H339</f>
        <v>22108.57</v>
      </c>
      <c r="I353" s="38">
        <f>I339</f>
        <v>11718.4</v>
      </c>
      <c r="J353" s="38">
        <f>J339</f>
        <v>2511.02</v>
      </c>
      <c r="K353" s="38">
        <f>K339+K352</f>
        <v>0</v>
      </c>
      <c r="L353" s="38">
        <f>L339+L352</f>
        <v>170586.91000000003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33318.44</v>
      </c>
      <c r="G359" s="18">
        <v>27328.2</v>
      </c>
      <c r="H359" s="18">
        <v>5129.97</v>
      </c>
      <c r="I359" s="18">
        <v>53234.63</v>
      </c>
      <c r="J359" s="18">
        <v>7087.77</v>
      </c>
      <c r="K359" s="18">
        <v>320</v>
      </c>
      <c r="L359" s="13">
        <f>SUM(F359:K359)</f>
        <v>126419.01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33318.44</v>
      </c>
      <c r="G363" s="38">
        <f t="shared" si="22"/>
        <v>27328.2</v>
      </c>
      <c r="H363" s="38">
        <f t="shared" si="22"/>
        <v>5129.97</v>
      </c>
      <c r="I363" s="38">
        <f t="shared" si="22"/>
        <v>53234.63</v>
      </c>
      <c r="J363" s="38">
        <f t="shared" si="22"/>
        <v>7087.77</v>
      </c>
      <c r="K363" s="38">
        <f t="shared" si="22"/>
        <v>320</v>
      </c>
      <c r="L363" s="38">
        <f t="shared" si="22"/>
        <v>126419.01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37532.54+4150.16+4179.87</f>
        <v>45862.57</v>
      </c>
      <c r="G368" s="18"/>
      <c r="H368" s="18"/>
      <c r="I368" s="13">
        <f>SUM(F368:H368)</f>
        <v>45862.57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2240.78+3609.64+1521.64</f>
        <v>7372.06</v>
      </c>
      <c r="G369" s="53"/>
      <c r="H369" s="53"/>
      <c r="I369" s="13">
        <f>SUM(F369:H369)</f>
        <v>7372.06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53234.63</v>
      </c>
      <c r="G370" s="38">
        <f>SUM(G368:G369)</f>
        <v>0</v>
      </c>
      <c r="H370" s="38">
        <f>SUM(H368:H369)</f>
        <v>0</v>
      </c>
      <c r="I370" s="38">
        <f>SUM(I368:I369)</f>
        <v>53234.63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426.92</v>
      </c>
      <c r="I390" s="18"/>
      <c r="J390" s="23" t="s">
        <v>288</v>
      </c>
      <c r="K390" s="23" t="s">
        <v>288</v>
      </c>
      <c r="L390" s="13">
        <f t="shared" si="25"/>
        <v>426.92</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f>233.04+125.5+12.64+8.69</f>
        <v>379.86999999999995</v>
      </c>
      <c r="I393" s="18"/>
      <c r="J393" s="23" t="s">
        <v>288</v>
      </c>
      <c r="K393" s="23" t="s">
        <v>288</v>
      </c>
      <c r="L393" s="13">
        <f t="shared" si="25"/>
        <v>379.86999999999995</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806.79</v>
      </c>
      <c r="I394" s="54">
        <f>SUM(I388:I393)</f>
        <v>0</v>
      </c>
      <c r="J394" s="42" t="s">
        <v>288</v>
      </c>
      <c r="K394" s="42" t="s">
        <v>288</v>
      </c>
      <c r="L394" s="38">
        <f>SUM(L388:L393)</f>
        <v>806.79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628.89</v>
      </c>
      <c r="I398" s="18"/>
      <c r="J398" s="23" t="s">
        <v>288</v>
      </c>
      <c r="K398" s="23" t="s">
        <v>288</v>
      </c>
      <c r="L398" s="13">
        <f t="shared" si="26"/>
        <v>628.89</v>
      </c>
      <c r="M398" s="8"/>
      <c r="N398" s="165"/>
    </row>
    <row r="399" spans="1:14" s="3" customFormat="1" ht="12.2" customHeight="1" x14ac:dyDescent="0.15">
      <c r="A399" s="62" t="s">
        <v>558</v>
      </c>
      <c r="B399" s="2" t="s">
        <v>381</v>
      </c>
      <c r="C399" s="6">
        <v>11</v>
      </c>
      <c r="D399" s="2" t="s">
        <v>432</v>
      </c>
      <c r="E399" s="6"/>
      <c r="F399" s="18"/>
      <c r="G399" s="18"/>
      <c r="H399" s="18">
        <v>240.55</v>
      </c>
      <c r="I399" s="18"/>
      <c r="J399" s="23" t="s">
        <v>288</v>
      </c>
      <c r="K399" s="23" t="s">
        <v>288</v>
      </c>
      <c r="L399" s="13">
        <f t="shared" si="26"/>
        <v>240.55</v>
      </c>
      <c r="M399" s="8"/>
      <c r="N399" s="165"/>
    </row>
    <row r="400" spans="1:14" s="3" customFormat="1" ht="12.2" customHeight="1" x14ac:dyDescent="0.15">
      <c r="A400" s="62" t="s">
        <v>559</v>
      </c>
      <c r="B400" s="2" t="s">
        <v>381</v>
      </c>
      <c r="C400" s="6">
        <v>12</v>
      </c>
      <c r="D400" s="2" t="s">
        <v>432</v>
      </c>
      <c r="E400" s="6"/>
      <c r="F400" s="18"/>
      <c r="G400" s="18"/>
      <c r="H400" s="18">
        <v>7.41</v>
      </c>
      <c r="I400" s="18"/>
      <c r="J400" s="23" t="s">
        <v>288</v>
      </c>
      <c r="K400" s="23" t="s">
        <v>288</v>
      </c>
      <c r="L400" s="13">
        <f t="shared" si="26"/>
        <v>7.41</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876.85</v>
      </c>
      <c r="I402" s="38">
        <f>SUM(I396:I401)</f>
        <v>0</v>
      </c>
      <c r="J402" s="42" t="s">
        <v>288</v>
      </c>
      <c r="K402" s="42" t="s">
        <v>288</v>
      </c>
      <c r="L402" s="38">
        <f>SUM(L396:L401)</f>
        <v>876.85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1683.6399999999999</v>
      </c>
      <c r="I409" s="38">
        <f>I394+I402+I408</f>
        <v>0</v>
      </c>
      <c r="J409" s="23" t="s">
        <v>288</v>
      </c>
      <c r="K409" s="23" t="s">
        <v>288</v>
      </c>
      <c r="L409" s="38">
        <f>L394+L402+L408</f>
        <v>1683.6399999999999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v>96000</v>
      </c>
      <c r="L419" s="13">
        <f t="shared" si="27"/>
        <v>96000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96000</v>
      </c>
      <c r="L420" s="38">
        <f t="shared" si="28"/>
        <v>96000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96000</v>
      </c>
      <c r="L435" s="38">
        <f t="shared" si="32"/>
        <v>96000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f>226756.73+3518.35</f>
        <v>230275.08000000002</v>
      </c>
      <c r="G440" s="18">
        <f>96392.32+251981.78+15016.21</f>
        <v>363390.31</v>
      </c>
      <c r="H440" s="18"/>
      <c r="I440" s="13">
        <f t="shared" ref="I440:I446" si="33">SUM(F440:H440)</f>
        <v>593665.39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0.01</v>
      </c>
      <c r="G442" s="18"/>
      <c r="H442" s="18"/>
      <c r="I442" s="13">
        <f t="shared" si="33"/>
        <v>0.01</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230275.09000000003</v>
      </c>
      <c r="G447" s="13">
        <f>SUM(G440:G446)</f>
        <v>363390.31</v>
      </c>
      <c r="H447" s="13">
        <f>SUM(H440:H446)</f>
        <v>0</v>
      </c>
      <c r="I447" s="13">
        <f>SUM(I440:I446)</f>
        <v>593665.4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226756.74+3518.35</f>
        <v>230275.09</v>
      </c>
      <c r="G460" s="18">
        <f>96392.32+251981.78+15016.21</f>
        <v>363390.31</v>
      </c>
      <c r="H460" s="18"/>
      <c r="I460" s="13">
        <f t="shared" si="34"/>
        <v>593665.4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230275.09</v>
      </c>
      <c r="G461" s="65">
        <f>SUM(G455:G460)</f>
        <v>363390.31</v>
      </c>
      <c r="H461" s="65">
        <f>SUM(H455:H460)</f>
        <v>0</v>
      </c>
      <c r="I461" s="65">
        <f>SUM(I455:I460)</f>
        <v>593665.4</v>
      </c>
      <c r="J461" s="23" t="s">
        <v>288</v>
      </c>
      <c r="K461" s="23" t="s">
        <v>288</v>
      </c>
      <c r="L461" s="23" t="s">
        <v>288</v>
      </c>
      <c r="N461" s="131"/>
    </row>
    <row r="462" spans="1:86" ht="12.2" customHeight="1" thickTop="1" x14ac:dyDescent="0.2">
      <c r="A462" s="40" t="s">
        <v>424</v>
      </c>
      <c r="B462" s="41">
        <v>18</v>
      </c>
      <c r="C462" s="64">
        <v>21</v>
      </c>
      <c r="D462" s="114" t="s">
        <v>432</v>
      </c>
      <c r="E462" s="64"/>
      <c r="F462" s="39">
        <f>F453+F461</f>
        <v>230275.09</v>
      </c>
      <c r="G462" s="39">
        <f>G453+G461</f>
        <v>363390.31</v>
      </c>
      <c r="H462" s="39">
        <f>H453+H461</f>
        <v>0</v>
      </c>
      <c r="I462" s="39">
        <f>I453+I461</f>
        <v>593665.4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447838.87</v>
      </c>
      <c r="G466" s="18">
        <v>28480.74</v>
      </c>
      <c r="H466" s="18">
        <f>15376.28+704.54</f>
        <v>16080.82</v>
      </c>
      <c r="I466" s="18"/>
      <c r="J466" s="18">
        <f>96151.77+251352.89+15008.8+321958.64+3509.66</f>
        <v>687981.76000000013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3658685.59</v>
      </c>
      <c r="G469" s="18">
        <f>108926.07-1040.85</f>
        <v>107885.22</v>
      </c>
      <c r="H469" s="18">
        <f>165790.88+1000+4057.88</f>
        <v>170848.76</v>
      </c>
      <c r="I469" s="18"/>
      <c r="J469" s="18">
        <f>798.1+240.55+628.89+8.69+7.41</f>
        <v>1683.64</v>
      </c>
      <c r="K469" s="23" t="s">
        <v>288</v>
      </c>
      <c r="L469" s="23" t="s">
        <v>288</v>
      </c>
      <c r="N469" s="131"/>
    </row>
    <row r="470" spans="1:14" ht="12.2" customHeight="1" x14ac:dyDescent="0.2">
      <c r="A470" s="71" t="s">
        <v>611</v>
      </c>
      <c r="B470" s="22">
        <v>19</v>
      </c>
      <c r="C470" s="31">
        <v>3</v>
      </c>
      <c r="D470" s="2" t="s">
        <v>432</v>
      </c>
      <c r="E470" s="31"/>
      <c r="F470" s="18"/>
      <c r="G470" s="18">
        <f>662.81</f>
        <v>662.81</v>
      </c>
      <c r="H470" s="18"/>
      <c r="I470" s="18"/>
      <c r="J470" s="18"/>
      <c r="K470" s="23" t="s">
        <v>288</v>
      </c>
      <c r="L470" s="23" t="s">
        <v>288</v>
      </c>
      <c r="N470" s="131"/>
    </row>
    <row r="471" spans="1:14" ht="12.2" customHeight="1" x14ac:dyDescent="0.2">
      <c r="A471" s="32" t="s">
        <v>425</v>
      </c>
      <c r="B471" s="22">
        <v>19</v>
      </c>
      <c r="C471" s="31">
        <v>4</v>
      </c>
      <c r="D471" s="2" t="s">
        <v>432</v>
      </c>
      <c r="E471" s="31"/>
      <c r="F471" s="19">
        <f>SUM(F469:F470)</f>
        <v>3658685.59</v>
      </c>
      <c r="G471" s="19">
        <f>SUM(G469:G470)</f>
        <v>108548.03</v>
      </c>
      <c r="H471" s="19">
        <f>SUM(H469:H470)</f>
        <v>170848.76</v>
      </c>
      <c r="I471" s="19">
        <f>SUM(I469:I470)</f>
        <v>0</v>
      </c>
      <c r="J471" s="19">
        <f>SUM(J469:J470)</f>
        <v>1683.64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3762852.1</v>
      </c>
      <c r="G473" s="18">
        <v>126419.01</v>
      </c>
      <c r="H473" s="18">
        <f>4791.85+165790.88+4.18</f>
        <v>170586.91</v>
      </c>
      <c r="I473" s="18"/>
      <c r="J473" s="18">
        <v>96000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3762852.1</v>
      </c>
      <c r="G475" s="19">
        <f>SUM(G473:G474)</f>
        <v>126419.01</v>
      </c>
      <c r="H475" s="19">
        <f>SUM(H473:H474)</f>
        <v>170586.91</v>
      </c>
      <c r="I475" s="19">
        <f>SUM(I473:I474)</f>
        <v>0</v>
      </c>
      <c r="J475" s="19">
        <f>SUM(J473:J474)</f>
        <v>96000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343672.35999999987</v>
      </c>
      <c r="G477" s="19">
        <f>(G466+G471)- G475</f>
        <v>10609.759999999995</v>
      </c>
      <c r="H477" s="19">
        <f>(H466+H471)- H475</f>
        <v>16342.670000000013</v>
      </c>
      <c r="I477" s="19">
        <f>(I466+I471)- I475</f>
        <v>0</v>
      </c>
      <c r="J477" s="19">
        <f>(J466+J471)- J475</f>
        <v>593665.40000000014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12</v>
      </c>
      <c r="G491" s="111">
        <v>5</v>
      </c>
      <c r="H491" s="111">
        <v>5</v>
      </c>
      <c r="I491" s="111"/>
      <c r="J491" s="111"/>
      <c r="K491" s="23" t="s">
        <v>288</v>
      </c>
      <c r="L491" s="23" t="s">
        <v>288</v>
      </c>
      <c r="N491" s="131"/>
    </row>
    <row r="492" spans="1:14" ht="12.2" customHeight="1" x14ac:dyDescent="0.2">
      <c r="A492" s="21" t="s">
        <v>615</v>
      </c>
      <c r="B492" s="22">
        <v>20</v>
      </c>
      <c r="C492" s="22">
        <v>2</v>
      </c>
      <c r="D492" s="2" t="s">
        <v>432</v>
      </c>
      <c r="E492" s="22"/>
      <c r="F492" s="112" t="s">
        <v>1813</v>
      </c>
      <c r="G492" s="112" t="s">
        <v>1815</v>
      </c>
      <c r="H492" s="111">
        <f>6/21/23</f>
        <v>1.2422360248447204E-2</v>
      </c>
      <c r="I492" s="111"/>
      <c r="J492" s="111"/>
      <c r="K492" s="23" t="s">
        <v>288</v>
      </c>
      <c r="L492" s="23" t="s">
        <v>288</v>
      </c>
      <c r="N492" s="131"/>
    </row>
    <row r="493" spans="1:14" ht="12.2" customHeight="1" x14ac:dyDescent="0.2">
      <c r="A493" s="21" t="s">
        <v>616</v>
      </c>
      <c r="B493" s="22">
        <v>20</v>
      </c>
      <c r="C493" s="22">
        <v>3</v>
      </c>
      <c r="D493" s="2" t="s">
        <v>432</v>
      </c>
      <c r="E493" s="22"/>
      <c r="F493" s="112" t="s">
        <v>1814</v>
      </c>
      <c r="G493" s="112" t="s">
        <v>1816</v>
      </c>
      <c r="H493" s="111">
        <f>7/15/27</f>
        <v>1.7283950617283952E-2</v>
      </c>
      <c r="I493" s="111"/>
      <c r="J493" s="111"/>
      <c r="K493" s="23" t="s">
        <v>288</v>
      </c>
      <c r="L493" s="23" t="s">
        <v>288</v>
      </c>
      <c r="N493" s="131"/>
    </row>
    <row r="494" spans="1:14" ht="12.2" customHeight="1" x14ac:dyDescent="0.2">
      <c r="A494" s="21" t="s">
        <v>617</v>
      </c>
      <c r="B494" s="22">
        <v>20</v>
      </c>
      <c r="C494" s="22">
        <v>4</v>
      </c>
      <c r="D494" s="2" t="s">
        <v>432</v>
      </c>
      <c r="E494" s="22"/>
      <c r="F494" s="18">
        <v>370711</v>
      </c>
      <c r="G494" s="18">
        <v>17801.28</v>
      </c>
      <c r="H494" s="18">
        <v>44029</v>
      </c>
      <c r="I494" s="18"/>
      <c r="J494" s="18"/>
      <c r="K494" s="23" t="s">
        <v>288</v>
      </c>
      <c r="L494" s="23" t="s">
        <v>288</v>
      </c>
      <c r="N494" s="131"/>
    </row>
    <row r="495" spans="1:14" ht="12.2" customHeight="1" x14ac:dyDescent="0.2">
      <c r="A495" s="21" t="s">
        <v>618</v>
      </c>
      <c r="B495" s="22">
        <v>20</v>
      </c>
      <c r="C495" s="22">
        <v>5</v>
      </c>
      <c r="D495" s="2" t="s">
        <v>432</v>
      </c>
      <c r="E495" s="22"/>
      <c r="F495" s="18">
        <v>4.97</v>
      </c>
      <c r="G495" s="18">
        <v>5.24</v>
      </c>
      <c r="H495" s="18">
        <v>7.65</v>
      </c>
      <c r="I495" s="18"/>
      <c r="J495" s="18"/>
      <c r="K495" s="23" t="s">
        <v>288</v>
      </c>
      <c r="L495" s="23" t="s">
        <v>288</v>
      </c>
      <c r="N495" s="131"/>
    </row>
    <row r="496" spans="1:14" ht="12.2" customHeight="1" x14ac:dyDescent="0.2">
      <c r="A496" s="21" t="s">
        <v>619</v>
      </c>
      <c r="B496" s="22">
        <v>20</v>
      </c>
      <c r="C496" s="22">
        <v>6</v>
      </c>
      <c r="D496" s="2" t="s">
        <v>432</v>
      </c>
      <c r="E496" s="22"/>
      <c r="F496" s="18">
        <v>0</v>
      </c>
      <c r="G496" s="18">
        <v>0</v>
      </c>
      <c r="H496" s="18">
        <v>0</v>
      </c>
      <c r="I496" s="18"/>
      <c r="J496" s="18"/>
      <c r="K496" s="19">
        <f>SUM(F496:J496)</f>
        <v>0</v>
      </c>
      <c r="L496" s="23" t="s">
        <v>288</v>
      </c>
      <c r="N496" s="131"/>
    </row>
    <row r="497" spans="1:14" ht="12.2" customHeight="1" x14ac:dyDescent="0.2">
      <c r="A497" s="21" t="s">
        <v>620</v>
      </c>
      <c r="B497" s="22">
        <v>20</v>
      </c>
      <c r="C497" s="22">
        <v>7</v>
      </c>
      <c r="D497" s="2" t="s">
        <v>432</v>
      </c>
      <c r="E497" s="22"/>
      <c r="F497" s="18">
        <v>370711</v>
      </c>
      <c r="G497" s="18">
        <v>17801.28</v>
      </c>
      <c r="H497" s="18">
        <v>44029</v>
      </c>
      <c r="I497" s="18"/>
      <c r="J497" s="18"/>
      <c r="K497" s="19">
        <f t="shared" ref="K497:K504" si="35">SUM(F497:J497)</f>
        <v>432541.28</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363220.77</v>
      </c>
      <c r="G499" s="147">
        <v>17801.28</v>
      </c>
      <c r="H499" s="147">
        <v>44029</v>
      </c>
      <c r="I499" s="147"/>
      <c r="J499" s="147"/>
      <c r="K499" s="148">
        <f t="shared" si="35"/>
        <v>425051.05000000005</v>
      </c>
      <c r="L499" s="149" t="s">
        <v>288</v>
      </c>
      <c r="N499" s="131"/>
    </row>
    <row r="500" spans="1:14" ht="12.2" customHeight="1" thickBot="1" x14ac:dyDescent="0.25">
      <c r="A500" s="21" t="s">
        <v>623</v>
      </c>
      <c r="B500" s="22">
        <v>20</v>
      </c>
      <c r="C500" s="22">
        <v>10</v>
      </c>
      <c r="D500" s="2" t="s">
        <v>432</v>
      </c>
      <c r="E500" s="22"/>
      <c r="F500" s="18">
        <v>88509.77</v>
      </c>
      <c r="G500" s="18">
        <v>1950.62</v>
      </c>
      <c r="H500" s="18">
        <v>6717.95</v>
      </c>
      <c r="I500" s="18"/>
      <c r="J500" s="18"/>
      <c r="K500" s="19">
        <f t="shared" si="35"/>
        <v>97178.34</v>
      </c>
      <c r="L500" s="23" t="s">
        <v>288</v>
      </c>
      <c r="N500" s="131"/>
    </row>
    <row r="501" spans="1:14" ht="12.2" customHeight="1" thickTop="1" x14ac:dyDescent="0.2">
      <c r="A501" s="97" t="s">
        <v>624</v>
      </c>
      <c r="B501" s="41">
        <v>20</v>
      </c>
      <c r="C501" s="41">
        <v>11</v>
      </c>
      <c r="D501" s="36" t="s">
        <v>432</v>
      </c>
      <c r="E501" s="41"/>
      <c r="F501" s="39">
        <f>SUM(F499:F500)</f>
        <v>451730.54000000004</v>
      </c>
      <c r="G501" s="39">
        <f>SUM(G499:G500)</f>
        <v>19751.899999999998</v>
      </c>
      <c r="H501" s="39">
        <f>SUM(H499:H500)</f>
        <v>50746.95</v>
      </c>
      <c r="I501" s="39">
        <f>SUM(I499:I500)</f>
        <v>0</v>
      </c>
      <c r="J501" s="39">
        <f>SUM(J499:J500)</f>
        <v>0</v>
      </c>
      <c r="K501" s="39">
        <f t="shared" si="35"/>
        <v>522229.39000000007</v>
      </c>
      <c r="L501" s="42" t="s">
        <v>288</v>
      </c>
      <c r="N501" s="131"/>
    </row>
    <row r="502" spans="1:14" ht="12.2" customHeight="1" x14ac:dyDescent="0.2">
      <c r="A502" s="144" t="s">
        <v>651</v>
      </c>
      <c r="B502" s="145">
        <v>20</v>
      </c>
      <c r="C502" s="145">
        <v>12</v>
      </c>
      <c r="D502" s="146" t="s">
        <v>432</v>
      </c>
      <c r="E502" s="145"/>
      <c r="F502" s="147">
        <v>19366.93</v>
      </c>
      <c r="G502" s="147">
        <v>3220.44</v>
      </c>
      <c r="H502" s="147">
        <v>7557.6</v>
      </c>
      <c r="I502" s="147"/>
      <c r="J502" s="147"/>
      <c r="K502" s="148">
        <f t="shared" si="35"/>
        <v>30144.97</v>
      </c>
      <c r="L502" s="149" t="s">
        <v>288</v>
      </c>
      <c r="N502" s="131"/>
    </row>
    <row r="503" spans="1:14" ht="12.2" customHeight="1" thickBot="1" x14ac:dyDescent="0.25">
      <c r="A503" s="21" t="s">
        <v>625</v>
      </c>
      <c r="B503" s="22">
        <v>20</v>
      </c>
      <c r="C503" s="22">
        <v>13</v>
      </c>
      <c r="D503" s="2" t="s">
        <v>432</v>
      </c>
      <c r="E503" s="22"/>
      <c r="F503" s="18">
        <v>13653.14</v>
      </c>
      <c r="G503" s="18">
        <v>729.94</v>
      </c>
      <c r="H503" s="18">
        <v>2591.79</v>
      </c>
      <c r="I503" s="18"/>
      <c r="J503" s="18"/>
      <c r="K503" s="19">
        <f t="shared" si="35"/>
        <v>16974.87</v>
      </c>
      <c r="L503" s="23" t="s">
        <v>288</v>
      </c>
      <c r="N503" s="131"/>
    </row>
    <row r="504" spans="1:14" ht="12.2" customHeight="1" thickTop="1" x14ac:dyDescent="0.2">
      <c r="A504" s="97" t="s">
        <v>626</v>
      </c>
      <c r="B504" s="41">
        <v>20</v>
      </c>
      <c r="C504" s="41">
        <v>14</v>
      </c>
      <c r="D504" s="36" t="s">
        <v>432</v>
      </c>
      <c r="E504" s="41"/>
      <c r="F504" s="39">
        <f>SUM(F502:F503)</f>
        <v>33020.07</v>
      </c>
      <c r="G504" s="39">
        <f>SUM(G502:G503)</f>
        <v>3950.38</v>
      </c>
      <c r="H504" s="39">
        <f>SUM(H502:H503)</f>
        <v>10149.39</v>
      </c>
      <c r="I504" s="39">
        <f>SUM(I502:I503)</f>
        <v>0</v>
      </c>
      <c r="J504" s="39">
        <f>SUM(J502:J503)</f>
        <v>0</v>
      </c>
      <c r="K504" s="39">
        <f t="shared" si="35"/>
        <v>47119.839999999997</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11921.26+213474.53</f>
        <v>225395.79</v>
      </c>
      <c r="G522" s="18">
        <f>3759.35+120770.44</f>
        <v>124529.79000000001</v>
      </c>
      <c r="H522" s="18">
        <f>826.5+3257.72+42911.54+6203.69+386.1</f>
        <v>53585.55</v>
      </c>
      <c r="I522" s="18">
        <f>885.29+847.7-135</f>
        <v>1597.99</v>
      </c>
      <c r="J522" s="18">
        <v>1537</v>
      </c>
      <c r="K522" s="18">
        <v>555</v>
      </c>
      <c r="L522" s="69">
        <f>SUM(F522:K522)</f>
        <v>407201.12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91532.800000000003</v>
      </c>
      <c r="I524" s="18">
        <v>135</v>
      </c>
      <c r="J524" s="18"/>
      <c r="K524" s="18"/>
      <c r="L524" s="69">
        <f>SUM(F524:K524)</f>
        <v>91667.8</v>
      </c>
      <c r="N524" s="131"/>
    </row>
    <row r="525" spans="1:14" ht="12.2" customHeight="1" thickTop="1" x14ac:dyDescent="0.2">
      <c r="A525" s="97" t="s">
        <v>63</v>
      </c>
      <c r="B525" s="41">
        <v>21</v>
      </c>
      <c r="C525" s="41">
        <v>4</v>
      </c>
      <c r="D525" s="115" t="s">
        <v>432</v>
      </c>
      <c r="E525" s="41"/>
      <c r="F525" s="81">
        <f>SUM(F522:F524)</f>
        <v>225395.79</v>
      </c>
      <c r="G525" s="81">
        <f t="shared" ref="G525:L525" si="36">SUM(G522:G524)</f>
        <v>124529.79000000001</v>
      </c>
      <c r="H525" s="81">
        <f t="shared" si="36"/>
        <v>145118.35</v>
      </c>
      <c r="I525" s="81">
        <f t="shared" si="36"/>
        <v>1732.99</v>
      </c>
      <c r="J525" s="81">
        <f t="shared" si="36"/>
        <v>1537</v>
      </c>
      <c r="K525" s="81">
        <f t="shared" si="36"/>
        <v>555</v>
      </c>
      <c r="L525" s="70">
        <f t="shared" si="36"/>
        <v>498868.92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21924+27446.47+12474+3855.5</f>
        <v>65699.97</v>
      </c>
      <c r="I527" s="18"/>
      <c r="J527" s="18"/>
      <c r="K527" s="18"/>
      <c r="L527" s="69">
        <f>SUM(F527:K527)</f>
        <v>65699.97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7308</v>
      </c>
      <c r="I529" s="18"/>
      <c r="J529" s="18"/>
      <c r="K529" s="18"/>
      <c r="L529" s="69">
        <f>SUM(F529:K529)</f>
        <v>7308</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73007.97</v>
      </c>
      <c r="I530" s="70">
        <f t="shared" si="37"/>
        <v>0</v>
      </c>
      <c r="J530" s="70">
        <f t="shared" si="37"/>
        <v>0</v>
      </c>
      <c r="K530" s="70">
        <f t="shared" si="37"/>
        <v>0</v>
      </c>
      <c r="L530" s="70">
        <f t="shared" si="37"/>
        <v>73007.97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19505.669999999998</v>
      </c>
      <c r="I542" s="18"/>
      <c r="J542" s="18"/>
      <c r="K542" s="18"/>
      <c r="L542" s="69">
        <f>SUM(F542:K542)</f>
        <v>19505.669999999998</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19505.669999999998</v>
      </c>
      <c r="I545" s="141">
        <f t="shared" si="40"/>
        <v>0</v>
      </c>
      <c r="J545" s="141">
        <f t="shared" si="40"/>
        <v>0</v>
      </c>
      <c r="K545" s="141">
        <f t="shared" si="40"/>
        <v>0</v>
      </c>
      <c r="L545" s="141">
        <f t="shared" si="40"/>
        <v>19505.669999999998</v>
      </c>
      <c r="M545" s="8"/>
      <c r="N545" s="165"/>
    </row>
    <row r="546" spans="1:14" s="3" customFormat="1" ht="12.2" customHeight="1" thickTop="1" x14ac:dyDescent="0.15">
      <c r="A546" s="75" t="s">
        <v>72</v>
      </c>
      <c r="B546" s="41">
        <v>21</v>
      </c>
      <c r="C546" s="41">
        <v>21</v>
      </c>
      <c r="D546" s="115" t="s">
        <v>432</v>
      </c>
      <c r="E546" s="41"/>
      <c r="F546" s="70">
        <f>F525+F530+F535+F540+F545</f>
        <v>225395.79</v>
      </c>
      <c r="G546" s="70">
        <f t="shared" ref="G546:L546" si="41">G525+G530+G535+G540+G545</f>
        <v>124529.79000000001</v>
      </c>
      <c r="H546" s="70">
        <f t="shared" si="41"/>
        <v>237631.99</v>
      </c>
      <c r="I546" s="70">
        <f t="shared" si="41"/>
        <v>1732.99</v>
      </c>
      <c r="J546" s="70">
        <f t="shared" si="41"/>
        <v>1537</v>
      </c>
      <c r="K546" s="70">
        <f t="shared" si="41"/>
        <v>555</v>
      </c>
      <c r="L546" s="70">
        <f t="shared" si="41"/>
        <v>591382.56000000006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407201.12</v>
      </c>
      <c r="G550" s="69">
        <f>L527</f>
        <v>65699.97</v>
      </c>
      <c r="H550" s="69">
        <f>L532</f>
        <v>0</v>
      </c>
      <c r="I550" s="69">
        <f>L537</f>
        <v>0</v>
      </c>
      <c r="J550" s="69">
        <f>L542</f>
        <v>19505.669999999998</v>
      </c>
      <c r="K550" s="69">
        <f>SUM(F550:J550)</f>
        <v>492406.75999999995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91667.8</v>
      </c>
      <c r="G552" s="69">
        <f>L529</f>
        <v>7308</v>
      </c>
      <c r="H552" s="69">
        <f>L534</f>
        <v>0</v>
      </c>
      <c r="I552" s="69">
        <f>L539</f>
        <v>0</v>
      </c>
      <c r="J552" s="69">
        <f>L544</f>
        <v>0</v>
      </c>
      <c r="K552" s="69">
        <f>SUM(F552:J552)</f>
        <v>98975.8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498868.92</v>
      </c>
      <c r="G553" s="70">
        <f t="shared" si="42"/>
        <v>73007.97</v>
      </c>
      <c r="H553" s="70">
        <f t="shared" si="42"/>
        <v>0</v>
      </c>
      <c r="I553" s="70">
        <f t="shared" si="42"/>
        <v>0</v>
      </c>
      <c r="J553" s="70">
        <f t="shared" si="42"/>
        <v>19505.669999999998</v>
      </c>
      <c r="K553" s="70">
        <f t="shared" si="42"/>
        <v>591382.55999999994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54519</v>
      </c>
      <c r="I576" s="69">
        <f>SUM(F576:H576)</f>
        <v>54519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12118</v>
      </c>
      <c r="G577" s="18"/>
      <c r="H577" s="18">
        <v>799917.4</v>
      </c>
      <c r="I577" s="69">
        <f t="shared" ref="I577:I588" si="47">SUM(F577:H577)</f>
        <v>812035.4</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42911.54</v>
      </c>
      <c r="G580" s="18"/>
      <c r="H580" s="18">
        <v>49455.6</v>
      </c>
      <c r="I580" s="69">
        <f t="shared" si="47"/>
        <v>92367.14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6203.69</v>
      </c>
      <c r="G581" s="18"/>
      <c r="H581" s="18">
        <v>42077.2</v>
      </c>
      <c r="I581" s="69">
        <f t="shared" si="47"/>
        <v>48280.89</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32531.26</v>
      </c>
      <c r="I586" s="69">
        <f t="shared" si="47"/>
        <v>32531.26</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58401+5864.95</f>
        <v>64265.95</v>
      </c>
      <c r="I592" s="18"/>
      <c r="J592" s="18">
        <f>71379</f>
        <v>71379</v>
      </c>
      <c r="K592" s="80">
        <f t="shared" ref="K592:K598" si="48">SUM(H592:J592)</f>
        <v>135644.95000000001</v>
      </c>
      <c r="L592" s="23" t="s">
        <v>288</v>
      </c>
      <c r="M592" s="8"/>
      <c r="N592" s="165"/>
    </row>
    <row r="593" spans="1:14" s="3" customFormat="1" ht="12.2" customHeight="1" x14ac:dyDescent="0.15">
      <c r="A593" s="3" t="s">
        <v>638</v>
      </c>
      <c r="B593" s="22">
        <v>23</v>
      </c>
      <c r="C593" s="22">
        <v>2</v>
      </c>
      <c r="D593" s="2" t="s">
        <v>432</v>
      </c>
      <c r="E593" s="22"/>
      <c r="F593" s="78">
        <v>2722</v>
      </c>
      <c r="G593" s="79" t="s">
        <v>97</v>
      </c>
      <c r="H593" s="18">
        <v>19505.669999999998</v>
      </c>
      <c r="I593" s="18"/>
      <c r="J593" s="18"/>
      <c r="K593" s="80">
        <f t="shared" si="48"/>
        <v>19505.669999999998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2029.8</v>
      </c>
      <c r="I595" s="18"/>
      <c r="J595" s="18"/>
      <c r="K595" s="80">
        <f t="shared" si="48"/>
        <v>2029.8</v>
      </c>
      <c r="L595" s="23" t="s">
        <v>288</v>
      </c>
      <c r="M595" s="8"/>
      <c r="N595" s="165"/>
    </row>
    <row r="596" spans="1:14" s="3" customFormat="1" ht="12.2" customHeight="1" x14ac:dyDescent="0.15">
      <c r="A596" s="103" t="s">
        <v>652</v>
      </c>
      <c r="B596" s="22">
        <v>23</v>
      </c>
      <c r="C596" s="22">
        <v>5</v>
      </c>
      <c r="D596" s="2" t="s">
        <v>432</v>
      </c>
      <c r="E596" s="22"/>
      <c r="F596" s="78">
        <v>2725</v>
      </c>
      <c r="G596" s="79" t="s">
        <v>97</v>
      </c>
      <c r="H596" s="18">
        <f>3584.58+47.05+153.37+554.7+334.3+48.27+48.27+48.26+443</f>
        <v>5261.8000000000011</v>
      </c>
      <c r="I596" s="18"/>
      <c r="J596" s="18"/>
      <c r="K596" s="80">
        <f t="shared" si="48"/>
        <v>5261.8000000000011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91063.22</v>
      </c>
      <c r="I599" s="81">
        <f>SUM(I592:I598)</f>
        <v>0</v>
      </c>
      <c r="J599" s="81">
        <f>SUM(J592:J598)</f>
        <v>71379</v>
      </c>
      <c r="K599" s="81">
        <f>SUM(K592:K598)</f>
        <v>162442.21999999997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1537+974.02+334.48+671.53+648.74+3392.49+1333.73+329+10161.75</f>
        <v>19382.739999999998</v>
      </c>
      <c r="I605" s="18"/>
      <c r="J605" s="18"/>
      <c r="K605" s="80">
        <f>SUM(H605:J605)</f>
        <v>19382.739999999998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19382.739999999998</v>
      </c>
      <c r="I606" s="81">
        <f>SUM(I603:I605)</f>
        <v>0</v>
      </c>
      <c r="J606" s="81">
        <f>SUM(J603:J605)</f>
        <v>0</v>
      </c>
      <c r="K606" s="81">
        <f>SUM(K603:K605)</f>
        <v>19382.739999999998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582797.85999999987</v>
      </c>
      <c r="H618" s="80">
        <f>SUM(F52)</f>
        <v>582797.86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17131.28</v>
      </c>
      <c r="H619" s="80">
        <f>SUM(G52)</f>
        <v>17131.28</v>
      </c>
      <c r="I619" s="87" t="s">
        <v>875</v>
      </c>
      <c r="J619" s="80">
        <f>G619-H619</f>
        <v>0</v>
      </c>
      <c r="K619" s="80"/>
      <c r="L619" s="80"/>
      <c r="M619" s="8"/>
    </row>
    <row r="620" spans="1:14" s="3" customFormat="1" ht="12.2" customHeight="1" x14ac:dyDescent="0.15">
      <c r="A620" s="74"/>
      <c r="B620" s="22"/>
      <c r="C620" s="22"/>
      <c r="D620" s="22"/>
      <c r="E620" s="22"/>
      <c r="F620" s="87" t="s">
        <v>685</v>
      </c>
      <c r="G620" s="80">
        <f>SUM(H19)</f>
        <v>16342.67</v>
      </c>
      <c r="H620" s="80">
        <f>SUM(H52)</f>
        <v>16342.67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593665.4</v>
      </c>
      <c r="H622" s="80">
        <f>SUM(J52)</f>
        <v>593665.4</v>
      </c>
      <c r="I622" s="87" t="s">
        <v>878</v>
      </c>
      <c r="J622" s="80">
        <f>G622-H622</f>
        <v>0</v>
      </c>
      <c r="K622" s="80"/>
      <c r="L622" s="80"/>
      <c r="M622" s="8"/>
    </row>
    <row r="623" spans="1:14" s="3" customFormat="1" ht="12.2" customHeight="1" x14ac:dyDescent="0.15">
      <c r="A623" s="74"/>
      <c r="B623" s="22"/>
      <c r="C623" s="22"/>
      <c r="D623" s="22"/>
      <c r="E623" s="22"/>
      <c r="F623" s="87" t="s">
        <v>864</v>
      </c>
      <c r="G623" s="80">
        <f>F51</f>
        <v>343672.36</v>
      </c>
      <c r="H623" s="80">
        <f>F477</f>
        <v>343672.35999999987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10609.76</v>
      </c>
      <c r="H624" s="80">
        <f>G477</f>
        <v>10609.759999999995</v>
      </c>
      <c r="I624" s="87" t="s">
        <v>102</v>
      </c>
      <c r="J624" s="80">
        <f t="shared" si="50"/>
        <v>0</v>
      </c>
      <c r="K624" s="80"/>
      <c r="L624" s="80"/>
      <c r="M624" s="8"/>
    </row>
    <row r="625" spans="1:13" s="3" customFormat="1" ht="12.2" customHeight="1" x14ac:dyDescent="0.15">
      <c r="A625" s="74"/>
      <c r="B625" s="22"/>
      <c r="C625" s="22"/>
      <c r="D625" s="22"/>
      <c r="E625" s="22"/>
      <c r="F625" s="86" t="s">
        <v>866</v>
      </c>
      <c r="G625" s="80">
        <f>H51</f>
        <v>16342.67</v>
      </c>
      <c r="H625" s="80">
        <f>H477</f>
        <v>16342.670000000013</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593665.4</v>
      </c>
      <c r="H627" s="80">
        <f>J477</f>
        <v>593665.40000000014</v>
      </c>
      <c r="I627" s="87" t="s">
        <v>105</v>
      </c>
      <c r="J627" s="80">
        <f t="shared" si="50"/>
        <v>0</v>
      </c>
      <c r="K627" s="67"/>
      <c r="L627" s="69"/>
      <c r="M627" s="8"/>
    </row>
    <row r="628" spans="1:13" s="3" customFormat="1" ht="12.2" customHeight="1" x14ac:dyDescent="0.15">
      <c r="A628" s="21"/>
      <c r="B628" s="22"/>
      <c r="C628" s="22"/>
      <c r="D628" s="22"/>
      <c r="E628" s="22"/>
      <c r="F628" s="86" t="s">
        <v>658</v>
      </c>
      <c r="G628" s="80">
        <f>F194</f>
        <v>3658685.59</v>
      </c>
      <c r="H628" s="80">
        <f>SUM(F469)</f>
        <v>3658685.59</v>
      </c>
      <c r="I628" s="87" t="s">
        <v>106</v>
      </c>
      <c r="J628" s="80">
        <f>G628-H628</f>
        <v>0</v>
      </c>
      <c r="K628" s="67"/>
      <c r="L628" s="69"/>
      <c r="M628" s="8"/>
    </row>
    <row r="629" spans="1:13" s="3" customFormat="1" ht="12.2" customHeight="1" x14ac:dyDescent="0.15">
      <c r="A629" s="21"/>
      <c r="B629" s="22"/>
      <c r="C629" s="22"/>
      <c r="D629" s="22"/>
      <c r="E629" s="22"/>
      <c r="F629" s="86" t="s">
        <v>659</v>
      </c>
      <c r="G629" s="80">
        <f>G194</f>
        <v>107885.21999999999</v>
      </c>
      <c r="H629" s="80">
        <f>SUM(G469)</f>
        <v>107885.22</v>
      </c>
      <c r="I629" s="87" t="s">
        <v>107</v>
      </c>
      <c r="J629" s="80">
        <f>G629-H629</f>
        <v>0</v>
      </c>
      <c r="K629" s="67"/>
      <c r="L629" s="69"/>
      <c r="M629" s="8"/>
    </row>
    <row r="630" spans="1:13" s="3" customFormat="1" ht="12.2" customHeight="1" x14ac:dyDescent="0.15">
      <c r="A630" s="21"/>
      <c r="B630" s="22"/>
      <c r="C630" s="22"/>
      <c r="D630" s="22"/>
      <c r="E630" s="22"/>
      <c r="F630" s="86" t="s">
        <v>660</v>
      </c>
      <c r="G630" s="80">
        <f>H194</f>
        <v>170848.76</v>
      </c>
      <c r="H630" s="80">
        <f>SUM(H469)</f>
        <v>170848.76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1683.64</v>
      </c>
      <c r="H632" s="80">
        <f>SUM(J469)</f>
        <v>1683.64</v>
      </c>
      <c r="I632" s="87" t="s">
        <v>110</v>
      </c>
      <c r="J632" s="80">
        <f>G632-H632</f>
        <v>0</v>
      </c>
      <c r="K632" s="67"/>
      <c r="L632" s="69"/>
      <c r="M632" s="8"/>
    </row>
    <row r="633" spans="1:13" s="3" customFormat="1" ht="12.2" customHeight="1" x14ac:dyDescent="0.15">
      <c r="A633" s="21"/>
      <c r="B633" s="22"/>
      <c r="C633" s="22"/>
      <c r="D633" s="22"/>
      <c r="E633" s="22"/>
      <c r="F633" s="86" t="s">
        <v>394</v>
      </c>
      <c r="G633" s="80">
        <f>SUM(L272)</f>
        <v>3762852.1</v>
      </c>
      <c r="H633" s="80">
        <f>SUM(F473)</f>
        <v>3762852.1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170586.91000000003</v>
      </c>
      <c r="H634" s="80">
        <f>SUM(H473)</f>
        <v>170586.91</v>
      </c>
      <c r="I634" s="87" t="s">
        <v>112</v>
      </c>
      <c r="J634" s="80">
        <f>G634-H634</f>
        <v>0</v>
      </c>
      <c r="K634" s="67"/>
      <c r="L634" s="69"/>
      <c r="M634" s="8"/>
    </row>
    <row r="635" spans="1:13" s="124" customFormat="1" ht="12.2" customHeight="1" x14ac:dyDescent="0.15">
      <c r="A635" s="21"/>
      <c r="B635" s="22"/>
      <c r="C635" s="22"/>
      <c r="D635" s="22"/>
      <c r="E635" s="22"/>
      <c r="F635" s="99" t="s">
        <v>247</v>
      </c>
      <c r="G635" s="80">
        <f>I363</f>
        <v>53234.63</v>
      </c>
      <c r="H635" s="80">
        <f>I370</f>
        <v>53234.63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126419.01</v>
      </c>
      <c r="H636" s="80">
        <f>SUM(G473)</f>
        <v>126419.01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1683.6399999999999</v>
      </c>
      <c r="H638" s="108">
        <f>SUM(J469)</f>
        <v>1683.64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96000</v>
      </c>
      <c r="H639" s="108">
        <f>SUM(J473)</f>
        <v>96000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230275.09000000003</v>
      </c>
      <c r="H640" s="80">
        <f>SUM(F462)</f>
        <v>230275.09</v>
      </c>
      <c r="I640" s="87" t="s">
        <v>840</v>
      </c>
      <c r="J640" s="80">
        <f t="shared" si="50"/>
        <v>0</v>
      </c>
      <c r="K640" s="67"/>
      <c r="L640" s="69"/>
      <c r="M640" s="8"/>
    </row>
    <row r="641" spans="1:13" s="3" customFormat="1" ht="12.2" customHeight="1" x14ac:dyDescent="0.15">
      <c r="A641" s="21"/>
      <c r="B641" s="22"/>
      <c r="C641" s="22"/>
      <c r="D641" s="22"/>
      <c r="E641" s="22"/>
      <c r="F641" s="86" t="s">
        <v>119</v>
      </c>
      <c r="G641" s="80">
        <f>SUM(G447)</f>
        <v>363390.31</v>
      </c>
      <c r="H641" s="80">
        <f>SUM(G462)</f>
        <v>363390.31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593665.4</v>
      </c>
      <c r="H643" s="80">
        <f>SUM(I462)</f>
        <v>593665.4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1683.64</v>
      </c>
      <c r="H645" s="80">
        <f>H409</f>
        <v>1683.6399999999999</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1683.64</v>
      </c>
      <c r="H647" s="80">
        <f>L409</f>
        <v>1683.6399999999999</v>
      </c>
      <c r="I647" s="87" t="s">
        <v>477</v>
      </c>
      <c r="J647" s="80">
        <f t="shared" si="50"/>
        <v>0</v>
      </c>
      <c r="K647" s="67"/>
      <c r="L647" s="69"/>
      <c r="M647" s="8"/>
    </row>
    <row r="648" spans="1:13" s="3" customFormat="1" ht="12.2" customHeight="1" x14ac:dyDescent="0.15">
      <c r="A648" s="21"/>
      <c r="B648" s="22"/>
      <c r="C648" s="22"/>
      <c r="D648" s="22"/>
      <c r="E648" s="22"/>
      <c r="F648" s="86" t="s">
        <v>51</v>
      </c>
      <c r="G648" s="80">
        <f>K599</f>
        <v>162442.21999999997</v>
      </c>
      <c r="H648" s="80">
        <f>L209+L227+L245</f>
        <v>162442.21999999997</v>
      </c>
      <c r="I648" s="87" t="s">
        <v>396</v>
      </c>
      <c r="J648" s="80">
        <f t="shared" si="50"/>
        <v>0</v>
      </c>
      <c r="K648" s="67"/>
      <c r="L648" s="69"/>
      <c r="M648" s="8"/>
    </row>
    <row r="649" spans="1:13" s="3" customFormat="1" ht="12.2" customHeight="1" x14ac:dyDescent="0.15">
      <c r="A649" s="21"/>
      <c r="B649" s="22"/>
      <c r="C649" s="22"/>
      <c r="D649" s="22"/>
      <c r="E649" s="22"/>
      <c r="F649" s="86" t="s">
        <v>52</v>
      </c>
      <c r="G649" s="80">
        <f>K606</f>
        <v>19382.739999999998</v>
      </c>
      <c r="H649" s="80">
        <f>(J258+J339)-(J256+J337)</f>
        <v>19382.740000000002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91063.219999999987</v>
      </c>
      <c r="H650" s="80">
        <f>H599</f>
        <v>91063.22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71379</v>
      </c>
      <c r="H652" s="80">
        <f>J599</f>
        <v>71379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38706.949999999997</v>
      </c>
      <c r="H653" s="80">
        <f>K264+K346</f>
        <v>38706.949999999997</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2952221.96</v>
      </c>
      <c r="G661" s="13">
        <f>(L230+L310+L360)</f>
        <v>0</v>
      </c>
      <c r="H661" s="13">
        <f>(L248+L329+L361)</f>
        <v>1057322.46</v>
      </c>
      <c r="I661" s="13">
        <f>SUM(F661:H661)</f>
        <v>4009544.42</v>
      </c>
      <c r="J661" s="13"/>
      <c r="K661" s="13"/>
      <c r="L661" s="13"/>
      <c r="M661" s="9"/>
    </row>
    <row r="662" spans="1:13" s="3" customFormat="1" ht="12.2" customHeight="1" x14ac:dyDescent="0.2">
      <c r="A662" s="1" t="s">
        <v>127</v>
      </c>
      <c r="F662" s="13">
        <f>(L359/IF(SUM(L359:L361)=0,1,SUM(L359:L361))*(SUM(G97:G110)))</f>
        <v>27302.3</v>
      </c>
      <c r="G662" s="13">
        <f>(L360/IF(SUM(L359:L361)=0,1,SUM(L359:L361))*(SUM(G97:G110)))</f>
        <v>0</v>
      </c>
      <c r="H662" s="13">
        <f>(L361/IF(SUM(L359:L361)=0,1,SUM(L359:L361))*(SUM(G97:G110)))</f>
        <v>0</v>
      </c>
      <c r="I662" s="13">
        <f>SUM(F662:H662)</f>
        <v>27302.3</v>
      </c>
      <c r="J662"/>
      <c r="K662" s="13"/>
      <c r="L662" s="13"/>
      <c r="M662" s="8"/>
    </row>
    <row r="663" spans="1:13" s="3" customFormat="1" ht="12.2" customHeight="1" x14ac:dyDescent="0.2">
      <c r="A663" s="1" t="s">
        <v>128</v>
      </c>
      <c r="F663" s="13">
        <f>(L209+L288)-(J209+J288)</f>
        <v>92887.619999999981</v>
      </c>
      <c r="G663" s="13">
        <f>(L227+L307)-(J227+J307)</f>
        <v>0</v>
      </c>
      <c r="H663" s="13">
        <f>(L245+L326)-(J245+J326)</f>
        <v>71379</v>
      </c>
      <c r="I663" s="13">
        <f>SUM(F663:H663)</f>
        <v>164266.62</v>
      </c>
      <c r="J663"/>
      <c r="K663" s="13"/>
      <c r="L663" s="13"/>
      <c r="M663" s="9"/>
    </row>
    <row r="664" spans="1:13" s="3" customFormat="1" ht="12.2" customHeight="1" x14ac:dyDescent="0.15">
      <c r="A664" s="142" t="s">
        <v>129</v>
      </c>
      <c r="B664" s="124"/>
      <c r="C664" s="124"/>
      <c r="D664" s="124"/>
      <c r="E664" s="124"/>
      <c r="F664" s="143">
        <f>SUM(F576:F588)+SUM(H603:H605)+SUM(L612)</f>
        <v>80615.97</v>
      </c>
      <c r="G664" s="143">
        <f>SUM(G576:G588)+SUM(I603:I605)+L613</f>
        <v>0</v>
      </c>
      <c r="H664" s="143">
        <f>SUM(H576:H588)+SUM(J603:J605)+L614</f>
        <v>978500.46</v>
      </c>
      <c r="I664" s="13">
        <f>SUM(F664:H664)</f>
        <v>1059116.43</v>
      </c>
      <c r="J664" s="13"/>
      <c r="K664" s="13"/>
      <c r="L664" s="13"/>
      <c r="M664" s="9"/>
    </row>
    <row r="665" spans="1:13" s="3" customFormat="1" ht="12.2" customHeight="1" x14ac:dyDescent="0.15">
      <c r="A665" s="1" t="s">
        <v>130</v>
      </c>
      <c r="F665" s="13">
        <f>F661-SUM(F662:F664)</f>
        <v>2751416.07</v>
      </c>
      <c r="G665" s="13">
        <f>G661-SUM(G662:G664)</f>
        <v>0</v>
      </c>
      <c r="H665" s="13">
        <f>H661-SUM(H662:H664)</f>
        <v>7443</v>
      </c>
      <c r="I665" s="13">
        <f>I661-SUM(I662:I664)</f>
        <v>2758859.0700000003</v>
      </c>
      <c r="J665" s="13"/>
      <c r="K665" s="13"/>
      <c r="L665" s="13"/>
      <c r="M665" s="8"/>
    </row>
    <row r="666" spans="1:13" s="3" customFormat="1" ht="12.2" customHeight="1" x14ac:dyDescent="0.2">
      <c r="A666" s="1" t="s">
        <v>131</v>
      </c>
      <c r="F666" s="183">
        <v>87.88</v>
      </c>
      <c r="G666" s="184"/>
      <c r="H666" s="184"/>
      <c r="I666" s="13">
        <f>SUM(F666:H666)</f>
        <v>87.88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31308.79</v>
      </c>
      <c r="G668" s="13" t="e">
        <f>ROUND(G665/G666,2)</f>
        <v>#DIV/0!</v>
      </c>
      <c r="H668" s="13" t="e">
        <f>ROUND(H665/H666,2)</f>
        <v>#DIV/0!</v>
      </c>
      <c r="I668" s="13">
        <f>ROUND(I665/I666,2)</f>
        <v>31393.48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-7443</v>
      </c>
      <c r="I670" s="13">
        <f>SUM(F670:H670)</f>
        <v>-7443</v>
      </c>
      <c r="J670" s="13"/>
      <c r="K670" s="13"/>
      <c r="L670" s="13"/>
      <c r="M670" s="9"/>
    </row>
    <row r="671" spans="1:13" s="3" customFormat="1" ht="12.2" customHeight="1" x14ac:dyDescent="0.15">
      <c r="A671" s="1" t="s">
        <v>135</v>
      </c>
      <c r="F671" s="18"/>
      <c r="G671" s="18"/>
      <c r="H671" s="18">
        <v>-1</v>
      </c>
      <c r="I671" s="13">
        <f>SUM(F671:H671)</f>
        <v>-1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31308.79</v>
      </c>
      <c r="G673" s="13" t="e">
        <f>ROUND((G665+G670)/(G666+G671),2)</f>
        <v>#DIV/0!</v>
      </c>
      <c r="H673" s="13">
        <f>ROUND((H665+H670)/(H666+H671),2)</f>
        <v>0</v>
      </c>
      <c r="I673" s="13">
        <f>ROUND((I665+I670)/(I666+I671),2)</f>
        <v>31669.15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18459.650000000001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7803.32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10656.33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Monroe</v>
      </c>
      <c r="C5" s="317"/>
      <c r="D5" s="317"/>
      <c r="E5" s="317"/>
      <c r="F5" s="317"/>
    </row>
    <row r="8" spans="1:9" ht="18" x14ac:dyDescent="0.25">
      <c r="A8" s="240" t="s">
        <v>1560</v>
      </c>
      <c r="F8" s="247" t="s">
        <v>1578</v>
      </c>
    </row>
    <row r="9" spans="1:9" ht="15" x14ac:dyDescent="0.2">
      <c r="A9" s="238" t="s">
        <v>1561</v>
      </c>
      <c r="B9" s="241">
        <f>'DOE25'!G97</f>
        <v>27202.3</v>
      </c>
      <c r="F9" s="238" t="s">
        <v>1574</v>
      </c>
    </row>
    <row r="10" spans="1:9" ht="15" x14ac:dyDescent="0.2">
      <c r="A10" s="238" t="s">
        <v>1562</v>
      </c>
      <c r="B10" s="241">
        <f>'DOE25'!G112-'DOE25'!G97</f>
        <v>100</v>
      </c>
      <c r="F10" s="238" t="s">
        <v>1575</v>
      </c>
    </row>
    <row r="11" spans="1:9" ht="15" x14ac:dyDescent="0.2">
      <c r="A11" s="238" t="s">
        <v>1563</v>
      </c>
      <c r="B11" s="241">
        <f>'DOE25'!G140</f>
        <v>947.55</v>
      </c>
      <c r="F11" s="238" t="s">
        <v>1576</v>
      </c>
    </row>
    <row r="12" spans="1:9" ht="15" x14ac:dyDescent="0.2">
      <c r="A12" s="238" t="s">
        <v>1564</v>
      </c>
      <c r="B12" s="241">
        <f>'DOE25'!G170</f>
        <v>40928.42</v>
      </c>
      <c r="F12" s="238" t="s">
        <v>1577</v>
      </c>
    </row>
    <row r="13" spans="1:9" ht="15" x14ac:dyDescent="0.2">
      <c r="A13" s="238" t="s">
        <v>1565</v>
      </c>
      <c r="B13" s="241">
        <f>'DOE25'!G193-'DOE25'!G180</f>
        <v>0</v>
      </c>
      <c r="F13" s="238" t="s">
        <v>1587</v>
      </c>
    </row>
    <row r="14" spans="1:9" ht="18" x14ac:dyDescent="0.25">
      <c r="A14" s="240" t="s">
        <v>732</v>
      </c>
      <c r="B14" s="242">
        <f>SUM(B9:B13)</f>
        <v>69178.26999999999</v>
      </c>
    </row>
    <row r="16" spans="1:9" ht="18" x14ac:dyDescent="0.25">
      <c r="A16" s="240" t="s">
        <v>786</v>
      </c>
      <c r="F16" s="247" t="s">
        <v>1579</v>
      </c>
    </row>
    <row r="17" spans="1:6" ht="15" x14ac:dyDescent="0.2">
      <c r="A17" s="238" t="s">
        <v>1566</v>
      </c>
      <c r="B17" s="241">
        <f>'DOE25'!L363-'DOE25'!L362</f>
        <v>126419.01</v>
      </c>
      <c r="F17" s="238" t="s">
        <v>1580</v>
      </c>
    </row>
    <row r="18" spans="1:6" ht="15" x14ac:dyDescent="0.2">
      <c r="A18" s="238" t="s">
        <v>1567</v>
      </c>
      <c r="B18" s="251"/>
      <c r="F18" s="247" t="s">
        <v>1604</v>
      </c>
    </row>
    <row r="19" spans="1:6" ht="18" x14ac:dyDescent="0.25">
      <c r="A19" s="240" t="s">
        <v>725</v>
      </c>
      <c r="B19" s="242">
        <f>SUM(B17:B18)</f>
        <v>126419.01</v>
      </c>
    </row>
    <row r="21" spans="1:6" ht="18.75" thickBot="1" x14ac:dyDescent="0.3">
      <c r="A21" s="240" t="s">
        <v>1568</v>
      </c>
    </row>
    <row r="22" spans="1:6" ht="18.75" thickTop="1" x14ac:dyDescent="0.25">
      <c r="A22" s="240" t="s">
        <v>1569</v>
      </c>
      <c r="B22" s="246">
        <f>B14-B19</f>
        <v>-57240.740000000005</v>
      </c>
      <c r="F22" s="238" t="s">
        <v>1581</v>
      </c>
    </row>
    <row r="26" spans="1:6" ht="18" x14ac:dyDescent="0.25">
      <c r="A26" s="240" t="s">
        <v>186</v>
      </c>
    </row>
    <row r="27" spans="1:6" ht="15" x14ac:dyDescent="0.2">
      <c r="A27" s="238" t="s">
        <v>1570</v>
      </c>
      <c r="B27" s="241">
        <f>'DOE25'!G180</f>
        <v>38706.949999999997</v>
      </c>
      <c r="F27" s="238" t="s">
        <v>1582</v>
      </c>
    </row>
    <row r="28" spans="1:6" ht="15" x14ac:dyDescent="0.2">
      <c r="A28" s="238" t="s">
        <v>1572</v>
      </c>
      <c r="B28" s="241">
        <f>'DOE25'!L362</f>
        <v>0</v>
      </c>
      <c r="F28" s="238" t="s">
        <v>1583</v>
      </c>
    </row>
    <row r="31" spans="1:6" ht="15" x14ac:dyDescent="0.2">
      <c r="A31" s="238" t="s">
        <v>1797</v>
      </c>
      <c r="B31" s="241">
        <f>'DOE25'!G466</f>
        <v>28480.74</v>
      </c>
      <c r="F31" s="238" t="s">
        <v>1584</v>
      </c>
    </row>
    <row r="33" spans="1:6" ht="15" x14ac:dyDescent="0.2">
      <c r="A33" s="238" t="s">
        <v>1798</v>
      </c>
      <c r="B33" s="241">
        <f>'DOE25'!G477</f>
        <v>10609.759999999995</v>
      </c>
      <c r="F33" s="238" t="s">
        <v>1585</v>
      </c>
    </row>
    <row r="36" spans="1:6" ht="15" x14ac:dyDescent="0.2">
      <c r="A36" s="238" t="s">
        <v>1571</v>
      </c>
      <c r="B36" s="252">
        <v>4150.16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Monroe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722716.55</v>
      </c>
      <c r="C9" s="167">
        <f>'DOE25'!G198+'DOE25'!G216+'DOE25'!G234+'DOE25'!G277+'DOE25'!G296+'DOE25'!G315</f>
        <v>373610.51</v>
      </c>
    </row>
    <row r="10" spans="1:3" x14ac:dyDescent="0.2">
      <c r="A10" t="s">
        <v>775</v>
      </c>
      <c r="B10" s="177">
        <f>80835.19+573795.69+27262.1+7740.71+350+4419.02</f>
        <v>694402.70999999985</v>
      </c>
      <c r="C10" s="177">
        <f>23923.94+349686.57-3599.64-1040.4</f>
        <v>368970.47</v>
      </c>
    </row>
    <row r="11" spans="1:3" x14ac:dyDescent="0.2">
      <c r="A11" t="s">
        <v>776</v>
      </c>
      <c r="B11" s="177">
        <v>14713.84</v>
      </c>
      <c r="C11" s="177">
        <f>2474.03+1125.61</f>
        <v>3599.6400000000003</v>
      </c>
    </row>
    <row r="12" spans="1:3" x14ac:dyDescent="0.2">
      <c r="A12" t="s">
        <v>777</v>
      </c>
      <c r="B12" s="177">
        <v>13600</v>
      </c>
      <c r="C12" s="177">
        <v>1040.4000000000001</v>
      </c>
    </row>
    <row r="13" spans="1:3" x14ac:dyDescent="0.2">
      <c r="A13" t="str">
        <f>IF(B9=B13,IF(C9=C13,"Check Total OK","Check Total Error"),"Check Total Error")</f>
        <v>Check Total OK</v>
      </c>
      <c r="B13" s="169">
        <f>SUM(B10:B12)</f>
        <v>722716.54999999981</v>
      </c>
      <c r="C13" s="169">
        <f>SUM(C10:C12)</f>
        <v>373610.51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225395.79</v>
      </c>
      <c r="C18" s="167">
        <f>'DOE25'!G199+'DOE25'!G217+'DOE25'!G235+'DOE25'!G278+'DOE25'!G297+'DOE25'!G316</f>
        <v>124529.79000000001</v>
      </c>
    </row>
    <row r="19" spans="1:3" x14ac:dyDescent="0.2">
      <c r="A19" t="s">
        <v>775</v>
      </c>
      <c r="B19" s="177">
        <f>1575+61672.9+11930.08</f>
        <v>75177.98</v>
      </c>
      <c r="C19" s="177">
        <f>1428.26+1095+120.49+12732.23+1703.85+80.2+18219.25+9825.38+389.11</f>
        <v>45593.77</v>
      </c>
    </row>
    <row r="20" spans="1:3" x14ac:dyDescent="0.2">
      <c r="A20" t="s">
        <v>776</v>
      </c>
      <c r="B20" s="177">
        <f>10346.26+128441.55+135</f>
        <v>138922.81</v>
      </c>
      <c r="C20" s="177">
        <f>24.8+331.07+759.73+16564.06+3229.17+504.52-80.2+50468.61+5630.13+640.06</f>
        <v>78071.950000000012</v>
      </c>
    </row>
    <row r="21" spans="1:3" x14ac:dyDescent="0.2">
      <c r="A21" t="s">
        <v>777</v>
      </c>
      <c r="B21" s="177">
        <v>11295</v>
      </c>
      <c r="C21" s="177">
        <v>864.07</v>
      </c>
    </row>
    <row r="22" spans="1:3" x14ac:dyDescent="0.2">
      <c r="A22" t="str">
        <f>IF(B18=B22,IF(C18=C22,"Check Total OK","Check Total Error"),"Check Total Error")</f>
        <v>Check Total OK</v>
      </c>
      <c r="B22" s="169">
        <f>SUM(B19:B21)</f>
        <v>225395.78999999998</v>
      </c>
      <c r="C22" s="169">
        <f>SUM(C19:C21)</f>
        <v>124529.79000000001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10925</v>
      </c>
      <c r="C36" s="173">
        <f>'DOE25'!G201+'DOE25'!G219+'DOE25'!G237+'DOE25'!G280+'DOE25'!G299+'DOE25'!G318</f>
        <v>1690.8899999999999</v>
      </c>
    </row>
    <row r="37" spans="1:3" x14ac:dyDescent="0.2">
      <c r="A37" t="s">
        <v>775</v>
      </c>
      <c r="B37" s="177">
        <f>3550+7375</f>
        <v>10925</v>
      </c>
      <c r="C37" s="177">
        <f>1277.33+413.56</f>
        <v>1690.8899999999999</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10925</v>
      </c>
      <c r="C40" s="169">
        <f>SUM(C37:C39)</f>
        <v>1690.8899999999999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0" zoomScaleNormal="90" workbookViewId="0">
      <pane ySplit="4" topLeftCell="A5"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Monroe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2446862.5700000003</v>
      </c>
      <c r="D5" s="19">
        <f>SUM('DOE25'!L198:L201)+SUM('DOE25'!L216:L219)+SUM('DOE25'!L234:L237)-F5-G5-H5</f>
        <v>2328068.0700000003</v>
      </c>
      <c r="E5" s="180"/>
      <c r="F5" s="181">
        <v>104780</v>
      </c>
      <c r="G5" s="19">
        <f>SUM('DOE25'!J198:J201)+SUM('DOE25'!J216:J219)+SUM('DOE25'!J234:J237)</f>
        <v>11816.5</v>
      </c>
      <c r="H5" s="19">
        <f>SUM('DOE25'!K198:K201)+SUM('DOE25'!K216:K219)+SUM('DOE25'!K234:K237)</f>
        <v>2198</v>
      </c>
      <c r="I5" s="192"/>
    </row>
    <row r="6" spans="1:9" x14ac:dyDescent="0.2">
      <c r="A6" s="31">
        <v>2100</v>
      </c>
      <c r="B6" t="s">
        <v>796</v>
      </c>
      <c r="C6" s="206">
        <f t="shared" si="0"/>
        <v>271598.94000000006</v>
      </c>
      <c r="D6" s="19">
        <f>'DOE25'!L203+'DOE25'!L221+'DOE25'!L239-F6-G6-H6</f>
        <v>263820.57000000007</v>
      </c>
      <c r="E6" s="180"/>
      <c r="F6" s="181">
        <f>4232+2446.47</f>
        <v>6678.4699999999993</v>
      </c>
      <c r="G6" s="19">
        <f>'DOE25'!J203+'DOE25'!J221+'DOE25'!J239</f>
        <v>0</v>
      </c>
      <c r="H6" s="19">
        <f>'DOE25'!K203+'DOE25'!K221+'DOE25'!K239</f>
        <v>1099.9000000000001</v>
      </c>
      <c r="I6" s="192"/>
    </row>
    <row r="7" spans="1:9" x14ac:dyDescent="0.2">
      <c r="A7" s="31">
        <v>2200</v>
      </c>
      <c r="B7" t="s">
        <v>820</v>
      </c>
      <c r="C7" s="206">
        <f t="shared" si="0"/>
        <v>152892</v>
      </c>
      <c r="D7" s="19">
        <f>'DOE25'!L204+'DOE25'!L222+'DOE25'!L240-F7-G7-H7</f>
        <v>152753</v>
      </c>
      <c r="E7" s="180"/>
      <c r="F7" s="181"/>
      <c r="G7" s="19">
        <f>'DOE25'!J204+'DOE25'!J222+'DOE25'!J240</f>
        <v>0</v>
      </c>
      <c r="H7" s="19">
        <f>'DOE25'!K204+'DOE25'!K222+'DOE25'!K240</f>
        <v>139</v>
      </c>
      <c r="I7" s="192"/>
    </row>
    <row r="8" spans="1:9" x14ac:dyDescent="0.2">
      <c r="A8" s="31">
        <v>2300</v>
      </c>
      <c r="B8" t="s">
        <v>797</v>
      </c>
      <c r="C8" s="206">
        <f t="shared" si="0"/>
        <v>8090.59</v>
      </c>
      <c r="D8" s="180"/>
      <c r="E8" s="19">
        <f>'DOE25'!L205+'DOE25'!L223+'DOE25'!L241-F8-G8-H8-D9-D11</f>
        <v>0</v>
      </c>
      <c r="F8" s="181"/>
      <c r="G8" s="19">
        <f>'DOE25'!J205+'DOE25'!J223+'DOE25'!J241</f>
        <v>3392.49</v>
      </c>
      <c r="H8" s="19">
        <f>'DOE25'!K205+'DOE25'!K223+'DOE25'!K241</f>
        <v>4698.1000000000004</v>
      </c>
      <c r="I8" s="192"/>
    </row>
    <row r="9" spans="1:9" ht="14.25" x14ac:dyDescent="0.2">
      <c r="A9" s="31">
        <v>2310</v>
      </c>
      <c r="B9" s="71" t="s">
        <v>887</v>
      </c>
      <c r="C9" s="206">
        <f t="shared" si="0"/>
        <v>67953.52</v>
      </c>
      <c r="D9" s="181">
        <f>4550+365.93+2500+200.93+360+280+22.68+1422.04+11650+46601.94</f>
        <v>67953.52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227600.63</v>
      </c>
      <c r="D11" s="181">
        <f>164853.66+60277.68+1563.87+905.42</f>
        <v>227600.63</v>
      </c>
      <c r="E11" s="180"/>
      <c r="F11" s="180"/>
      <c r="G11" s="180"/>
      <c r="H11" s="180"/>
      <c r="I11" s="192"/>
    </row>
    <row r="12" spans="1:9" x14ac:dyDescent="0.2">
      <c r="A12" s="31">
        <v>2400</v>
      </c>
      <c r="B12" t="s">
        <v>711</v>
      </c>
      <c r="C12" s="206">
        <f t="shared" si="0"/>
        <v>131100.41999999998</v>
      </c>
      <c r="D12" s="19">
        <f>'DOE25'!L206+'DOE25'!L224+'DOE25'!L242-F12-G12-H12</f>
        <v>125306.23999999999</v>
      </c>
      <c r="E12" s="180"/>
      <c r="F12" s="181"/>
      <c r="G12" s="19">
        <f>'DOE25'!J206+'DOE25'!J224+'DOE25'!J242</f>
        <v>1333.73</v>
      </c>
      <c r="H12" s="19">
        <f>'DOE25'!K206+'DOE25'!K224+'DOE25'!K242</f>
        <v>4460.45</v>
      </c>
      <c r="I12" s="192"/>
    </row>
    <row r="13" spans="1:9" x14ac:dyDescent="0.2">
      <c r="A13" s="31">
        <v>2500</v>
      </c>
      <c r="B13" t="s">
        <v>798</v>
      </c>
      <c r="C13" s="206">
        <f t="shared" si="0"/>
        <v>102751.07999999999</v>
      </c>
      <c r="D13" s="180"/>
      <c r="E13" s="19">
        <f>'DOE25'!L207+'DOE25'!L225+'DOE25'!L243-F13-G13-H13</f>
        <v>101813.97999999998</v>
      </c>
      <c r="F13" s="181"/>
      <c r="G13" s="19">
        <f>'DOE25'!J207+'DOE25'!J225+'DOE25'!J243</f>
        <v>0</v>
      </c>
      <c r="H13" s="19">
        <f>'DOE25'!K207+'DOE25'!K225+'DOE25'!K243</f>
        <v>937.1</v>
      </c>
      <c r="I13" s="192"/>
    </row>
    <row r="14" spans="1:9" x14ac:dyDescent="0.2">
      <c r="A14" s="31">
        <v>2600</v>
      </c>
      <c r="B14" t="s">
        <v>818</v>
      </c>
      <c r="C14" s="206">
        <f t="shared" si="0"/>
        <v>141246.53</v>
      </c>
      <c r="D14" s="19">
        <f>'DOE25'!L208+'DOE25'!L226+'DOE25'!L244-F14-G14-H14</f>
        <v>139777.53</v>
      </c>
      <c r="E14" s="180"/>
      <c r="F14" s="181"/>
      <c r="G14" s="19">
        <f>'DOE25'!J208+'DOE25'!J226+'DOE25'!J244</f>
        <v>329</v>
      </c>
      <c r="H14" s="19">
        <f>'DOE25'!K208+'DOE25'!K226+'DOE25'!K244</f>
        <v>1140</v>
      </c>
      <c r="I14" s="192"/>
    </row>
    <row r="15" spans="1:9" x14ac:dyDescent="0.2">
      <c r="A15" s="31">
        <v>2700</v>
      </c>
      <c r="B15" t="s">
        <v>799</v>
      </c>
      <c r="C15" s="206">
        <f t="shared" si="0"/>
        <v>162442.21999999997</v>
      </c>
      <c r="D15" s="19">
        <f>'DOE25'!L209+'DOE25'!L227+'DOE25'!L245-F15-G15-H15</f>
        <v>162442.21999999997</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11606.65</v>
      </c>
      <c r="D22" s="180"/>
      <c r="E22" s="180"/>
      <c r="F22" s="180"/>
      <c r="G22" s="19">
        <f>'DOE25'!L256+'DOE25'!L337</f>
        <v>11606.65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80556.44</v>
      </c>
      <c r="D29" s="212">
        <f>'DOE25'!L359+'DOE25'!L360+'DOE25'!L361-'DOE25'!I368-F29-G29-H29-F39</f>
        <v>73148.67</v>
      </c>
      <c r="E29" s="180"/>
      <c r="F29" s="180"/>
      <c r="G29" s="19">
        <f>'DOE25'!J359+'DOE25'!J360+'DOE25'!J361</f>
        <v>7087.77</v>
      </c>
      <c r="H29" s="19">
        <f>'DOE25'!K359+'DOE25'!K360+'DOE25'!K361</f>
        <v>320</v>
      </c>
      <c r="I29" s="192"/>
    </row>
    <row r="30" spans="1:9" x14ac:dyDescent="0.2">
      <c r="A30" s="31"/>
      <c r="C30" s="207"/>
      <c r="D30" s="19"/>
      <c r="F30" s="201"/>
      <c r="G30" s="19"/>
      <c r="H30" s="19"/>
      <c r="I30" s="192"/>
    </row>
    <row r="31" spans="1:9" x14ac:dyDescent="0.2">
      <c r="A31" s="31" t="s">
        <v>817</v>
      </c>
      <c r="B31" t="s">
        <v>816</v>
      </c>
      <c r="C31" s="206">
        <f>SUM(D31:I31)</f>
        <v>170586.91000000003</v>
      </c>
      <c r="D31" s="19">
        <f>'DOE25'!L291+'DOE25'!L310+'DOE25'!L329+'DOE25'!L334+'DOE25'!L335+'DOE25'!L336-F31-G31-H31</f>
        <v>168075.89000000004</v>
      </c>
      <c r="E31" s="180"/>
      <c r="F31" s="181"/>
      <c r="G31" s="19">
        <f>'DOE25'!J291+'DOE25'!J310+'DOE25'!J329+'DOE25'!J334+'DOE25'!J335+'DOE25'!J336</f>
        <v>2511.02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3708946.3400000003</v>
      </c>
      <c r="E33" s="182">
        <f t="shared" si="1"/>
        <v>101813.97999999998</v>
      </c>
      <c r="F33" s="182">
        <f t="shared" si="1"/>
        <v>111458.47</v>
      </c>
      <c r="G33" s="182">
        <f t="shared" si="1"/>
        <v>38077.159999999996</v>
      </c>
      <c r="H33" s="182">
        <f t="shared" si="1"/>
        <v>14992.550000000001</v>
      </c>
      <c r="I33" s="182">
        <f t="shared" si="1"/>
        <v>0</v>
      </c>
    </row>
    <row r="34" spans="1:9" ht="12" thickBot="1" x14ac:dyDescent="0.25"/>
    <row r="35" spans="1:9" ht="12" thickBot="1" x14ac:dyDescent="0.25">
      <c r="B35" s="188" t="s">
        <v>830</v>
      </c>
      <c r="D35" s="189">
        <f>E33</f>
        <v>101813.97999999998</v>
      </c>
      <c r="E35" s="185"/>
      <c r="F35" s="295" t="s">
        <v>1608</v>
      </c>
      <c r="G35" s="296"/>
      <c r="H35" s="296"/>
      <c r="I35" s="297"/>
    </row>
    <row r="36" spans="1:9" ht="12" thickTop="1" x14ac:dyDescent="0.2">
      <c r="B36" t="s">
        <v>810</v>
      </c>
      <c r="D36" s="19">
        <f>D33</f>
        <v>3708946.3400000003</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O7" sqref="O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Monroe</v>
      </c>
      <c r="B2">
        <f>'DOE25'!B2</f>
        <v>365</v>
      </c>
      <c r="J2" s="224" t="s">
        <v>1808</v>
      </c>
      <c r="K2" s="309">
        <f>SUM('DOE25'!L198:L201)+SUM('DOE25'!L216:L219)+SUM('DOE25'!L234:L237)+SUM('DOE25'!L277:L280)+SUM('DOE25'!L296:L299)+SUM('DOE25'!L315:L318)</f>
        <v>2595951.8200000003</v>
      </c>
      <c r="L2" s="309">
        <f>'DOE25'!L203+'DOE25'!L221+'DOE25'!L239+'DOE25'!L282+'DOE25'!L301+'DOE25'!L320</f>
        <v>272360.19000000006</v>
      </c>
      <c r="M2" s="309">
        <f>'DOE25'!L204+'DOE25'!L222+'DOE25'!L240+'DOE25'!L283+'DOE25'!L302+'DOE25'!L321</f>
        <v>165530.98000000001</v>
      </c>
      <c r="N2" s="309">
        <f>'DOE25'!L206+'DOE25'!L224+'DOE25'!L242+'DOE25'!L285+'DOE25'!L304+'DOE25'!L323</f>
        <v>131652.90999999997</v>
      </c>
      <c r="O2" s="309">
        <f>'Salaries-Benefits'!B10+'Salaries-Benefits'!B12+'Salaries-Benefits'!B19+'Salaries-Benefits'!B21+'Salaries-Benefits'!B28+'Salaries-Benefits'!B30+'Salaries-Benefits'!B37+'Salaries-Benefits'!B39</f>
        <v>805400.68999999983</v>
      </c>
      <c r="P2" s="309">
        <f>'Salaries-Benefits'!B11+'Salaries-Benefits'!B20+'Salaries-Benefits'!B29+'Salaries-Benefits'!B38</f>
        <v>153636.65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2825802.9499999997</v>
      </c>
      <c r="G4" s="229">
        <f>'DOE25'!L212+'DOE25'!L291</f>
        <v>2825802.95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12118+42911.54+6203.69</f>
        <v>61233.23</v>
      </c>
      <c r="E5" s="220"/>
      <c r="F5" s="232">
        <f>D5+E5</f>
        <v>61233.23</v>
      </c>
      <c r="G5" s="223"/>
      <c r="H5" s="223"/>
      <c r="J5" s="223"/>
      <c r="K5" s="223"/>
      <c r="L5" s="223"/>
      <c r="M5" s="223"/>
      <c r="N5" s="223"/>
      <c r="O5" s="223"/>
      <c r="P5" s="223"/>
      <c r="Q5" s="223"/>
    </row>
    <row r="6" spans="1:21" x14ac:dyDescent="0.2">
      <c r="A6" t="str" cm="1">
        <f t="array" ref="A6">IFERROR(INDEX('School Tables'!$A$4:$G$325,'School Tables'!$J4,3),"")</f>
        <v>Monroe Consolidated School</v>
      </c>
      <c r="B6" s="230">
        <f>IFERROR(VLOOKUP(A6,'School Tables'!$C$3:$D$365,2,FALSE),"")</f>
        <v>20885</v>
      </c>
      <c r="C6" s="223" t="str">
        <f>IFERROR(INDEX('School Tables'!$B$3:$B$365,MATCH('School Level Expenditures'!B6,'School Tables'!$D$3:$D$365,0)),"")</f>
        <v>Monroe</v>
      </c>
      <c r="D6" s="220">
        <f>4796.03+2593982.81</f>
        <v>2598778.84</v>
      </c>
      <c r="E6" s="220">
        <v>165790.88</v>
      </c>
      <c r="F6" s="232">
        <f t="shared" ref="F6:F20" si="1">D6+E6</f>
        <v>2764569.7199999997</v>
      </c>
      <c r="G6" s="223"/>
      <c r="H6" s="223"/>
      <c r="J6" t="str">
        <f>A6</f>
        <v>Monroe Consolidated School</v>
      </c>
      <c r="K6" s="20">
        <f>2595951.82-978635.46</f>
        <v>1617316.3599999999</v>
      </c>
      <c r="L6" s="20">
        <f>272912.68-552.49</f>
        <v>272360.19</v>
      </c>
      <c r="M6" s="308">
        <v>165530.98000000001</v>
      </c>
      <c r="N6" s="20">
        <f>131100.42+552.49</f>
        <v>131652.91</v>
      </c>
      <c r="O6" s="20">
        <v>805400.69</v>
      </c>
      <c r="P6" s="20">
        <v>153636.65</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2660012.0699999998</v>
      </c>
      <c r="E21" s="262">
        <f>SUM(E5:E20)</f>
        <v>165790.88</v>
      </c>
      <c r="F21" s="217"/>
      <c r="G21" s="217"/>
      <c r="H21" s="217"/>
      <c r="K21" s="263">
        <f t="shared" ref="K21:Q21" si="3">SUM(K5:K20)</f>
        <v>1617316.3599999999</v>
      </c>
      <c r="L21" s="263">
        <f t="shared" si="3"/>
        <v>272360.19</v>
      </c>
      <c r="M21" s="263">
        <f t="shared" si="3"/>
        <v>165530.98000000001</v>
      </c>
      <c r="N21" s="263">
        <f t="shared" si="3"/>
        <v>131652.91</v>
      </c>
      <c r="O21" s="263">
        <f t="shared" si="3"/>
        <v>805400.69</v>
      </c>
      <c r="P21" s="263">
        <f t="shared" si="3"/>
        <v>153636.65</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1057322.46</v>
      </c>
      <c r="G36" s="229">
        <f>'DOE25'!L248+'DOE25'!L329</f>
        <v>1057322.46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1057322.46</v>
      </c>
      <c r="E37" s="220"/>
      <c r="F37" s="232">
        <f t="shared" ref="F37:F42" si="7">D37+E37</f>
        <v>1057322.46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v>978635.46</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1057322.46</v>
      </c>
      <c r="E43" s="263">
        <f>SUM(E37:E42)</f>
        <v>0</v>
      </c>
      <c r="K43" s="263">
        <f t="shared" ref="K43:Q43" si="9">SUM(K37:K42)</f>
        <v>978635.46</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D8" sqref="D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Monroe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540369.59</v>
      </c>
      <c r="D8" s="73">
        <f>'DOE25'!G9</f>
        <v>25</v>
      </c>
      <c r="E8" s="73">
        <f>'DOE25'!H9</f>
        <v>0</v>
      </c>
      <c r="F8" s="73">
        <f>'DOE25'!I9</f>
        <v>0</v>
      </c>
      <c r="G8" s="73">
        <f>'DOE25'!J9</f>
        <v>593665.39</v>
      </c>
      <c r="H8" s="13">
        <f>SUM(C8:G8)</f>
        <v>1134059.98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3722.94</v>
      </c>
      <c r="D11" s="73">
        <f>'DOE25'!G12</f>
        <v>11056.94</v>
      </c>
      <c r="E11" s="73">
        <f>'DOE25'!H12</f>
        <v>-14779.890000000001</v>
      </c>
      <c r="F11" s="73">
        <f>'DOE25'!I12</f>
        <v>0</v>
      </c>
      <c r="G11" s="73">
        <f>'DOE25'!J12</f>
        <v>0.01</v>
      </c>
      <c r="H11" s="13">
        <f t="shared" si="0"/>
        <v>-2.1827852025868566E-13</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13744.96</v>
      </c>
      <c r="D13" s="73">
        <f>'DOE25'!G14</f>
        <v>2859.74</v>
      </c>
      <c r="E13" s="73">
        <f>'DOE25'!H14</f>
        <v>31122.560000000001</v>
      </c>
      <c r="F13" s="73">
        <f>'DOE25'!I14</f>
        <v>0</v>
      </c>
      <c r="G13" s="73">
        <f>'DOE25'!J14</f>
        <v>0</v>
      </c>
      <c r="H13" s="13">
        <f t="shared" si="0"/>
        <v>47727.259999999995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3189.6</v>
      </c>
      <c r="E15" s="73">
        <f>'DOE25'!H16</f>
        <v>0</v>
      </c>
      <c r="F15" s="73">
        <f>'DOE25'!I16</f>
        <v>0</v>
      </c>
      <c r="G15" s="23" t="s">
        <v>288</v>
      </c>
      <c r="H15" s="13">
        <f t="shared" si="0"/>
        <v>3189.6</v>
      </c>
      <c r="I15" s="90"/>
    </row>
    <row r="16" spans="1:9" x14ac:dyDescent="0.2">
      <c r="A16" s="1" t="s">
        <v>147</v>
      </c>
      <c r="B16" s="6">
        <v>180</v>
      </c>
      <c r="C16" s="73">
        <f>'DOE25'!F17</f>
        <v>24960.37</v>
      </c>
      <c r="D16" s="73">
        <f>'DOE25'!G17</f>
        <v>0</v>
      </c>
      <c r="E16" s="73">
        <f>'DOE25'!H17</f>
        <v>0</v>
      </c>
      <c r="F16" s="73">
        <f>'DOE25'!I17</f>
        <v>0</v>
      </c>
      <c r="G16" s="73">
        <f>'DOE25'!J17</f>
        <v>0</v>
      </c>
      <c r="H16" s="13">
        <f t="shared" si="0"/>
        <v>24960.37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582797.85999999987</v>
      </c>
      <c r="D18" s="38">
        <f>SUM(D8:D17)</f>
        <v>17131.28</v>
      </c>
      <c r="E18" s="38">
        <f>SUM(E8:E17)</f>
        <v>16342.67</v>
      </c>
      <c r="F18" s="38">
        <f>SUM(F8:F17)</f>
        <v>0</v>
      </c>
      <c r="G18" s="38">
        <f>SUM(G8:G17)</f>
        <v>593665.4</v>
      </c>
      <c r="H18" s="38">
        <f t="shared" si="0"/>
        <v>1209937.21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239125.39</v>
      </c>
      <c r="D23" s="73">
        <f>'DOE25'!G24</f>
        <v>4021.35</v>
      </c>
      <c r="E23" s="73">
        <f>'DOE25'!H24</f>
        <v>0</v>
      </c>
      <c r="F23" s="73">
        <f>'DOE25'!I24</f>
        <v>0</v>
      </c>
      <c r="G23" s="73">
        <f>'DOE25'!J24</f>
        <v>0</v>
      </c>
      <c r="H23" s="13">
        <f t="shared" si="1"/>
        <v>243146.74000000002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0.11</v>
      </c>
      <c r="D28" s="73">
        <f>'DOE25'!G29</f>
        <v>0</v>
      </c>
      <c r="E28" s="73">
        <f>'DOE25'!H29</f>
        <v>0</v>
      </c>
      <c r="F28" s="73">
        <f>'DOE25'!I29</f>
        <v>0</v>
      </c>
      <c r="G28" s="23" t="s">
        <v>288</v>
      </c>
      <c r="H28" s="13">
        <f t="shared" si="1"/>
        <v>0.11</v>
      </c>
      <c r="I28" s="90"/>
    </row>
    <row r="29" spans="1:9" x14ac:dyDescent="0.2">
      <c r="A29" s="1" t="s">
        <v>158</v>
      </c>
      <c r="B29" s="6">
        <v>480</v>
      </c>
      <c r="C29" s="73">
        <f>'DOE25'!F30</f>
        <v>0</v>
      </c>
      <c r="D29" s="73">
        <f>'DOE25'!G30</f>
        <v>2500.17</v>
      </c>
      <c r="E29" s="73">
        <f>'DOE25'!H30</f>
        <v>0</v>
      </c>
      <c r="F29" s="73">
        <f>'DOE25'!I30</f>
        <v>0</v>
      </c>
      <c r="G29" s="23" t="s">
        <v>288</v>
      </c>
      <c r="H29" s="13">
        <f t="shared" si="1"/>
        <v>2500.17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239125.5</v>
      </c>
      <c r="D31" s="38">
        <f>SUM(D21:D30)</f>
        <v>6521.52</v>
      </c>
      <c r="E31" s="38">
        <f>SUM(E21:E30)</f>
        <v>0</v>
      </c>
      <c r="F31" s="38">
        <f>SUM(F21:F30)</f>
        <v>0</v>
      </c>
      <c r="G31" s="38">
        <f>SUM(G21:G30)</f>
        <v>0</v>
      </c>
      <c r="H31" s="38">
        <f t="shared" si="1"/>
        <v>245647.02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3189.6</v>
      </c>
      <c r="E34" s="73">
        <f>'DOE25'!H35</f>
        <v>0</v>
      </c>
      <c r="F34" s="73">
        <f>'DOE25'!I35</f>
        <v>0</v>
      </c>
      <c r="G34" s="23" t="s">
        <v>288</v>
      </c>
      <c r="H34" s="13">
        <f t="shared" ref="H34:H51" si="2">SUM(C34:G34)</f>
        <v>3189.6</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7420.16</v>
      </c>
      <c r="E39" s="23" t="s">
        <v>288</v>
      </c>
      <c r="F39" s="23" t="s">
        <v>288</v>
      </c>
      <c r="G39" s="23" t="s">
        <v>288</v>
      </c>
      <c r="H39" s="13">
        <f t="shared" si="2"/>
        <v>7420.16</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154432.75</v>
      </c>
      <c r="D45" s="23" t="s">
        <v>288</v>
      </c>
      <c r="E45" s="23" t="s">
        <v>288</v>
      </c>
      <c r="F45" s="23" t="s">
        <v>288</v>
      </c>
      <c r="G45" s="23" t="s">
        <v>288</v>
      </c>
      <c r="H45" s="13">
        <f t="shared" si="2"/>
        <v>154432.75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16342.67</v>
      </c>
      <c r="F47" s="73">
        <f>'DOE25'!I48</f>
        <v>0</v>
      </c>
      <c r="G47" s="73">
        <f>'DOE25'!J48</f>
        <v>593665.4</v>
      </c>
      <c r="H47" s="13">
        <f t="shared" si="2"/>
        <v>610008.07000000007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189239.61</v>
      </c>
      <c r="D49" s="23" t="s">
        <v>288</v>
      </c>
      <c r="E49" s="23" t="s">
        <v>288</v>
      </c>
      <c r="F49" s="23" t="s">
        <v>288</v>
      </c>
      <c r="G49" s="23" t="s">
        <v>288</v>
      </c>
      <c r="H49" s="13">
        <f t="shared" si="2"/>
        <v>189239.61</v>
      </c>
      <c r="I49" s="90"/>
    </row>
    <row r="50" spans="1:9" ht="12.75" thickTop="1" thickBot="1" x14ac:dyDescent="0.25">
      <c r="A50" s="35" t="s">
        <v>883</v>
      </c>
      <c r="B50" s="44"/>
      <c r="C50" s="38">
        <f>SUM(C34:C49)</f>
        <v>343672.36</v>
      </c>
      <c r="D50" s="38">
        <f>SUM(D34:D49)</f>
        <v>10609.76</v>
      </c>
      <c r="E50" s="38">
        <f>SUM(E34:E49)</f>
        <v>16342.67</v>
      </c>
      <c r="F50" s="38">
        <f>SUM(F34:F49)</f>
        <v>0</v>
      </c>
      <c r="G50" s="38">
        <f>SUM(G34:G49)</f>
        <v>593665.4</v>
      </c>
      <c r="H50" s="38">
        <f t="shared" si="2"/>
        <v>964290.19</v>
      </c>
      <c r="I50" s="90"/>
    </row>
    <row r="51" spans="1:9" ht="12" thickTop="1" x14ac:dyDescent="0.2">
      <c r="A51" s="35" t="s">
        <v>884</v>
      </c>
      <c r="B51" s="2"/>
      <c r="C51" s="38">
        <f>C50+C31</f>
        <v>582797.86</v>
      </c>
      <c r="D51" s="38">
        <f>D50+D31</f>
        <v>17131.28</v>
      </c>
      <c r="E51" s="38">
        <f>E50+E31</f>
        <v>16342.67</v>
      </c>
      <c r="F51" s="38">
        <f>F50+F31</f>
        <v>0</v>
      </c>
      <c r="G51" s="38">
        <f>G50+G31</f>
        <v>593665.4</v>
      </c>
      <c r="H51" s="38">
        <f t="shared" si="2"/>
        <v>1209937.21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2972177</v>
      </c>
      <c r="D56" s="73">
        <f>'DOE25'!G60</f>
        <v>0</v>
      </c>
      <c r="E56" s="73">
        <f>'DOE25'!H60</f>
        <v>0</v>
      </c>
      <c r="F56" s="73">
        <f>'DOE25'!I60</f>
        <v>0</v>
      </c>
      <c r="G56" s="73">
        <f>'DOE25'!J60</f>
        <v>0</v>
      </c>
      <c r="H56" s="13">
        <f t="shared" ref="H56:H63" si="3">SUM(C56:G56)</f>
        <v>2972177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21334.35</v>
      </c>
      <c r="D59" s="73">
        <f>'DOE25'!G96</f>
        <v>0</v>
      </c>
      <c r="E59" s="73">
        <f>'DOE25'!H96</f>
        <v>0</v>
      </c>
      <c r="F59" s="73">
        <f>'DOE25'!I96</f>
        <v>0</v>
      </c>
      <c r="G59" s="73">
        <f>'DOE25'!J96</f>
        <v>1683.64</v>
      </c>
      <c r="H59" s="13">
        <f t="shared" si="3"/>
        <v>23017.989999999998</v>
      </c>
      <c r="I59"/>
    </row>
    <row r="60" spans="1:9" x14ac:dyDescent="0.2">
      <c r="A60" s="1" t="s">
        <v>170</v>
      </c>
      <c r="B60" s="22" t="s">
        <v>171</v>
      </c>
      <c r="C60" s="23" t="s">
        <v>288</v>
      </c>
      <c r="D60" s="73">
        <f>'DOE25'!G97</f>
        <v>27202.3</v>
      </c>
      <c r="E60" s="23" t="s">
        <v>288</v>
      </c>
      <c r="F60" s="23" t="s">
        <v>288</v>
      </c>
      <c r="G60" s="23" t="s">
        <v>288</v>
      </c>
      <c r="H60" s="13">
        <f t="shared" si="3"/>
        <v>27202.3</v>
      </c>
      <c r="I60"/>
    </row>
    <row r="61" spans="1:9" ht="12" thickBot="1" x14ac:dyDescent="0.25">
      <c r="A61" s="1" t="s">
        <v>172</v>
      </c>
      <c r="B61" s="22" t="s">
        <v>173</v>
      </c>
      <c r="C61" s="73">
        <f>SUM('DOE25'!F98:F110)</f>
        <v>6936.4800000000005</v>
      </c>
      <c r="D61" s="73">
        <f>SUM('DOE25'!G98:G110)</f>
        <v>100</v>
      </c>
      <c r="E61" s="73">
        <f>SUM('DOE25'!H98:H110)</f>
        <v>5057.88</v>
      </c>
      <c r="F61" s="73">
        <f>SUM('DOE25'!I98:I110)</f>
        <v>0</v>
      </c>
      <c r="G61" s="73">
        <f>SUM('DOE25'!J98:J110)</f>
        <v>0</v>
      </c>
      <c r="H61" s="13">
        <f t="shared" si="3"/>
        <v>12094.36</v>
      </c>
      <c r="I61"/>
    </row>
    <row r="62" spans="1:9" ht="12.75" thickTop="1" thickBot="1" x14ac:dyDescent="0.25">
      <c r="A62" s="28" t="s">
        <v>174</v>
      </c>
      <c r="B62" s="6"/>
      <c r="C62" s="93">
        <f>SUM(C57:C61)</f>
        <v>28270.829999999998</v>
      </c>
      <c r="D62" s="93">
        <f>SUM(D57:D61)</f>
        <v>27302.3</v>
      </c>
      <c r="E62" s="93">
        <f>SUM(E57:E61)</f>
        <v>5057.88</v>
      </c>
      <c r="F62" s="93">
        <f>SUM(F57:F61)</f>
        <v>0</v>
      </c>
      <c r="G62" s="93">
        <f>SUM(G57:G61)</f>
        <v>1683.64</v>
      </c>
      <c r="H62" s="13">
        <f t="shared" si="3"/>
        <v>62314.649999999994</v>
      </c>
      <c r="I62"/>
    </row>
    <row r="63" spans="1:9" ht="12" thickTop="1" x14ac:dyDescent="0.2">
      <c r="A63" s="28" t="s">
        <v>175</v>
      </c>
      <c r="B63" s="6"/>
      <c r="C63" s="21">
        <f>C56+C62</f>
        <v>3000447.83</v>
      </c>
      <c r="D63" s="21">
        <f>D56+D62</f>
        <v>27302.3</v>
      </c>
      <c r="E63" s="21">
        <f>E56+E62</f>
        <v>5057.88</v>
      </c>
      <c r="F63" s="21">
        <f>F56+F62</f>
        <v>0</v>
      </c>
      <c r="G63" s="21">
        <f>G56+G62</f>
        <v>1683.64</v>
      </c>
      <c r="H63" s="13">
        <f t="shared" si="3"/>
        <v>3034491.65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524497.81999999995</v>
      </c>
      <c r="D66" s="23" t="s">
        <v>288</v>
      </c>
      <c r="E66" s="23" t="s">
        <v>288</v>
      </c>
      <c r="F66" s="23" t="s">
        <v>288</v>
      </c>
      <c r="G66" s="23" t="s">
        <v>288</v>
      </c>
      <c r="H66" s="13">
        <f t="shared" ref="H66:H81" si="4">SUM(C66:G66)</f>
        <v>524497.81999999995</v>
      </c>
      <c r="I66"/>
    </row>
    <row r="67" spans="1:9" x14ac:dyDescent="0.2">
      <c r="A67" s="1" t="s">
        <v>770</v>
      </c>
      <c r="B67" s="6">
        <v>3112</v>
      </c>
      <c r="C67" s="73">
        <f>'DOE25'!F118</f>
        <v>116478</v>
      </c>
      <c r="D67" s="23"/>
      <c r="E67" s="23"/>
      <c r="F67" s="23"/>
      <c r="G67" s="23"/>
      <c r="H67" s="13">
        <f t="shared" si="4"/>
        <v>116478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14604.31</v>
      </c>
      <c r="D69" s="73">
        <f>'DOE25'!G120</f>
        <v>0</v>
      </c>
      <c r="E69" s="73">
        <f>'DOE25'!H120</f>
        <v>0</v>
      </c>
      <c r="F69" s="73">
        <f>'DOE25'!I120</f>
        <v>0</v>
      </c>
      <c r="G69" s="73">
        <f>'DOE25'!J120</f>
        <v>0</v>
      </c>
      <c r="H69" s="13">
        <f t="shared" si="4"/>
        <v>14604.31</v>
      </c>
      <c r="I69"/>
    </row>
    <row r="70" spans="1:9" ht="12" thickTop="1" x14ac:dyDescent="0.2">
      <c r="A70" s="28" t="s">
        <v>252</v>
      </c>
      <c r="B70" s="2"/>
      <c r="C70" s="97">
        <f>SUM(C66:C69)</f>
        <v>655580.13</v>
      </c>
      <c r="D70" s="97">
        <f>D69</f>
        <v>0</v>
      </c>
      <c r="E70" s="97">
        <f>E69</f>
        <v>0</v>
      </c>
      <c r="F70" s="97">
        <f>F69</f>
        <v>0</v>
      </c>
      <c r="G70" s="97">
        <f>G69</f>
        <v>0</v>
      </c>
      <c r="H70" s="13">
        <f t="shared" si="4"/>
        <v>655580.13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2451.06</v>
      </c>
      <c r="D76" s="23" t="s">
        <v>288</v>
      </c>
      <c r="E76" s="73">
        <f>SUM('DOE25'!H127:H130)</f>
        <v>0</v>
      </c>
      <c r="F76" s="73">
        <f>SUM('DOE25'!I127:I130)</f>
        <v>0</v>
      </c>
      <c r="G76" s="23" t="s">
        <v>288</v>
      </c>
      <c r="H76" s="13">
        <f t="shared" si="4"/>
        <v>2451.06</v>
      </c>
      <c r="I76"/>
    </row>
    <row r="77" spans="1:9" ht="12" thickBot="1" x14ac:dyDescent="0.25">
      <c r="A77" s="1" t="s">
        <v>258</v>
      </c>
      <c r="B77" s="6" t="s">
        <v>180</v>
      </c>
      <c r="C77" s="73">
        <f>SUM('DOE25'!F131:F135)</f>
        <v>0</v>
      </c>
      <c r="D77" s="73">
        <f>SUM('DOE25'!G131:G135)</f>
        <v>947.55</v>
      </c>
      <c r="E77" s="73">
        <f>SUM('DOE25'!H131:H135)</f>
        <v>0</v>
      </c>
      <c r="F77" s="73">
        <f>SUM('DOE25'!I131:I135)</f>
        <v>0</v>
      </c>
      <c r="G77" s="73">
        <f>SUM('DOE25'!J131:J135)</f>
        <v>0</v>
      </c>
      <c r="H77" s="13">
        <f t="shared" si="4"/>
        <v>947.55</v>
      </c>
      <c r="I77"/>
    </row>
    <row r="78" spans="1:9" ht="12.75" thickTop="1" thickBot="1" x14ac:dyDescent="0.25">
      <c r="A78" s="28" t="s">
        <v>259</v>
      </c>
      <c r="B78" s="6"/>
      <c r="C78" s="93">
        <f>SUM(C72:C77)</f>
        <v>2451.06</v>
      </c>
      <c r="D78" s="93">
        <f>SUM(D72:D77)</f>
        <v>947.55</v>
      </c>
      <c r="E78" s="93">
        <f>SUM(E72:E77)</f>
        <v>0</v>
      </c>
      <c r="F78" s="93">
        <f>SUM(F72:F77)</f>
        <v>0</v>
      </c>
      <c r="G78" s="93">
        <f>SUM(G72:G77)</f>
        <v>0</v>
      </c>
      <c r="H78" s="13">
        <f t="shared" si="4"/>
        <v>3398.6099999999997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658031.19000000006</v>
      </c>
      <c r="D81" s="93">
        <f>SUM(D79:D80)+D78+D70</f>
        <v>947.55</v>
      </c>
      <c r="E81" s="93">
        <f>SUM(E79:E80)+E78+E70</f>
        <v>0</v>
      </c>
      <c r="F81" s="93">
        <f>SUM(F79:F80)+F78+F70</f>
        <v>0</v>
      </c>
      <c r="G81" s="93">
        <f>SUM(G79:G80)+G78+G70</f>
        <v>0</v>
      </c>
      <c r="H81" s="93">
        <f t="shared" si="4"/>
        <v>658978.74000000011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10520.16</v>
      </c>
      <c r="F85" s="73">
        <f>'DOE25'!I147</f>
        <v>0</v>
      </c>
      <c r="G85" s="23" t="s">
        <v>288</v>
      </c>
      <c r="H85" s="13">
        <f t="shared" ref="H85:H104" si="5">SUM(C85:G85)</f>
        <v>10520.16</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40928.42</v>
      </c>
      <c r="E88" s="253">
        <f>SUM('DOE25'!H153:H162)</f>
        <v>155270.72</v>
      </c>
      <c r="F88" s="253">
        <f>SUM('DOE25'!I153:I162)</f>
        <v>0</v>
      </c>
      <c r="G88" s="23" t="s">
        <v>288</v>
      </c>
      <c r="H88" s="13">
        <f t="shared" si="5"/>
        <v>196199.14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206.57</v>
      </c>
      <c r="D90" s="23" t="s">
        <v>288</v>
      </c>
      <c r="E90" s="23" t="s">
        <v>288</v>
      </c>
      <c r="F90" s="23" t="s">
        <v>288</v>
      </c>
      <c r="G90" s="23" t="s">
        <v>288</v>
      </c>
      <c r="H90" s="13">
        <f t="shared" si="5"/>
        <v>206.57</v>
      </c>
    </row>
    <row r="91" spans="1:9" ht="12.75" thickTop="1" thickBot="1" x14ac:dyDescent="0.25">
      <c r="A91" s="32" t="s">
        <v>750</v>
      </c>
      <c r="C91" s="94">
        <f>SUM(C85:C90)</f>
        <v>206.57</v>
      </c>
      <c r="D91" s="94">
        <f>SUM(D85:D90)</f>
        <v>40928.42</v>
      </c>
      <c r="E91" s="94">
        <f>SUM(E85:E90)</f>
        <v>165790.88</v>
      </c>
      <c r="F91" s="94">
        <f>SUM(F85:F90)</f>
        <v>0</v>
      </c>
      <c r="G91" s="23" t="s">
        <v>288</v>
      </c>
      <c r="H91" s="13">
        <f t="shared" si="5"/>
        <v>206925.87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38706.949999999997</v>
      </c>
      <c r="E96" s="73">
        <f>'DOE25'!H180</f>
        <v>0</v>
      </c>
      <c r="F96" s="73">
        <f>'DOE25'!I180</f>
        <v>0</v>
      </c>
      <c r="G96" s="73">
        <f>'DOE25'!J180</f>
        <v>0</v>
      </c>
      <c r="H96" s="13">
        <f t="shared" si="5"/>
        <v>38706.949999999997</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38706.949999999997</v>
      </c>
      <c r="E103" s="68">
        <f>SUM(E93:E102)</f>
        <v>0</v>
      </c>
      <c r="F103" s="68">
        <f>SUM(F93:F102)</f>
        <v>0</v>
      </c>
      <c r="G103" s="68">
        <f>SUM(G93:G102)</f>
        <v>0</v>
      </c>
      <c r="H103" s="68">
        <f t="shared" si="5"/>
        <v>38706.949999999997</v>
      </c>
    </row>
    <row r="104" spans="1:8" ht="12.75" thickTop="1" thickBot="1" x14ac:dyDescent="0.25">
      <c r="A104" s="32" t="s">
        <v>761</v>
      </c>
      <c r="C104" s="68">
        <f>C63+C81+C91+C103</f>
        <v>3658685.59</v>
      </c>
      <c r="D104" s="68">
        <f>D63+D81+D91+D103</f>
        <v>107885.21999999999</v>
      </c>
      <c r="E104" s="68">
        <f>E63+E81+E91+E103</f>
        <v>170848.76</v>
      </c>
      <c r="F104" s="68">
        <f>F63+F81+F91+F103</f>
        <v>0</v>
      </c>
      <c r="G104" s="68">
        <f>G63+G81+G103</f>
        <v>1683.64</v>
      </c>
      <c r="H104" s="68">
        <f t="shared" si="5"/>
        <v>3939103.2100000004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1916636.73</v>
      </c>
      <c r="D109" s="23" t="s">
        <v>288</v>
      </c>
      <c r="E109" s="73">
        <f>('DOE25'!L277)+('DOE25'!L296)+('DOE25'!L315)</f>
        <v>119166.31000000001</v>
      </c>
      <c r="F109" s="23" t="s">
        <v>288</v>
      </c>
      <c r="G109" s="23" t="s">
        <v>288</v>
      </c>
      <c r="H109" s="13">
        <f t="shared" ref="H109:H115" si="6">SUM(C109:G109)</f>
        <v>2035803.04</v>
      </c>
    </row>
    <row r="110" spans="1:8" x14ac:dyDescent="0.2">
      <c r="A110" t="s">
        <v>198</v>
      </c>
      <c r="B110" s="31" t="s">
        <v>199</v>
      </c>
      <c r="C110" s="73">
        <f>('DOE25'!L199)+('DOE25'!L217)+('DOE25'!L235)</f>
        <v>479804.51999999996</v>
      </c>
      <c r="D110" s="23" t="s">
        <v>288</v>
      </c>
      <c r="E110" s="73">
        <f>('DOE25'!L278)+('DOE25'!L297)+('DOE25'!L316)</f>
        <v>18929.400000000001</v>
      </c>
      <c r="F110" s="23" t="s">
        <v>288</v>
      </c>
      <c r="G110" s="23" t="s">
        <v>288</v>
      </c>
      <c r="H110" s="13">
        <f t="shared" si="6"/>
        <v>498733.92</v>
      </c>
    </row>
    <row r="111" spans="1:8" x14ac:dyDescent="0.2">
      <c r="A111" t="s">
        <v>200</v>
      </c>
      <c r="B111" s="31" t="s">
        <v>165</v>
      </c>
      <c r="C111" s="73">
        <f>('DOE25'!L200)+('DOE25'!L218)+('DOE25'!L236)</f>
        <v>32531.26</v>
      </c>
      <c r="D111" s="23" t="s">
        <v>288</v>
      </c>
      <c r="E111" s="73">
        <f>('DOE25'!L279)+('DOE25'!L298)+('DOE25'!L317)</f>
        <v>0</v>
      </c>
      <c r="F111" s="23" t="s">
        <v>288</v>
      </c>
      <c r="G111" s="23" t="s">
        <v>288</v>
      </c>
      <c r="H111" s="13">
        <f t="shared" si="6"/>
        <v>32531.26</v>
      </c>
    </row>
    <row r="112" spans="1:8" x14ac:dyDescent="0.2">
      <c r="A112" t="s">
        <v>201</v>
      </c>
      <c r="B112" s="31" t="s">
        <v>167</v>
      </c>
      <c r="C112" s="73">
        <f>('DOE25'!L201)+('DOE25'!L219)+('DOE25'!L237)</f>
        <v>17890.060000000001</v>
      </c>
      <c r="D112" s="23" t="s">
        <v>288</v>
      </c>
      <c r="E112" s="73">
        <f>+('DOE25'!L280)+('DOE25'!L299)+('DOE25'!L318)</f>
        <v>10993.54</v>
      </c>
      <c r="F112" s="23" t="s">
        <v>288</v>
      </c>
      <c r="G112" s="23" t="s">
        <v>288</v>
      </c>
      <c r="H112" s="13">
        <f t="shared" si="6"/>
        <v>28883.600000000002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2446862.5699999998</v>
      </c>
      <c r="D115" s="68">
        <f>SUM(D109:D114)</f>
        <v>0</v>
      </c>
      <c r="E115" s="68">
        <f>SUM(E109:E114)</f>
        <v>149089.25000000003</v>
      </c>
      <c r="F115" s="68">
        <f>SUM(F109:F114)</f>
        <v>0</v>
      </c>
      <c r="G115" s="68">
        <f>SUM(G109:G114)</f>
        <v>0</v>
      </c>
      <c r="H115" s="68">
        <f t="shared" si="6"/>
        <v>2595951.8199999998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271598.94000000006</v>
      </c>
      <c r="D118" s="23" t="s">
        <v>288</v>
      </c>
      <c r="E118" s="73">
        <f>+('DOE25'!L282)+('DOE25'!L301)+('DOE25'!L320)</f>
        <v>761.25</v>
      </c>
      <c r="F118" s="23" t="s">
        <v>288</v>
      </c>
      <c r="G118" s="23" t="s">
        <v>288</v>
      </c>
      <c r="H118" s="13">
        <f t="shared" ref="H118:H145" si="7">SUM(C118:G118)</f>
        <v>272360.19000000006</v>
      </c>
    </row>
    <row r="119" spans="1:8" x14ac:dyDescent="0.2">
      <c r="A119" t="s">
        <v>208</v>
      </c>
      <c r="B119" s="31" t="s">
        <v>209</v>
      </c>
      <c r="C119" s="73">
        <f>('DOE25'!L204)+('DOE25'!L222)+('DOE25'!L240)</f>
        <v>152892</v>
      </c>
      <c r="D119" s="23" t="s">
        <v>288</v>
      </c>
      <c r="E119" s="73">
        <f>+('DOE25'!L283)+('DOE25'!L302)+('DOE25'!L321)</f>
        <v>12638.980000000001</v>
      </c>
      <c r="F119" s="23" t="s">
        <v>288</v>
      </c>
      <c r="G119" s="23" t="s">
        <v>288</v>
      </c>
      <c r="H119" s="13">
        <f t="shared" si="7"/>
        <v>165530.98000000001</v>
      </c>
    </row>
    <row r="120" spans="1:8" x14ac:dyDescent="0.2">
      <c r="A120" t="s">
        <v>210</v>
      </c>
      <c r="B120" s="31" t="s">
        <v>211</v>
      </c>
      <c r="C120" s="73">
        <f>('DOE25'!L205)+('DOE25'!L223)+('DOE25'!L241)</f>
        <v>303644.73999999993</v>
      </c>
      <c r="D120" s="23" t="s">
        <v>288</v>
      </c>
      <c r="E120" s="73">
        <f>+('DOE25'!L284)+('DOE25'!L303)+('DOE25'!L322)</f>
        <v>0</v>
      </c>
      <c r="F120" s="23" t="s">
        <v>288</v>
      </c>
      <c r="G120" s="23" t="s">
        <v>288</v>
      </c>
      <c r="H120" s="13">
        <f t="shared" si="7"/>
        <v>303644.73999999993</v>
      </c>
    </row>
    <row r="121" spans="1:8" x14ac:dyDescent="0.2">
      <c r="A121" t="s">
        <v>212</v>
      </c>
      <c r="B121" s="31" t="s">
        <v>213</v>
      </c>
      <c r="C121" s="73">
        <f>('DOE25'!L206)+('DOE25'!L224)+('DOE25'!L242)</f>
        <v>131100.41999999998</v>
      </c>
      <c r="D121" s="23" t="s">
        <v>288</v>
      </c>
      <c r="E121" s="73">
        <f>+('DOE25'!L285)+('DOE25'!L304)+('DOE25'!L323)</f>
        <v>552.49</v>
      </c>
      <c r="F121" s="23" t="s">
        <v>288</v>
      </c>
      <c r="G121" s="23" t="s">
        <v>288</v>
      </c>
      <c r="H121" s="13">
        <f t="shared" si="7"/>
        <v>131652.90999999997</v>
      </c>
    </row>
    <row r="122" spans="1:8" x14ac:dyDescent="0.2">
      <c r="A122" t="s">
        <v>214</v>
      </c>
      <c r="B122" s="31" t="s">
        <v>215</v>
      </c>
      <c r="C122" s="73">
        <f>('DOE25'!L207)+('DOE25'!L225)+('DOE25'!L243)</f>
        <v>102751.07999999999</v>
      </c>
      <c r="D122" s="23" t="s">
        <v>288</v>
      </c>
      <c r="E122" s="73">
        <f>+('DOE25'!L286)+('DOE25'!L305)+('DOE25'!L324)</f>
        <v>0</v>
      </c>
      <c r="F122" s="23" t="s">
        <v>288</v>
      </c>
      <c r="G122" s="23" t="s">
        <v>288</v>
      </c>
      <c r="H122" s="13">
        <f t="shared" si="7"/>
        <v>102751.07999999999</v>
      </c>
    </row>
    <row r="123" spans="1:8" x14ac:dyDescent="0.2">
      <c r="A123" t="s">
        <v>216</v>
      </c>
      <c r="B123" s="31" t="s">
        <v>217</v>
      </c>
      <c r="C123" s="73">
        <f>('DOE25'!L208)+('DOE25'!L226)+('DOE25'!L244)</f>
        <v>141246.53</v>
      </c>
      <c r="D123" s="23" t="s">
        <v>288</v>
      </c>
      <c r="E123" s="73">
        <f>+('DOE25'!L287)+('DOE25'!L306)+('DOE25'!L325)</f>
        <v>5720.54</v>
      </c>
      <c r="F123" s="23" t="s">
        <v>288</v>
      </c>
      <c r="G123" s="23" t="s">
        <v>288</v>
      </c>
      <c r="H123" s="13">
        <f t="shared" si="7"/>
        <v>146967.07</v>
      </c>
    </row>
    <row r="124" spans="1:8" x14ac:dyDescent="0.2">
      <c r="A124" t="s">
        <v>218</v>
      </c>
      <c r="B124" s="31" t="s">
        <v>219</v>
      </c>
      <c r="C124" s="73">
        <f>('DOE25'!L209)+('DOE25'!L227)+('DOE25'!L245+'DOE25'!L255)</f>
        <v>162442.21999999997</v>
      </c>
      <c r="D124" s="23" t="s">
        <v>288</v>
      </c>
      <c r="E124" s="73">
        <f>+('DOE25'!L288)+('DOE25'!L307)+('DOE25'!L326)</f>
        <v>1824.4</v>
      </c>
      <c r="F124" s="23" t="s">
        <v>288</v>
      </c>
      <c r="G124" s="23" t="s">
        <v>288</v>
      </c>
      <c r="H124" s="13">
        <f t="shared" si="7"/>
        <v>164266.61999999997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126419.01</v>
      </c>
      <c r="E127" s="23" t="s">
        <v>288</v>
      </c>
      <c r="F127" s="23" t="s">
        <v>288</v>
      </c>
      <c r="G127" s="23" t="s">
        <v>288</v>
      </c>
      <c r="H127" s="13">
        <f t="shared" si="7"/>
        <v>126419.01</v>
      </c>
    </row>
    <row r="128" spans="1:8" ht="12.75" thickTop="1" thickBot="1" x14ac:dyDescent="0.25">
      <c r="A128" s="32" t="s">
        <v>226</v>
      </c>
      <c r="C128" s="68">
        <f>SUM(C118:C127)</f>
        <v>1265675.9299999997</v>
      </c>
      <c r="D128" s="68">
        <f>SUM(D118:D127)</f>
        <v>126419.01</v>
      </c>
      <c r="E128" s="68">
        <f>SUM(E118:E127)</f>
        <v>21497.660000000003</v>
      </c>
      <c r="F128" s="68">
        <f>SUM(F118:F127)</f>
        <v>0</v>
      </c>
      <c r="G128" s="68">
        <f>SUM(G118:G127)</f>
        <v>0</v>
      </c>
      <c r="H128" s="68">
        <f t="shared" si="7"/>
        <v>1413592.5999999996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11606.65</v>
      </c>
      <c r="D130" s="23" t="s">
        <v>288</v>
      </c>
      <c r="E130" s="92">
        <f>'DOE25'!L337</f>
        <v>0</v>
      </c>
      <c r="F130" s="92">
        <f>SUM('DOE25'!L375:'DOE25'!L381)</f>
        <v>0</v>
      </c>
      <c r="G130" s="23" t="s">
        <v>288</v>
      </c>
      <c r="H130" s="13">
        <f t="shared" si="7"/>
        <v>11606.65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96000</v>
      </c>
      <c r="H134" s="13">
        <f t="shared" si="7"/>
        <v>96000</v>
      </c>
    </row>
    <row r="135" spans="1:8" x14ac:dyDescent="0.2">
      <c r="A135" t="s">
        <v>233</v>
      </c>
      <c r="B135" s="31" t="s">
        <v>234</v>
      </c>
      <c r="C135" s="73">
        <f>'DOE25'!L264</f>
        <v>38706.949999999997</v>
      </c>
      <c r="D135" s="23" t="s">
        <v>288</v>
      </c>
      <c r="E135" s="92">
        <f>'DOE25'!L346</f>
        <v>0</v>
      </c>
      <c r="F135" s="23" t="s">
        <v>288</v>
      </c>
      <c r="G135" s="23" t="s">
        <v>288</v>
      </c>
      <c r="H135" s="13">
        <f t="shared" si="7"/>
        <v>38706.949999999997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806.79</v>
      </c>
      <c r="D138" s="23" t="s">
        <v>288</v>
      </c>
      <c r="E138" s="23" t="s">
        <v>288</v>
      </c>
      <c r="F138" s="23" t="s">
        <v>288</v>
      </c>
      <c r="G138" s="23" t="s">
        <v>288</v>
      </c>
      <c r="H138" s="13">
        <f t="shared" si="7"/>
        <v>806.79</v>
      </c>
    </row>
    <row r="139" spans="1:8" x14ac:dyDescent="0.2">
      <c r="A139" t="s">
        <v>239</v>
      </c>
      <c r="B139" s="31">
        <v>5252</v>
      </c>
      <c r="C139" s="73">
        <f>'DOE25'!L402</f>
        <v>876.85</v>
      </c>
      <c r="D139" s="23" t="s">
        <v>288</v>
      </c>
      <c r="E139" s="23" t="s">
        <v>288</v>
      </c>
      <c r="F139" s="23" t="s">
        <v>288</v>
      </c>
      <c r="G139" s="23" t="s">
        <v>288</v>
      </c>
      <c r="H139" s="13">
        <f t="shared" si="7"/>
        <v>876.85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-1683.6399999999999</v>
      </c>
      <c r="D141" s="23" t="s">
        <v>288</v>
      </c>
      <c r="E141" s="23" t="s">
        <v>288</v>
      </c>
      <c r="F141" s="23" t="s">
        <v>288</v>
      </c>
      <c r="G141" s="23" t="s">
        <v>288</v>
      </c>
      <c r="H141" s="13">
        <f t="shared" si="7"/>
        <v>-1683.6399999999999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50313.599999999999</v>
      </c>
      <c r="D144" s="98">
        <f>SUM(D130:D143)</f>
        <v>0</v>
      </c>
      <c r="E144" s="98">
        <f>SUM(E130:E143)</f>
        <v>0</v>
      </c>
      <c r="F144" s="98">
        <f>SUM(F130:F143)</f>
        <v>0</v>
      </c>
      <c r="G144" s="98">
        <f>SUM(G130:G143)</f>
        <v>96000</v>
      </c>
      <c r="H144" s="98">
        <f t="shared" si="7"/>
        <v>146313.60000000001</v>
      </c>
    </row>
    <row r="145" spans="1:9" ht="12.75" thickTop="1" thickBot="1" x14ac:dyDescent="0.25">
      <c r="A145" s="32" t="s">
        <v>244</v>
      </c>
      <c r="C145" s="68">
        <f>(C115+C128+C144)</f>
        <v>3762852.0999999996</v>
      </c>
      <c r="D145" s="68">
        <f>(D115+D128+D144)</f>
        <v>126419.01</v>
      </c>
      <c r="E145" s="68">
        <f>(E115+E128+E144)</f>
        <v>170586.91000000003</v>
      </c>
      <c r="F145" s="68">
        <f>(F115+F128+F144)</f>
        <v>0</v>
      </c>
      <c r="G145" s="68">
        <f>(G115+G128+G144)</f>
        <v>96000</v>
      </c>
      <c r="H145" s="68">
        <f t="shared" si="7"/>
        <v>4155858.0199999996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12</v>
      </c>
      <c r="C151" s="110">
        <f>'DOE25'!G491</f>
        <v>5</v>
      </c>
      <c r="D151" s="110">
        <f>'DOE25'!H491</f>
        <v>5</v>
      </c>
      <c r="E151" s="110">
        <f>'DOE25'!I491</f>
        <v>0</v>
      </c>
      <c r="F151" s="110">
        <f>'DOE25'!J491</f>
        <v>0</v>
      </c>
      <c r="G151" s="23" t="s">
        <v>288</v>
      </c>
    </row>
    <row r="152" spans="1:9" x14ac:dyDescent="0.2">
      <c r="A152" s="21" t="s">
        <v>28</v>
      </c>
      <c r="B152" s="109" t="str">
        <f>'DOE25'!F492</f>
        <v>4/20/23</v>
      </c>
      <c r="C152" s="109" t="str">
        <f>'DOE25'!G492</f>
        <v>5/23/23</v>
      </c>
      <c r="D152" s="109">
        <f>'DOE25'!H492</f>
        <v>1.2422360248447204E-2</v>
      </c>
      <c r="E152" s="109">
        <f>'DOE25'!I492</f>
        <v>0</v>
      </c>
      <c r="F152" s="109">
        <f>'DOE25'!J492</f>
        <v>0</v>
      </c>
      <c r="G152" s="23" t="s">
        <v>288</v>
      </c>
    </row>
    <row r="153" spans="1:9" x14ac:dyDescent="0.2">
      <c r="A153" s="21" t="s">
        <v>29</v>
      </c>
      <c r="B153" s="109" t="str">
        <f>'DOE25'!F493</f>
        <v>05/15/2034</v>
      </c>
      <c r="C153" s="109" t="str">
        <f>'DOE25'!G493</f>
        <v>08/01/27</v>
      </c>
      <c r="D153" s="109">
        <f>'DOE25'!H493</f>
        <v>1.7283950617283952E-2</v>
      </c>
      <c r="E153" s="109">
        <f>'DOE25'!I493</f>
        <v>0</v>
      </c>
      <c r="F153" s="109">
        <f>'DOE25'!J493</f>
        <v>0</v>
      </c>
      <c r="G153" s="23" t="s">
        <v>288</v>
      </c>
    </row>
    <row r="154" spans="1:9" x14ac:dyDescent="0.2">
      <c r="A154" s="21" t="s">
        <v>30</v>
      </c>
      <c r="B154" s="19">
        <f>'DOE25'!F494</f>
        <v>370711</v>
      </c>
      <c r="C154" s="19">
        <f>'DOE25'!G494</f>
        <v>17801.28</v>
      </c>
      <c r="D154" s="19">
        <f>'DOE25'!H494</f>
        <v>44029</v>
      </c>
      <c r="E154" s="19">
        <f>'DOE25'!I494</f>
        <v>0</v>
      </c>
      <c r="F154" s="19">
        <f>'DOE25'!J494</f>
        <v>0</v>
      </c>
      <c r="G154" s="23" t="s">
        <v>288</v>
      </c>
    </row>
    <row r="155" spans="1:9" x14ac:dyDescent="0.2">
      <c r="A155" s="21" t="s">
        <v>31</v>
      </c>
      <c r="B155" s="19">
        <f>'DOE25'!F495</f>
        <v>4.97</v>
      </c>
      <c r="C155" s="19">
        <f>'DOE25'!G495</f>
        <v>5.24</v>
      </c>
      <c r="D155" s="19">
        <f>'DOE25'!H495</f>
        <v>7.65</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370711</v>
      </c>
      <c r="C157" s="19">
        <f>'DOE25'!G497</f>
        <v>17801.28</v>
      </c>
      <c r="D157" s="19">
        <f>'DOE25'!H497</f>
        <v>44029</v>
      </c>
      <c r="E157" s="19">
        <f>'DOE25'!I497</f>
        <v>0</v>
      </c>
      <c r="F157" s="19">
        <f>'DOE25'!J497</f>
        <v>0</v>
      </c>
      <c r="G157" s="96">
        <f t="shared" ref="G157:G164" si="8">SUM(B157:F157)</f>
        <v>432541.28</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363220.77</v>
      </c>
      <c r="C159" s="19">
        <f>'DOE25'!G499</f>
        <v>17801.28</v>
      </c>
      <c r="D159" s="19">
        <f>'DOE25'!H499</f>
        <v>44029</v>
      </c>
      <c r="E159" s="19">
        <f>'DOE25'!I499</f>
        <v>0</v>
      </c>
      <c r="F159" s="19">
        <f>'DOE25'!J499</f>
        <v>0</v>
      </c>
      <c r="G159" s="96">
        <f t="shared" si="8"/>
        <v>425051.05000000005</v>
      </c>
    </row>
    <row r="160" spans="1:9" x14ac:dyDescent="0.2">
      <c r="A160" s="21" t="s">
        <v>36</v>
      </c>
      <c r="B160" s="19">
        <f>'DOE25'!F500</f>
        <v>88509.77</v>
      </c>
      <c r="C160" s="19">
        <f>'DOE25'!G500</f>
        <v>1950.62</v>
      </c>
      <c r="D160" s="19">
        <f>'DOE25'!H500</f>
        <v>6717.95</v>
      </c>
      <c r="E160" s="19">
        <f>'DOE25'!I500</f>
        <v>0</v>
      </c>
      <c r="F160" s="19">
        <f>'DOE25'!J500</f>
        <v>0</v>
      </c>
      <c r="G160" s="96">
        <f t="shared" si="8"/>
        <v>97178.34</v>
      </c>
    </row>
    <row r="161" spans="1:7" x14ac:dyDescent="0.2">
      <c r="A161" s="21" t="s">
        <v>37</v>
      </c>
      <c r="B161" s="19">
        <f>'DOE25'!F501</f>
        <v>451730.54000000004</v>
      </c>
      <c r="C161" s="19">
        <f>'DOE25'!G501</f>
        <v>19751.899999999998</v>
      </c>
      <c r="D161" s="19">
        <f>'DOE25'!H501</f>
        <v>50746.95</v>
      </c>
      <c r="E161" s="19">
        <f>'DOE25'!I501</f>
        <v>0</v>
      </c>
      <c r="F161" s="19">
        <f>'DOE25'!J501</f>
        <v>0</v>
      </c>
      <c r="G161" s="96">
        <f t="shared" si="8"/>
        <v>522229.39000000007</v>
      </c>
    </row>
    <row r="162" spans="1:7" x14ac:dyDescent="0.2">
      <c r="A162" s="21" t="s">
        <v>38</v>
      </c>
      <c r="B162" s="19">
        <f>'DOE25'!F502</f>
        <v>19366.93</v>
      </c>
      <c r="C162" s="19">
        <f>'DOE25'!G502</f>
        <v>3220.44</v>
      </c>
      <c r="D162" s="19">
        <f>'DOE25'!H502</f>
        <v>7557.6</v>
      </c>
      <c r="E162" s="19">
        <f>'DOE25'!I502</f>
        <v>0</v>
      </c>
      <c r="F162" s="19">
        <f>'DOE25'!J502</f>
        <v>0</v>
      </c>
      <c r="G162" s="96">
        <f t="shared" si="8"/>
        <v>30144.97</v>
      </c>
    </row>
    <row r="163" spans="1:7" x14ac:dyDescent="0.2">
      <c r="A163" s="21" t="s">
        <v>39</v>
      </c>
      <c r="B163" s="19">
        <f>'DOE25'!F503</f>
        <v>13653.14</v>
      </c>
      <c r="C163" s="19">
        <f>'DOE25'!G503</f>
        <v>729.94</v>
      </c>
      <c r="D163" s="19">
        <f>'DOE25'!H503</f>
        <v>2591.79</v>
      </c>
      <c r="E163" s="19">
        <f>'DOE25'!I503</f>
        <v>0</v>
      </c>
      <c r="F163" s="19">
        <f>'DOE25'!J503</f>
        <v>0</v>
      </c>
      <c r="G163" s="96">
        <f t="shared" si="8"/>
        <v>16974.87</v>
      </c>
    </row>
    <row r="164" spans="1:7" x14ac:dyDescent="0.2">
      <c r="A164" s="21" t="s">
        <v>246</v>
      </c>
      <c r="B164" s="19">
        <f>'DOE25'!F504</f>
        <v>33020.07</v>
      </c>
      <c r="C164" s="19">
        <f>'DOE25'!G504</f>
        <v>3950.38</v>
      </c>
      <c r="D164" s="19">
        <f>'DOE25'!H504</f>
        <v>10149.39</v>
      </c>
      <c r="E164" s="19">
        <f>'DOE25'!I504</f>
        <v>0</v>
      </c>
      <c r="F164" s="19">
        <f>'DOE25'!J504</f>
        <v>0</v>
      </c>
      <c r="G164" s="96">
        <f t="shared" si="8"/>
        <v>47119.839999999997</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Monroe</v>
      </c>
    </row>
    <row r="3" spans="1:4" x14ac:dyDescent="0.2">
      <c r="B3" s="137" t="s">
        <v>1799</v>
      </c>
    </row>
    <row r="4" spans="1:4" x14ac:dyDescent="0.2">
      <c r="B4" t="s">
        <v>61</v>
      </c>
      <c r="C4" s="129">
        <f>IF('DOE25'!F666+'DOE25'!F671=0,0,ROUND('DOE25'!F673,0))</f>
        <v>31309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31669</v>
      </c>
    </row>
    <row r="9" spans="1:4" x14ac:dyDescent="0.2">
      <c r="A9" s="136" t="s">
        <v>94</v>
      </c>
      <c r="B9" s="137" t="s">
        <v>1800</v>
      </c>
      <c r="C9" s="131" t="s">
        <v>720</v>
      </c>
      <c r="D9" s="131" t="s">
        <v>721</v>
      </c>
    </row>
    <row r="10" spans="1:4" x14ac:dyDescent="0.2">
      <c r="A10">
        <v>1100</v>
      </c>
      <c r="B10" t="s">
        <v>702</v>
      </c>
      <c r="C10" s="129">
        <f>ROUND('DOE25'!L198+'DOE25'!L216+'DOE25'!L234+'DOE25'!L277+'DOE25'!L296+'DOE25'!L315,0)</f>
        <v>2035803</v>
      </c>
      <c r="D10" s="132">
        <f>ROUND((C10/$C$28)*100,1)</f>
        <v>51.1</v>
      </c>
    </row>
    <row r="11" spans="1:4" x14ac:dyDescent="0.2">
      <c r="A11">
        <v>1200</v>
      </c>
      <c r="B11" t="s">
        <v>703</v>
      </c>
      <c r="C11" s="129">
        <f>ROUND('DOE25'!L199+'DOE25'!L217+'DOE25'!L235+'DOE25'!L278+'DOE25'!L297+'DOE25'!L316,0)</f>
        <v>498734</v>
      </c>
      <c r="D11" s="132">
        <f>ROUND((C11/$C$28)*100,1)</f>
        <v>12.5</v>
      </c>
    </row>
    <row r="12" spans="1:4" x14ac:dyDescent="0.2">
      <c r="A12">
        <v>1300</v>
      </c>
      <c r="B12" t="s">
        <v>704</v>
      </c>
      <c r="C12" s="129">
        <f>ROUND('DOE25'!L200+'DOE25'!L218+'DOE25'!L236+'DOE25'!L279+'DOE25'!L298+'DOE25'!L317,0)</f>
        <v>32531</v>
      </c>
      <c r="D12" s="132">
        <f>ROUND((C12/$C$28)*100,1)</f>
        <v>0.8</v>
      </c>
    </row>
    <row r="13" spans="1:4" x14ac:dyDescent="0.2">
      <c r="A13">
        <v>1400</v>
      </c>
      <c r="B13" t="s">
        <v>705</v>
      </c>
      <c r="C13" s="129">
        <f>ROUND('DOE25'!L201+'DOE25'!L219+'DOE25'!L237+'DOE25'!L280+'DOE25'!L299+'DOE25'!L318,0)</f>
        <v>28884</v>
      </c>
      <c r="D13" s="132">
        <f>ROUND((C13/$C$28)*100,1)</f>
        <v>0.7</v>
      </c>
    </row>
    <row r="14" spans="1:4" x14ac:dyDescent="0.2">
      <c r="D14" s="132"/>
    </row>
    <row r="15" spans="1:4" x14ac:dyDescent="0.2">
      <c r="A15">
        <v>2100</v>
      </c>
      <c r="B15" t="s">
        <v>706</v>
      </c>
      <c r="C15" s="129">
        <f>ROUND('DOE25'!L203+'DOE25'!L221+'DOE25'!L239+'DOE25'!L282+'DOE25'!L301+'DOE25'!L320,0)</f>
        <v>272360</v>
      </c>
      <c r="D15" s="132">
        <f t="shared" ref="D15:D27" si="0">ROUND((C15/$C$28)*100,1)</f>
        <v>6.8</v>
      </c>
    </row>
    <row r="16" spans="1:4" x14ac:dyDescent="0.2">
      <c r="A16">
        <v>2200</v>
      </c>
      <c r="B16" t="s">
        <v>707</v>
      </c>
      <c r="C16" s="129">
        <f>ROUND('DOE25'!L204+'DOE25'!L222+'DOE25'!L240+'DOE25'!L283+'DOE25'!L302+'DOE25'!L321,0)</f>
        <v>165531</v>
      </c>
      <c r="D16" s="132">
        <f t="shared" si="0"/>
        <v>4.2</v>
      </c>
    </row>
    <row r="17" spans="1:4" x14ac:dyDescent="0.2">
      <c r="A17" s="133" t="s">
        <v>723</v>
      </c>
      <c r="B17" t="s">
        <v>738</v>
      </c>
      <c r="C17" s="129">
        <f>ROUND('DOE25'!L205+'DOE25'!L210+'DOE25'!L223+'DOE25'!L228+'DOE25'!L241+'DOE25'!L246+'DOE25'!L284+'DOE25'!L289+'DOE25'!L303+'DOE25'!L308+'DOE25'!L322+'DOE25'!L327,0)</f>
        <v>303645</v>
      </c>
      <c r="D17" s="132">
        <f t="shared" si="0"/>
        <v>7.6</v>
      </c>
    </row>
    <row r="18" spans="1:4" x14ac:dyDescent="0.2">
      <c r="A18">
        <v>2400</v>
      </c>
      <c r="B18" t="s">
        <v>711</v>
      </c>
      <c r="C18" s="129">
        <f>ROUND('DOE25'!L206+'DOE25'!L224+'DOE25'!L242+'DOE25'!L285+'DOE25'!L304+'DOE25'!L323,0)</f>
        <v>131653</v>
      </c>
      <c r="D18" s="132">
        <f t="shared" si="0"/>
        <v>3.3</v>
      </c>
    </row>
    <row r="19" spans="1:4" x14ac:dyDescent="0.2">
      <c r="A19">
        <v>2500</v>
      </c>
      <c r="B19" t="s">
        <v>708</v>
      </c>
      <c r="C19" s="129">
        <f>ROUND('DOE25'!L207+'DOE25'!L225+'DOE25'!L243+'DOE25'!L286+'DOE25'!L305+'DOE25'!L324,0)</f>
        <v>102751</v>
      </c>
      <c r="D19" s="132">
        <f t="shared" si="0"/>
        <v>2.6</v>
      </c>
    </row>
    <row r="20" spans="1:4" x14ac:dyDescent="0.2">
      <c r="A20">
        <v>2600</v>
      </c>
      <c r="B20" t="s">
        <v>709</v>
      </c>
      <c r="C20" s="129">
        <f>ROUND('DOE25'!L208+'DOE25'!L226+'DOE25'!L244+'DOE25'!L287+'DOE25'!L306+'DOE25'!L325,0)</f>
        <v>146967</v>
      </c>
      <c r="D20" s="132">
        <f t="shared" si="0"/>
        <v>3.7</v>
      </c>
    </row>
    <row r="21" spans="1:4" x14ac:dyDescent="0.2">
      <c r="A21">
        <v>2700</v>
      </c>
      <c r="B21" t="s">
        <v>710</v>
      </c>
      <c r="C21" s="129">
        <f>ROUND('DOE25'!L209+'DOE25'!L227+'DOE25'!L245+'DOE25'!L288+'DOE25'!L307+'DOE25'!L326,0)</f>
        <v>164267</v>
      </c>
      <c r="D21" s="132">
        <f t="shared" si="0"/>
        <v>4.0999999999999996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99116.7</v>
      </c>
      <c r="D27" s="132">
        <f t="shared" si="0"/>
        <v>2.5</v>
      </c>
    </row>
    <row r="28" spans="1:4" x14ac:dyDescent="0.2">
      <c r="B28" s="136" t="s">
        <v>719</v>
      </c>
      <c r="C28" s="130">
        <f>SUM(C10:C27)</f>
        <v>3982242.7</v>
      </c>
      <c r="D28" s="134">
        <f>ROUND(SUM(D10:D27),0)</f>
        <v>100</v>
      </c>
    </row>
    <row r="29" spans="1:4" x14ac:dyDescent="0.2">
      <c r="A29">
        <v>4000</v>
      </c>
      <c r="B29" t="s">
        <v>724</v>
      </c>
      <c r="C29" s="129">
        <f>ROUND('DOE25'!L256+'DOE25'!L337+'DOE25'!L375+'DOE25'!L376+'DOE25'!L377+'DOE25'!L378+'DOE25'!L379+'DOE25'!L380+'DOE25'!L381,0)</f>
        <v>11607</v>
      </c>
    </row>
    <row r="30" spans="1:4" x14ac:dyDescent="0.2">
      <c r="B30" s="136" t="s">
        <v>725</v>
      </c>
      <c r="C30" s="130">
        <f>SUM(C28:C29)</f>
        <v>3993849.7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2972177</v>
      </c>
      <c r="D35" s="132">
        <f t="shared" ref="D35:D40" si="1">ROUND((C35/$C$41)*100,1)</f>
        <v>76.7</v>
      </c>
    </row>
    <row r="36" spans="1:4" x14ac:dyDescent="0.2">
      <c r="B36" s="71" t="s">
        <v>739</v>
      </c>
      <c r="C36" s="129">
        <f>SUM('DOE25'!F112:J112)-SUM('DOE25'!G97:G110)+('DOE25'!F175+'DOE25'!F176+'DOE25'!I175+'DOE25'!I176)-C35</f>
        <v>35012.350000000093</v>
      </c>
      <c r="D36" s="132">
        <f t="shared" si="1"/>
        <v>0.9</v>
      </c>
    </row>
    <row r="37" spans="1:4" x14ac:dyDescent="0.2">
      <c r="A37" s="133" t="s">
        <v>834</v>
      </c>
      <c r="B37" s="71" t="s">
        <v>728</v>
      </c>
      <c r="C37" s="129">
        <f>ROUND('DOE25'!F117+'DOE25'!F118,0)</f>
        <v>640976</v>
      </c>
      <c r="D37" s="132">
        <f t="shared" si="1"/>
        <v>16.5</v>
      </c>
    </row>
    <row r="38" spans="1:4" x14ac:dyDescent="0.2">
      <c r="A38" s="133" t="s">
        <v>734</v>
      </c>
      <c r="B38" s="71" t="s">
        <v>729</v>
      </c>
      <c r="C38" s="129">
        <f>ROUND(SUM('DOE25'!F140:J140)-SUM('DOE25'!F117:F119),0)</f>
        <v>18003</v>
      </c>
      <c r="D38" s="132">
        <f t="shared" si="1"/>
        <v>0.5</v>
      </c>
    </row>
    <row r="39" spans="1:4" x14ac:dyDescent="0.2">
      <c r="A39">
        <v>4000</v>
      </c>
      <c r="B39" s="71" t="s">
        <v>730</v>
      </c>
      <c r="C39" s="129">
        <f>ROUND('DOE25'!F170+'DOE25'!G170+'DOE25'!H170+'DOE25'!I170,0)</f>
        <v>206926</v>
      </c>
      <c r="D39" s="132">
        <f t="shared" si="1"/>
        <v>5.3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3873094.35</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6" sqref="A6"/>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Monroe</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t="s">
        <v>1817</v>
      </c>
      <c r="B4" s="150" t="s">
        <v>1818</v>
      </c>
      <c r="C4" s="327" t="s">
        <v>1819</v>
      </c>
      <c r="D4" s="327"/>
      <c r="E4" s="327"/>
      <c r="F4" s="327"/>
      <c r="G4" s="327"/>
      <c r="H4" s="327"/>
      <c r="I4" s="327"/>
      <c r="J4" s="327"/>
      <c r="K4" s="327"/>
      <c r="L4" s="327"/>
      <c r="M4" s="328"/>
    </row>
    <row r="5" spans="1:13" x14ac:dyDescent="0.2">
      <c r="A5" s="159" t="s">
        <v>1820</v>
      </c>
      <c r="B5" s="150"/>
      <c r="C5" s="327" t="s">
        <v>1821</v>
      </c>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195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f>IF('School Level Expenditures'!$B$2=A198,'School Tables'!H198,"")</f>
        <v>195</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2023-08-29T13:06:33Z</cp:lastPrinted>
  <dcterms:created xsi:type="dcterms:W3CDTF">1997-12-04T19:04:30Z</dcterms:created>
  <dcterms:modified xsi:type="dcterms:W3CDTF">2023-12-29T15:48:54Z</dcterms:modified>
</cp:coreProperties>
</file>