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5A708A95-B9A0-433C-82B6-D6732DEB52A8}"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37" i="2" l="1"/>
  <c r="H138" i="2"/>
  <c r="H140" i="2"/>
  <c r="H142" i="2"/>
  <c r="P2" i="14"/>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H135" i="2"/>
  <c r="H136" i="2"/>
  <c r="H143" i="2"/>
  <c r="H134" i="2"/>
  <c r="H132" i="2"/>
  <c r="H131" i="2"/>
  <c r="H125" i="2"/>
  <c r="H113" i="2"/>
  <c r="H97" i="2"/>
  <c r="H98" i="2"/>
  <c r="H99" i="2"/>
  <c r="H100" i="2"/>
  <c r="H101" i="2"/>
  <c r="H102" i="2"/>
  <c r="H94" i="2"/>
  <c r="H93" i="2"/>
  <c r="H89" i="2"/>
  <c r="H90" i="2"/>
  <c r="H87" i="2"/>
  <c r="H85" i="2"/>
  <c r="H73" i="2"/>
  <c r="H74" i="2"/>
  <c r="H79" i="2"/>
  <c r="H80" i="2"/>
  <c r="H72" i="2"/>
  <c r="H58" i="2"/>
  <c r="H44" i="2"/>
  <c r="H42" i="2"/>
  <c r="H40" i="2"/>
  <c r="H38" i="2"/>
  <c r="H36" i="2"/>
  <c r="H34" i="2"/>
  <c r="H24" i="2"/>
  <c r="H25" i="2"/>
  <c r="H26" i="2"/>
  <c r="H27" i="2"/>
  <c r="H28" i="2"/>
  <c r="H30" i="2"/>
  <c r="H9" i="2"/>
  <c r="H10" i="2"/>
  <c r="H13" i="2"/>
  <c r="H14" i="2"/>
  <c r="H15" i="2"/>
  <c r="H16"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D39" i="2"/>
  <c r="H39" i="2" s="1"/>
  <c r="G656" i="1"/>
  <c r="F48" i="2"/>
  <c r="E48" i="2"/>
  <c r="D48" i="2"/>
  <c r="C48" i="2"/>
  <c r="H48" i="2" s="1"/>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H8" i="2" s="1"/>
  <c r="D8" i="2"/>
  <c r="E8" i="2"/>
  <c r="F8" i="2"/>
  <c r="I440" i="1"/>
  <c r="J9" i="1" s="1"/>
  <c r="G8" i="2" s="1"/>
  <c r="C9" i="2"/>
  <c r="D9" i="2"/>
  <c r="E9" i="2"/>
  <c r="F9" i="2"/>
  <c r="I441" i="1"/>
  <c r="J10" i="1" s="1"/>
  <c r="G9" i="2" s="1"/>
  <c r="C10" i="2"/>
  <c r="C11" i="2"/>
  <c r="D11" i="2"/>
  <c r="E11" i="2"/>
  <c r="F11" i="2"/>
  <c r="I442" i="1"/>
  <c r="J12" i="1" s="1"/>
  <c r="G11" i="2" s="1"/>
  <c r="C12" i="2"/>
  <c r="D12" i="2"/>
  <c r="H12" i="2" s="1"/>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H22" i="2" s="1"/>
  <c r="D22" i="2"/>
  <c r="E22" i="2"/>
  <c r="F22" i="2"/>
  <c r="I450" i="1"/>
  <c r="J23" i="1" s="1"/>
  <c r="G22" i="2" s="1"/>
  <c r="C23" i="2"/>
  <c r="H23" i="2" s="1"/>
  <c r="D23" i="2"/>
  <c r="E23" i="2"/>
  <c r="F23" i="2"/>
  <c r="I451" i="1"/>
  <c r="J24" i="1" s="1"/>
  <c r="G23" i="2" s="1"/>
  <c r="C24" i="2"/>
  <c r="D24" i="2"/>
  <c r="E24" i="2"/>
  <c r="F24" i="2"/>
  <c r="C25" i="2"/>
  <c r="F25" i="2"/>
  <c r="C26" i="2"/>
  <c r="F26" i="2"/>
  <c r="C27" i="2"/>
  <c r="D27" i="2"/>
  <c r="E27" i="2"/>
  <c r="F27" i="2"/>
  <c r="C28" i="2"/>
  <c r="D28" i="2"/>
  <c r="E28" i="2"/>
  <c r="F28" i="2"/>
  <c r="C29" i="2"/>
  <c r="D29" i="2"/>
  <c r="H29" i="2" s="1"/>
  <c r="E29" i="2"/>
  <c r="F29" i="2"/>
  <c r="C30" i="2"/>
  <c r="D30" i="2"/>
  <c r="E30" i="2"/>
  <c r="F30" i="2"/>
  <c r="I452" i="1"/>
  <c r="J31" i="1" s="1"/>
  <c r="G30" i="2" s="1"/>
  <c r="C34" i="2"/>
  <c r="D34" i="2"/>
  <c r="E34" i="2"/>
  <c r="F34" i="2"/>
  <c r="C35" i="2"/>
  <c r="D35" i="2"/>
  <c r="E35" i="2"/>
  <c r="H35" i="2" s="1"/>
  <c r="F35" i="2"/>
  <c r="I455" i="1"/>
  <c r="J49" i="1" s="1"/>
  <c r="G48" i="2" s="1"/>
  <c r="I457" i="1"/>
  <c r="J43" i="1" s="1"/>
  <c r="I458" i="1"/>
  <c r="J37" i="1" s="1"/>
  <c r="G36" i="2" s="1"/>
  <c r="I460" i="1"/>
  <c r="J48" i="1" s="1"/>
  <c r="G47" i="2" s="1"/>
  <c r="H47" i="2" s="1"/>
  <c r="C49" i="2"/>
  <c r="H49" i="2" s="1"/>
  <c r="F56" i="2"/>
  <c r="C58" i="2"/>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F72" i="2"/>
  <c r="C73" i="2"/>
  <c r="F73" i="2"/>
  <c r="C74" i="2"/>
  <c r="C75" i="2"/>
  <c r="H75" i="2" s="1"/>
  <c r="C76" i="2"/>
  <c r="H76" i="2" s="1"/>
  <c r="E76" i="2"/>
  <c r="F76" i="2"/>
  <c r="C77" i="2"/>
  <c r="D77" i="2"/>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0" i="2"/>
  <c r="E124" i="2"/>
  <c r="C125" i="2"/>
  <c r="E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51" i="1"/>
  <c r="G652" i="1"/>
  <c r="H653" i="1"/>
  <c r="G654" i="1"/>
  <c r="H654" i="1"/>
  <c r="H655" i="1"/>
  <c r="H656" i="1"/>
  <c r="I170" i="1"/>
  <c r="H59" i="2" l="1"/>
  <c r="G62" i="2"/>
  <c r="G63" i="2" s="1"/>
  <c r="G646" i="1"/>
  <c r="H96" i="2"/>
  <c r="I409" i="1"/>
  <c r="H21" i="2"/>
  <c r="H477" i="1"/>
  <c r="H625" i="1" s="1"/>
  <c r="H61" i="2"/>
  <c r="H11" i="2"/>
  <c r="D78" i="2"/>
  <c r="H77" i="2"/>
  <c r="G477" i="1"/>
  <c r="H624" i="1" s="1"/>
  <c r="J624" i="1" s="1"/>
  <c r="D29" i="13"/>
  <c r="C29" i="13" s="1"/>
  <c r="G662" i="1"/>
  <c r="J652" i="1"/>
  <c r="C110" i="2"/>
  <c r="N2" i="14"/>
  <c r="N3" i="14" s="1"/>
  <c r="E13" i="13"/>
  <c r="C13" i="13" s="1"/>
  <c r="M2" i="14"/>
  <c r="M3" i="14" s="1"/>
  <c r="C13" i="10"/>
  <c r="C12" i="10"/>
  <c r="D15" i="13"/>
  <c r="C15" i="13" s="1"/>
  <c r="C121" i="2"/>
  <c r="H121" i="2" s="1"/>
  <c r="C120" i="2"/>
  <c r="H120" i="2" s="1"/>
  <c r="C119" i="2"/>
  <c r="D6" i="13"/>
  <c r="C6" i="13" s="1"/>
  <c r="L2" i="14"/>
  <c r="L3" i="14" s="1"/>
  <c r="C112" i="2"/>
  <c r="H112" i="2" s="1"/>
  <c r="A40" i="12"/>
  <c r="K2" i="14"/>
  <c r="K3" i="14" s="1"/>
  <c r="E119" i="2"/>
  <c r="H409" i="1"/>
  <c r="H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L363" i="1"/>
  <c r="B17" i="16" s="1"/>
  <c r="B19" i="16" s="1"/>
  <c r="B28" i="16"/>
  <c r="L329" i="1"/>
  <c r="E122" i="2"/>
  <c r="L291" i="1"/>
  <c r="L615" i="1"/>
  <c r="K599" i="1"/>
  <c r="G648" i="1" s="1"/>
  <c r="K572" i="1"/>
  <c r="L571" i="1"/>
  <c r="H572" i="1"/>
  <c r="L566" i="1"/>
  <c r="L572" i="1" s="1"/>
  <c r="I572" i="1"/>
  <c r="K546" i="1"/>
  <c r="H52" i="1"/>
  <c r="H620" i="1" s="1"/>
  <c r="J620" i="1" s="1"/>
  <c r="C114" i="2"/>
  <c r="H114" i="2" s="1"/>
  <c r="G112" i="1"/>
  <c r="B10" i="16" s="1"/>
  <c r="E118" i="2"/>
  <c r="L248" i="1"/>
  <c r="L212" i="1"/>
  <c r="H648" i="1"/>
  <c r="J645" i="1"/>
  <c r="G626" i="1"/>
  <c r="L530" i="1"/>
  <c r="H546" i="1"/>
  <c r="G164" i="2"/>
  <c r="G161" i="2"/>
  <c r="G157" i="2"/>
  <c r="G156" i="2"/>
  <c r="G81" i="2"/>
  <c r="C78" i="2"/>
  <c r="H78" i="2" s="1"/>
  <c r="F78" i="2"/>
  <c r="F81" i="2" s="1"/>
  <c r="C70" i="2"/>
  <c r="H70" i="2" s="1"/>
  <c r="D62" i="2"/>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H118" i="2" s="1"/>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F194" i="1" s="1"/>
  <c r="J619" i="1"/>
  <c r="G42" i="2"/>
  <c r="G50" i="2" s="1"/>
  <c r="J51" i="1"/>
  <c r="G16" i="2"/>
  <c r="G18" i="2" s="1"/>
  <c r="J19" i="1"/>
  <c r="G622" i="1" s="1"/>
  <c r="F546" i="1"/>
  <c r="H435" i="1"/>
  <c r="D103" i="2"/>
  <c r="I140" i="1"/>
  <c r="A22" i="12"/>
  <c r="J653" i="1"/>
  <c r="G572" i="1"/>
  <c r="I435" i="1"/>
  <c r="G435" i="1"/>
  <c r="I664" i="1"/>
  <c r="H103" i="2" l="1"/>
  <c r="H123" i="2"/>
  <c r="G24" i="14"/>
  <c r="H24" i="14" s="1"/>
  <c r="I24" i="14" s="1"/>
  <c r="E128" i="2"/>
  <c r="H119" i="2"/>
  <c r="H91" i="2"/>
  <c r="B33" i="16"/>
  <c r="D51" i="2"/>
  <c r="H50" i="2"/>
  <c r="H18" i="2"/>
  <c r="D63" i="2"/>
  <c r="D104" i="2" s="1"/>
  <c r="H62" i="2"/>
  <c r="H31" i="2"/>
  <c r="D128" i="2"/>
  <c r="D145" i="2" s="1"/>
  <c r="H127" i="2"/>
  <c r="I662" i="1"/>
  <c r="H110" i="2"/>
  <c r="C81" i="2"/>
  <c r="H81" i="2" s="1"/>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4" i="2" s="1"/>
  <c r="H141" i="2"/>
  <c r="H51" i="2"/>
  <c r="M24" i="14"/>
  <c r="H128" i="2"/>
  <c r="C104" i="2"/>
  <c r="H104" i="2" s="1"/>
  <c r="H63"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<sst xmlns="http://schemas.openxmlformats.org/spreadsheetml/2006/main" count="6557" uniqueCount="1812">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</sst>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1272</v>
      </c>
      <c r="B2">
        <f>INDEX('School Tables'!$AH$3:$AH$209,MATCH('DOE25'!A2,'School Tables'!$AJ$3:$AJ$209,0))</f>
        <v>369</v>
      </c>
      <c r="C2">
        <f>INDEX('School Tables'!$AI$3:$AI$209,MATCH('DOE25'!A2,'School Tables'!$AJ$3:$AJ$209,0))</f>
        <v>369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1970703.38</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v>23995.99</v>
      </c>
      <c r="H12" s="18">
        <v>29878.86</v>
      </c>
      <c r="I12" s="18"/>
      <c r="J12" s="13">
        <f>SUM(I442)</f>
        <v>1545546.98</v>
      </c>
      <c r="K12" s="23" t="s">
        <v>288</v>
      </c>
      <c r="L12" s="23" t="s">
        <v>288</v>
      </c>
      <c r="M12" s="8"/>
      <c r="N12" s="165"/>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1970703.38</v>
      </c>
      <c r="G19" s="38">
        <f>SUM(G9:G18)</f>
        <v>23995.99</v>
      </c>
      <c r="H19" s="38">
        <f>SUM(H9:H18)</f>
        <v>29878.86</v>
      </c>
      <c r="I19" s="38">
        <f>SUM(I9:I18)</f>
        <v>0</v>
      </c>
      <c r="J19" s="38">
        <f>SUM(J9:J18)</f>
        <v>1545546.98</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109272.61</v>
      </c>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562040.57999999996</v>
      </c>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671313.19</v>
      </c>
      <c r="G32" s="38">
        <f>SUM(G22:G31)</f>
        <v>0</v>
      </c>
      <c r="H32" s="38">
        <f>SUM(H22:H31)</f>
        <v>0</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v>29878.86</v>
      </c>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v>23995.99</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100000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474512.54</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1545546.98</v>
      </c>
      <c r="K48" s="23" t="s">
        <v>288</v>
      </c>
      <c r="L48" s="23" t="s">
        <v>288</v>
      </c>
      <c r="M48" s="8"/>
      <c r="N48" s="165"/>
    </row>
    <row r="49" spans="1:14" s="3" customFormat="1" ht="12.2" customHeight="1" x14ac:dyDescent="0.15">
      <c r="A49" s="1" t="s">
        <v>858</v>
      </c>
      <c r="B49" s="2" t="s">
        <v>289</v>
      </c>
      <c r="C49" s="6">
        <v>34</v>
      </c>
      <c r="D49" s="2"/>
      <c r="E49" s="6">
        <v>753</v>
      </c>
      <c r="F49" s="18">
        <v>639877.65</v>
      </c>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85000</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1299390.19</v>
      </c>
      <c r="G51" s="38">
        <f>SUM(G35:G50)</f>
        <v>23995.99</v>
      </c>
      <c r="H51" s="38">
        <f>SUM(H35:H50)</f>
        <v>29878.86</v>
      </c>
      <c r="I51" s="38">
        <f>SUM(I35:I50)</f>
        <v>0</v>
      </c>
      <c r="J51" s="38">
        <f>SUM(J35:J50)</f>
        <v>1545546.98</v>
      </c>
      <c r="K51" s="42" t="s">
        <v>288</v>
      </c>
      <c r="L51" s="42" t="s">
        <v>288</v>
      </c>
      <c r="N51" s="131"/>
    </row>
    <row r="52" spans="1:14" s="3" customFormat="1" ht="12.2" customHeight="1" thickTop="1" x14ac:dyDescent="0.15">
      <c r="A52" s="35" t="s">
        <v>455</v>
      </c>
      <c r="B52" s="36" t="s">
        <v>289</v>
      </c>
      <c r="C52" s="6">
        <v>37</v>
      </c>
      <c r="D52" s="36" t="s">
        <v>653</v>
      </c>
      <c r="E52" s="36"/>
      <c r="F52" s="38">
        <f>F51+F32</f>
        <v>1970703.38</v>
      </c>
      <c r="G52" s="38">
        <f>G51+G32</f>
        <v>23995.99</v>
      </c>
      <c r="H52" s="38">
        <f>H51+H32</f>
        <v>29878.86</v>
      </c>
      <c r="I52" s="38">
        <f>I51+I32</f>
        <v>0</v>
      </c>
      <c r="J52" s="38">
        <f>J51+J32</f>
        <v>1545546.98</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8588853</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8588853</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16717.13</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16717.13</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34123.72</v>
      </c>
      <c r="G96" s="18"/>
      <c r="H96" s="18"/>
      <c r="I96" s="18"/>
      <c r="J96" s="18">
        <v>93280.51</v>
      </c>
      <c r="K96" s="23" t="s">
        <v>288</v>
      </c>
      <c r="L96" s="23" t="s">
        <v>288</v>
      </c>
      <c r="M96" s="8"/>
      <c r="N96" s="165"/>
    </row>
    <row r="97" spans="1:14" s="3" customFormat="1" ht="12.2" customHeight="1" x14ac:dyDescent="0.15">
      <c r="A97" s="1" t="s">
        <v>503</v>
      </c>
      <c r="B97" s="2" t="s">
        <v>315</v>
      </c>
      <c r="C97" s="6">
        <v>12</v>
      </c>
      <c r="D97" s="2" t="s">
        <v>430</v>
      </c>
      <c r="E97" s="6">
        <v>1600</v>
      </c>
      <c r="F97" s="23" t="s">
        <v>288</v>
      </c>
      <c r="G97" s="18">
        <v>202911.93</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16630.82</v>
      </c>
      <c r="G110" s="18"/>
      <c r="H110" s="18"/>
      <c r="I110" s="18"/>
      <c r="J110" s="18">
        <v>1600757.36</v>
      </c>
      <c r="K110" s="23" t="s">
        <v>288</v>
      </c>
      <c r="L110" s="23" t="s">
        <v>288</v>
      </c>
      <c r="M110" s="8"/>
      <c r="N110" s="165"/>
    </row>
    <row r="111" spans="1:14" ht="12.2" customHeight="1" thickTop="1" thickBot="1" x14ac:dyDescent="0.25">
      <c r="A111" s="35" t="s">
        <v>433</v>
      </c>
      <c r="B111" s="36" t="s">
        <v>315</v>
      </c>
      <c r="C111" s="37">
        <v>25</v>
      </c>
      <c r="D111" s="36" t="s">
        <v>430</v>
      </c>
      <c r="E111" s="37"/>
      <c r="F111" s="38">
        <f>SUM(F96:F110)</f>
        <v>50754.54</v>
      </c>
      <c r="G111" s="38">
        <f>SUM(G96:G110)</f>
        <v>202911.93</v>
      </c>
      <c r="H111" s="38">
        <f>SUM(H96:H110)</f>
        <v>0</v>
      </c>
      <c r="I111" s="38">
        <f>SUM(I96:I110)</f>
        <v>0</v>
      </c>
      <c r="J111" s="38">
        <f>SUM(J96:J110)</f>
        <v>1694037.87</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8656324.6699999999</v>
      </c>
      <c r="G112" s="38">
        <f>G60+G111</f>
        <v>202911.93</v>
      </c>
      <c r="H112" s="38">
        <f>H60+H79+H94+H111</f>
        <v>0</v>
      </c>
      <c r="I112" s="38">
        <f>I60+I111</f>
        <v>0</v>
      </c>
      <c r="J112" s="38">
        <f>J60+J111</f>
        <v>1694037.87</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1795359</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4698493</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80567.570000000007</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6574419.5700000003</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149114.23999999999</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6282</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3420.2</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155396.24</v>
      </c>
      <c r="G136" s="38">
        <f>SUM(G123:G135)</f>
        <v>3420.2</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6729815.8100000005</v>
      </c>
      <c r="G140" s="38">
        <f>G121+SUM(G136:G137)</f>
        <v>3420.2</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96935.03</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65319.23</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141453.04999999999</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130103.37</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11078.92</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223529</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11078.92</v>
      </c>
      <c r="G163" s="38">
        <f>SUM(G150:G162)</f>
        <v>141453.04999999999</v>
      </c>
      <c r="H163" s="38">
        <f>SUM(H150:H162)</f>
        <v>515886.63</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11078.92</v>
      </c>
      <c r="G170" s="38">
        <f>G147+G163+SUM(G164:G169)</f>
        <v>141453.04999999999</v>
      </c>
      <c r="H170" s="38">
        <f>H147+H163+SUM(H164:H169)</f>
        <v>515886.63</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100000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100000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100000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15397219.4</v>
      </c>
      <c r="G194" s="38">
        <f>G112+G140+G170+G193</f>
        <v>347785.18</v>
      </c>
      <c r="H194" s="38">
        <f>H112+H140+H170+H193</f>
        <v>515886.63</v>
      </c>
      <c r="I194" s="38">
        <f>I112+I140+I170+I193</f>
        <v>0</v>
      </c>
      <c r="J194" s="38">
        <f>J112+J140+J193</f>
        <v>1794037.87</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1329427.03</v>
      </c>
      <c r="G198" s="18">
        <v>889100.63</v>
      </c>
      <c r="H198" s="18">
        <v>3438.04</v>
      </c>
      <c r="I198" s="18">
        <v>51482.9</v>
      </c>
      <c r="J198" s="18">
        <v>13494.64</v>
      </c>
      <c r="K198" s="18">
        <v>88594</v>
      </c>
      <c r="L198" s="13">
        <f>SUM(F198:K198)</f>
        <v>2375537.2400000002</v>
      </c>
      <c r="M198" s="8"/>
      <c r="N198" s="165"/>
    </row>
    <row r="199" spans="1:14" s="3" customFormat="1" ht="12.2" customHeight="1" x14ac:dyDescent="0.15">
      <c r="A199" s="1" t="s">
        <v>439</v>
      </c>
      <c r="B199" s="2" t="s">
        <v>341</v>
      </c>
      <c r="C199" s="2" t="s">
        <v>291</v>
      </c>
      <c r="D199" s="2" t="s">
        <v>431</v>
      </c>
      <c r="E199" s="6">
        <v>1200</v>
      </c>
      <c r="F199" s="18">
        <v>879127.93</v>
      </c>
      <c r="G199" s="18">
        <v>302917.56</v>
      </c>
      <c r="H199" s="18">
        <v>392103.3</v>
      </c>
      <c r="I199" s="18">
        <v>8623.48</v>
      </c>
      <c r="J199" s="18"/>
      <c r="K199" s="18">
        <v>808.01</v>
      </c>
      <c r="L199" s="13">
        <f>SUM(F199:K199)</f>
        <v>1583580.28</v>
      </c>
      <c r="M199" s="8"/>
      <c r="N199" s="165"/>
    </row>
    <row r="200" spans="1:14" s="3" customFormat="1" ht="12.2" customHeight="1" x14ac:dyDescent="0.15">
      <c r="A200" s="1" t="s">
        <v>440</v>
      </c>
      <c r="B200" s="2" t="s">
        <v>341</v>
      </c>
      <c r="C200" s="2" t="s">
        <v>292</v>
      </c>
      <c r="D200" s="2" t="s">
        <v>431</v>
      </c>
      <c r="E200" s="6">
        <v>1300</v>
      </c>
      <c r="F200" s="18">
        <v>7628.16</v>
      </c>
      <c r="G200" s="18">
        <v>45.31</v>
      </c>
      <c r="H200" s="18"/>
      <c r="I200" s="18">
        <v>1386.91</v>
      </c>
      <c r="J200" s="18"/>
      <c r="K200" s="18"/>
      <c r="L200" s="13">
        <f>SUM(F200:K200)</f>
        <v>9060.380000000001</v>
      </c>
      <c r="M200" s="8"/>
      <c r="N200" s="165"/>
    </row>
    <row r="201" spans="1:14" s="3" customFormat="1" ht="12.2" customHeight="1" x14ac:dyDescent="0.15">
      <c r="A201" s="1" t="s">
        <v>441</v>
      </c>
      <c r="B201" s="2" t="s">
        <v>341</v>
      </c>
      <c r="C201" s="2" t="s">
        <v>293</v>
      </c>
      <c r="D201" s="2" t="s">
        <v>431</v>
      </c>
      <c r="E201" s="6">
        <v>1400</v>
      </c>
      <c r="F201" s="18">
        <v>65366.43</v>
      </c>
      <c r="G201" s="18">
        <v>15602.01</v>
      </c>
      <c r="H201" s="18">
        <v>2796.23</v>
      </c>
      <c r="I201" s="18">
        <v>13053.04</v>
      </c>
      <c r="J201" s="18"/>
      <c r="K201" s="18"/>
      <c r="L201" s="13">
        <f>SUM(F201:K201)</f>
        <v>96817.709999999992</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232851.6</v>
      </c>
      <c r="G203" s="18">
        <v>116218.74</v>
      </c>
      <c r="H203" s="18">
        <v>8287.5</v>
      </c>
      <c r="I203" s="18">
        <v>3207.92</v>
      </c>
      <c r="J203" s="18">
        <v>63.67</v>
      </c>
      <c r="K203" s="18">
        <v>98</v>
      </c>
      <c r="L203" s="13">
        <f t="shared" ref="L203:L209" si="0">SUM(F203:K203)</f>
        <v>360727.43</v>
      </c>
      <c r="M203" s="8"/>
      <c r="N203" s="165"/>
    </row>
    <row r="204" spans="1:14" s="3" customFormat="1" ht="12.2" customHeight="1" x14ac:dyDescent="0.15">
      <c r="A204" s="1" t="s">
        <v>443</v>
      </c>
      <c r="B204" s="2" t="s">
        <v>341</v>
      </c>
      <c r="C204" s="2" t="s">
        <v>295</v>
      </c>
      <c r="D204" s="2" t="s">
        <v>431</v>
      </c>
      <c r="E204" s="6">
        <v>2200</v>
      </c>
      <c r="F204" s="18">
        <v>260044.58</v>
      </c>
      <c r="G204" s="18">
        <v>150718.5</v>
      </c>
      <c r="H204" s="18">
        <v>56126.48</v>
      </c>
      <c r="I204" s="18">
        <v>30852.14</v>
      </c>
      <c r="J204" s="18">
        <v>63251.839999999997</v>
      </c>
      <c r="K204" s="18">
        <v>185.35</v>
      </c>
      <c r="L204" s="13">
        <f t="shared" si="0"/>
        <v>561178.8899999999</v>
      </c>
      <c r="M204" s="8"/>
      <c r="N204" s="165"/>
    </row>
    <row r="205" spans="1:14" s="3" customFormat="1" ht="12.2" customHeight="1" x14ac:dyDescent="0.15">
      <c r="A205" s="1" t="s">
        <v>444</v>
      </c>
      <c r="B205" s="2" t="s">
        <v>341</v>
      </c>
      <c r="C205" s="2" t="s">
        <v>296</v>
      </c>
      <c r="D205" s="2" t="s">
        <v>431</v>
      </c>
      <c r="E205" s="6">
        <v>2300</v>
      </c>
      <c r="F205" s="18">
        <v>191928.28</v>
      </c>
      <c r="G205" s="18">
        <v>72533.22</v>
      </c>
      <c r="H205" s="18">
        <v>9456.98</v>
      </c>
      <c r="I205" s="18">
        <v>10618.01</v>
      </c>
      <c r="J205" s="18"/>
      <c r="K205" s="18">
        <v>20423.259999999998</v>
      </c>
      <c r="L205" s="13">
        <f t="shared" si="0"/>
        <v>304959.75</v>
      </c>
      <c r="M205" s="8"/>
      <c r="N205" s="165"/>
    </row>
    <row r="206" spans="1:14" s="3" customFormat="1" ht="12.2" customHeight="1" x14ac:dyDescent="0.15">
      <c r="A206" s="1" t="s">
        <v>445</v>
      </c>
      <c r="B206" s="2" t="s">
        <v>341</v>
      </c>
      <c r="C206" s="2" t="s">
        <v>297</v>
      </c>
      <c r="D206" s="2" t="s">
        <v>431</v>
      </c>
      <c r="E206" s="6">
        <v>2400</v>
      </c>
      <c r="F206" s="18">
        <v>180695.33</v>
      </c>
      <c r="G206" s="18">
        <v>89944.37</v>
      </c>
      <c r="H206" s="18">
        <v>5185.1899999999996</v>
      </c>
      <c r="I206" s="18">
        <v>3831.84</v>
      </c>
      <c r="J206" s="18"/>
      <c r="K206" s="18"/>
      <c r="L206" s="13">
        <f t="shared" si="0"/>
        <v>279656.73</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241949.1</v>
      </c>
      <c r="G208" s="18">
        <v>106602.3</v>
      </c>
      <c r="H208" s="18">
        <v>120335.64</v>
      </c>
      <c r="I208" s="18">
        <v>275531.48</v>
      </c>
      <c r="J208" s="18">
        <v>779.85</v>
      </c>
      <c r="K208" s="18"/>
      <c r="L208" s="13">
        <f t="shared" si="0"/>
        <v>745198.37</v>
      </c>
      <c r="M208" s="8"/>
      <c r="N208" s="165"/>
    </row>
    <row r="209" spans="1:14" s="3" customFormat="1" ht="12.2" customHeight="1" x14ac:dyDescent="0.15">
      <c r="A209" s="1" t="s">
        <v>448</v>
      </c>
      <c r="B209" s="2" t="s">
        <v>341</v>
      </c>
      <c r="C209" s="2" t="s">
        <v>300</v>
      </c>
      <c r="D209" s="2" t="s">
        <v>431</v>
      </c>
      <c r="E209" s="6">
        <v>2700</v>
      </c>
      <c r="F209" s="18"/>
      <c r="G209" s="18"/>
      <c r="H209" s="18">
        <v>318764.79999999999</v>
      </c>
      <c r="I209" s="18">
        <v>585.58000000000004</v>
      </c>
      <c r="J209" s="18"/>
      <c r="K209" s="18"/>
      <c r="L209" s="13">
        <f t="shared" si="0"/>
        <v>319350.38</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3389018.4400000004</v>
      </c>
      <c r="G212" s="38">
        <f t="shared" si="1"/>
        <v>1743682.64</v>
      </c>
      <c r="H212" s="38">
        <f t="shared" si="1"/>
        <v>916494.15999999992</v>
      </c>
      <c r="I212" s="38">
        <f t="shared" si="1"/>
        <v>399173.3</v>
      </c>
      <c r="J212" s="38">
        <f t="shared" si="1"/>
        <v>77590</v>
      </c>
      <c r="K212" s="38">
        <f t="shared" si="1"/>
        <v>110108.62</v>
      </c>
      <c r="L212" s="38">
        <f t="shared" si="1"/>
        <v>6636067.1600000001</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817780.17</v>
      </c>
      <c r="G216" s="18">
        <v>586918.61</v>
      </c>
      <c r="H216" s="18">
        <v>33159.64</v>
      </c>
      <c r="I216" s="18">
        <v>34537.47</v>
      </c>
      <c r="J216" s="18">
        <v>21019.32</v>
      </c>
      <c r="K216" s="18"/>
      <c r="L216" s="13">
        <f>SUM(F216:K216)</f>
        <v>1493415.21</v>
      </c>
      <c r="M216" s="8"/>
      <c r="N216" s="165"/>
    </row>
    <row r="217" spans="1:14" s="3" customFormat="1" ht="12.2" customHeight="1" x14ac:dyDescent="0.15">
      <c r="A217" s="1" t="s">
        <v>439</v>
      </c>
      <c r="B217" s="2" t="s">
        <v>346</v>
      </c>
      <c r="C217" s="2" t="s">
        <v>291</v>
      </c>
      <c r="D217" s="2" t="s">
        <v>431</v>
      </c>
      <c r="E217" s="6">
        <v>1200</v>
      </c>
      <c r="F217" s="18">
        <v>326345.15999999997</v>
      </c>
      <c r="G217" s="18">
        <v>157021.67000000001</v>
      </c>
      <c r="H217" s="18">
        <v>78637.61</v>
      </c>
      <c r="I217" s="18">
        <v>5010.7299999999996</v>
      </c>
      <c r="J217" s="18"/>
      <c r="K217" s="18">
        <v>362.78</v>
      </c>
      <c r="L217" s="13">
        <f>SUM(F217:K217)</f>
        <v>567377.94999999995</v>
      </c>
      <c r="M217" s="8"/>
      <c r="N217" s="165"/>
    </row>
    <row r="218" spans="1:14" s="3" customFormat="1" ht="12.2" customHeight="1" x14ac:dyDescent="0.15">
      <c r="A218" s="1" t="s">
        <v>440</v>
      </c>
      <c r="B218" s="2" t="s">
        <v>346</v>
      </c>
      <c r="C218" s="2" t="s">
        <v>292</v>
      </c>
      <c r="D218" s="2" t="s">
        <v>431</v>
      </c>
      <c r="E218" s="6">
        <v>1300</v>
      </c>
      <c r="F218" s="18">
        <v>3370.82</v>
      </c>
      <c r="G218" s="18">
        <v>19.440000000000001</v>
      </c>
      <c r="H218" s="18"/>
      <c r="I218" s="18">
        <v>9730.82</v>
      </c>
      <c r="J218" s="18"/>
      <c r="K218" s="18"/>
      <c r="L218" s="13">
        <f>SUM(F218:K218)</f>
        <v>13121.08</v>
      </c>
      <c r="M218" s="8"/>
      <c r="N218" s="165"/>
    </row>
    <row r="219" spans="1:14" s="3" customFormat="1" ht="12.2" customHeight="1" x14ac:dyDescent="0.15">
      <c r="A219" s="1" t="s">
        <v>441</v>
      </c>
      <c r="B219" s="2" t="s">
        <v>346</v>
      </c>
      <c r="C219" s="2" t="s">
        <v>293</v>
      </c>
      <c r="D219" s="2" t="s">
        <v>431</v>
      </c>
      <c r="E219" s="6">
        <v>1400</v>
      </c>
      <c r="F219" s="18">
        <v>70991.740000000005</v>
      </c>
      <c r="G219" s="18">
        <v>12788.77</v>
      </c>
      <c r="H219" s="18">
        <v>7285</v>
      </c>
      <c r="I219" s="18">
        <v>20397.060000000001</v>
      </c>
      <c r="J219" s="18">
        <v>16213.79</v>
      </c>
      <c r="K219" s="18">
        <v>1414.49</v>
      </c>
      <c r="L219" s="13">
        <f>SUM(F219:K219)</f>
        <v>129090.85000000002</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118834.49</v>
      </c>
      <c r="G221" s="18">
        <v>75309.399999999994</v>
      </c>
      <c r="H221" s="18">
        <v>3430</v>
      </c>
      <c r="I221" s="18">
        <v>1420.27</v>
      </c>
      <c r="J221" s="18">
        <v>260.07</v>
      </c>
      <c r="K221" s="18">
        <v>223</v>
      </c>
      <c r="L221" s="13">
        <f t="shared" ref="L221:L227" si="2">SUM(F221:K221)</f>
        <v>199477.23</v>
      </c>
      <c r="M221" s="8"/>
      <c r="N221" s="165"/>
    </row>
    <row r="222" spans="1:14" s="3" customFormat="1" ht="12.2" customHeight="1" x14ac:dyDescent="0.15">
      <c r="A222" s="1" t="s">
        <v>443</v>
      </c>
      <c r="B222" s="2" t="s">
        <v>346</v>
      </c>
      <c r="C222" s="2" t="s">
        <v>295</v>
      </c>
      <c r="D222" s="2" t="s">
        <v>431</v>
      </c>
      <c r="E222" s="6">
        <v>2200</v>
      </c>
      <c r="F222" s="18">
        <v>127068.15</v>
      </c>
      <c r="G222" s="18">
        <v>91691.9</v>
      </c>
      <c r="H222" s="18">
        <v>27092.9</v>
      </c>
      <c r="I222" s="18">
        <v>19425.419999999998</v>
      </c>
      <c r="J222" s="18">
        <v>27973.82</v>
      </c>
      <c r="K222" s="18">
        <v>611.29999999999995</v>
      </c>
      <c r="L222" s="13">
        <f t="shared" si="2"/>
        <v>293863.49</v>
      </c>
      <c r="M222" s="8"/>
      <c r="N222" s="165"/>
    </row>
    <row r="223" spans="1:14" s="3" customFormat="1" ht="12.2" customHeight="1" x14ac:dyDescent="0.15">
      <c r="A223" s="1" t="s">
        <v>444</v>
      </c>
      <c r="B223" s="2" t="s">
        <v>346</v>
      </c>
      <c r="C223" s="2" t="s">
        <v>296</v>
      </c>
      <c r="D223" s="2" t="s">
        <v>431</v>
      </c>
      <c r="E223" s="6">
        <v>2300</v>
      </c>
      <c r="F223" s="18">
        <v>88767.35</v>
      </c>
      <c r="G223" s="18">
        <v>43977.98</v>
      </c>
      <c r="H223" s="18">
        <v>5586.47</v>
      </c>
      <c r="I223" s="18">
        <v>4652.99</v>
      </c>
      <c r="J223" s="18"/>
      <c r="K223" s="18">
        <v>5805.63</v>
      </c>
      <c r="L223" s="13">
        <f t="shared" si="2"/>
        <v>148790.42000000001</v>
      </c>
      <c r="M223" s="8"/>
      <c r="N223" s="165"/>
    </row>
    <row r="224" spans="1:14" s="3" customFormat="1" ht="12.2" customHeight="1" x14ac:dyDescent="0.15">
      <c r="A224" s="1" t="s">
        <v>445</v>
      </c>
      <c r="B224" s="2" t="s">
        <v>346</v>
      </c>
      <c r="C224" s="2" t="s">
        <v>297</v>
      </c>
      <c r="D224" s="2" t="s">
        <v>431</v>
      </c>
      <c r="E224" s="6">
        <v>2400</v>
      </c>
      <c r="F224" s="18">
        <v>143784.26</v>
      </c>
      <c r="G224" s="18">
        <v>75121.39</v>
      </c>
      <c r="H224" s="18">
        <v>3871.29</v>
      </c>
      <c r="I224" s="18">
        <v>223.42</v>
      </c>
      <c r="J224" s="18"/>
      <c r="K224" s="18"/>
      <c r="L224" s="13">
        <f t="shared" si="2"/>
        <v>223000.36000000004</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v>106018.95</v>
      </c>
      <c r="G226" s="18">
        <v>70988.160000000003</v>
      </c>
      <c r="H226" s="18">
        <v>68563.23</v>
      </c>
      <c r="I226" s="18">
        <v>124193.34</v>
      </c>
      <c r="J226" s="18">
        <v>435</v>
      </c>
      <c r="K226" s="18"/>
      <c r="L226" s="13">
        <f t="shared" si="2"/>
        <v>370198.67999999993</v>
      </c>
      <c r="M226" s="8"/>
      <c r="N226" s="165"/>
    </row>
    <row r="227" spans="1:14" s="3" customFormat="1" ht="12.2" customHeight="1" x14ac:dyDescent="0.15">
      <c r="A227" s="1" t="s">
        <v>448</v>
      </c>
      <c r="B227" s="2" t="s">
        <v>346</v>
      </c>
      <c r="C227" s="2" t="s">
        <v>300</v>
      </c>
      <c r="D227" s="2" t="s">
        <v>431</v>
      </c>
      <c r="E227" s="6">
        <v>2700</v>
      </c>
      <c r="F227" s="18"/>
      <c r="G227" s="18"/>
      <c r="H227" s="18">
        <v>124529.75</v>
      </c>
      <c r="I227" s="18">
        <v>300.57</v>
      </c>
      <c r="J227" s="18"/>
      <c r="K227" s="18"/>
      <c r="L227" s="13">
        <f t="shared" si="2"/>
        <v>124830.32</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1802961.09</v>
      </c>
      <c r="G230" s="38">
        <f>SUM(G216:G229)</f>
        <v>1113837.32</v>
      </c>
      <c r="H230" s="38">
        <f>SUM(H216:H229)</f>
        <v>352155.89</v>
      </c>
      <c r="I230" s="38">
        <f>SUM(I216:I229)</f>
        <v>219892.09000000003</v>
      </c>
      <c r="J230" s="38">
        <f>SUM(J216:J229)</f>
        <v>65902</v>
      </c>
      <c r="K230" s="38">
        <f t="shared" si="3"/>
        <v>8417.2000000000007</v>
      </c>
      <c r="L230" s="38">
        <f t="shared" si="3"/>
        <v>3563165.5899999994</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1131807.33</v>
      </c>
      <c r="G234" s="18">
        <v>708650.32</v>
      </c>
      <c r="H234" s="18">
        <v>4279.01</v>
      </c>
      <c r="I234" s="18">
        <v>41915.61</v>
      </c>
      <c r="J234" s="18">
        <v>9586.61</v>
      </c>
      <c r="K234" s="18"/>
      <c r="L234" s="13">
        <f>SUM(F234:K234)</f>
        <v>1896238.8800000001</v>
      </c>
      <c r="M234" s="8"/>
      <c r="N234" s="165"/>
    </row>
    <row r="235" spans="1:14" s="3" customFormat="1" ht="12.2" customHeight="1" x14ac:dyDescent="0.15">
      <c r="A235" s="1" t="s">
        <v>439</v>
      </c>
      <c r="B235" s="2" t="s">
        <v>350</v>
      </c>
      <c r="C235" s="2" t="s">
        <v>291</v>
      </c>
      <c r="D235" s="2" t="s">
        <v>431</v>
      </c>
      <c r="E235" s="6">
        <v>1200</v>
      </c>
      <c r="F235" s="18">
        <v>474165.37</v>
      </c>
      <c r="G235" s="18">
        <v>189823.32</v>
      </c>
      <c r="H235" s="18">
        <v>425854.45</v>
      </c>
      <c r="I235" s="18">
        <v>2582.89</v>
      </c>
      <c r="J235" s="18">
        <v>1000</v>
      </c>
      <c r="K235" s="18">
        <v>4954.21</v>
      </c>
      <c r="L235" s="13">
        <f>SUM(F235:K235)</f>
        <v>1098380.2399999998</v>
      </c>
      <c r="M235" s="8"/>
      <c r="N235" s="165"/>
    </row>
    <row r="236" spans="1:14" s="3" customFormat="1" ht="12.2" customHeight="1" x14ac:dyDescent="0.15">
      <c r="A236" s="1" t="s">
        <v>440</v>
      </c>
      <c r="B236" s="2" t="s">
        <v>350</v>
      </c>
      <c r="C236" s="2" t="s">
        <v>292</v>
      </c>
      <c r="D236" s="2" t="s">
        <v>431</v>
      </c>
      <c r="E236" s="6">
        <v>1300</v>
      </c>
      <c r="F236" s="18">
        <v>4443.1000000000004</v>
      </c>
      <c r="G236" s="18">
        <v>26.08</v>
      </c>
      <c r="H236" s="18">
        <v>37735.18</v>
      </c>
      <c r="I236" s="18">
        <v>1083.26</v>
      </c>
      <c r="J236" s="18"/>
      <c r="K236" s="18"/>
      <c r="L236" s="13">
        <f>SUM(F236:K236)</f>
        <v>43287.62</v>
      </c>
      <c r="M236" s="8"/>
      <c r="N236" s="165"/>
    </row>
    <row r="237" spans="1:14" s="3" customFormat="1" ht="12.2" customHeight="1" x14ac:dyDescent="0.15">
      <c r="A237" s="1" t="s">
        <v>441</v>
      </c>
      <c r="B237" s="2" t="s">
        <v>350</v>
      </c>
      <c r="C237" s="2" t="s">
        <v>293</v>
      </c>
      <c r="D237" s="2" t="s">
        <v>431</v>
      </c>
      <c r="E237" s="6">
        <v>1400</v>
      </c>
      <c r="F237" s="18">
        <v>171419.83</v>
      </c>
      <c r="G237" s="18">
        <v>35057.599999999999</v>
      </c>
      <c r="H237" s="18">
        <v>17459</v>
      </c>
      <c r="I237" s="18">
        <v>59656.47</v>
      </c>
      <c r="J237" s="18">
        <v>16213.8</v>
      </c>
      <c r="K237" s="18">
        <v>10473.08</v>
      </c>
      <c r="L237" s="13">
        <f>SUM(F237:K237)</f>
        <v>310279.78000000003</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170631.09</v>
      </c>
      <c r="G239" s="18">
        <v>88768.56</v>
      </c>
      <c r="H239" s="18">
        <v>3430</v>
      </c>
      <c r="I239" s="18">
        <v>3430.39</v>
      </c>
      <c r="J239" s="18">
        <v>215.99</v>
      </c>
      <c r="K239" s="18">
        <v>58</v>
      </c>
      <c r="L239" s="13">
        <f t="shared" ref="L239:L245" si="4">SUM(F239:K239)</f>
        <v>266534.03000000003</v>
      </c>
      <c r="M239" s="8"/>
      <c r="N239" s="165"/>
    </row>
    <row r="240" spans="1:14" s="3" customFormat="1" ht="12.2" customHeight="1" x14ac:dyDescent="0.15">
      <c r="A240" s="1" t="s">
        <v>443</v>
      </c>
      <c r="B240" s="2" t="s">
        <v>350</v>
      </c>
      <c r="C240" s="2" t="s">
        <v>295</v>
      </c>
      <c r="D240" s="2" t="s">
        <v>431</v>
      </c>
      <c r="E240" s="6">
        <v>2200</v>
      </c>
      <c r="F240" s="18">
        <v>196349.3</v>
      </c>
      <c r="G240" s="18">
        <v>129938.66</v>
      </c>
      <c r="H240" s="18">
        <v>32051.87</v>
      </c>
      <c r="I240" s="18">
        <v>27322.799999999999</v>
      </c>
      <c r="J240" s="18">
        <v>35771.81</v>
      </c>
      <c r="K240" s="18">
        <v>5345.34</v>
      </c>
      <c r="L240" s="13">
        <f t="shared" si="4"/>
        <v>426779.77999999997</v>
      </c>
      <c r="M240" s="8"/>
      <c r="N240" s="165"/>
    </row>
    <row r="241" spans="1:14" s="3" customFormat="1" ht="12.2" customHeight="1" x14ac:dyDescent="0.15">
      <c r="A241" s="1" t="s">
        <v>444</v>
      </c>
      <c r="B241" s="2" t="s">
        <v>350</v>
      </c>
      <c r="C241" s="2" t="s">
        <v>296</v>
      </c>
      <c r="D241" s="2" t="s">
        <v>431</v>
      </c>
      <c r="E241" s="6">
        <v>2300</v>
      </c>
      <c r="F241" s="18">
        <v>114787.09</v>
      </c>
      <c r="G241" s="18">
        <v>49531.08</v>
      </c>
      <c r="H241" s="18">
        <v>6490.91</v>
      </c>
      <c r="I241" s="18">
        <v>6144.93</v>
      </c>
      <c r="J241" s="18"/>
      <c r="K241" s="18">
        <v>7462.91</v>
      </c>
      <c r="L241" s="13">
        <f t="shared" si="4"/>
        <v>184416.91999999998</v>
      </c>
      <c r="M241" s="8"/>
      <c r="N241" s="165"/>
    </row>
    <row r="242" spans="1:14" s="3" customFormat="1" ht="12.2" customHeight="1" x14ac:dyDescent="0.15">
      <c r="A242" s="1" t="s">
        <v>445</v>
      </c>
      <c r="B242" s="2" t="s">
        <v>350</v>
      </c>
      <c r="C242" s="2" t="s">
        <v>297</v>
      </c>
      <c r="D242" s="2" t="s">
        <v>431</v>
      </c>
      <c r="E242" s="6">
        <v>2400</v>
      </c>
      <c r="F242" s="18">
        <v>177361.94</v>
      </c>
      <c r="G242" s="18">
        <v>82782.58</v>
      </c>
      <c r="H242" s="18">
        <v>4698.01</v>
      </c>
      <c r="I242" s="18">
        <v>387.91</v>
      </c>
      <c r="J242" s="18"/>
      <c r="K242" s="18">
        <v>9957.1</v>
      </c>
      <c r="L242" s="13">
        <f t="shared" si="4"/>
        <v>275187.53999999998</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v>182783.34</v>
      </c>
      <c r="G244" s="18">
        <v>31849.59</v>
      </c>
      <c r="H244" s="18">
        <v>80487.360000000001</v>
      </c>
      <c r="I244" s="18">
        <v>158177.25</v>
      </c>
      <c r="J244" s="18">
        <v>762.42</v>
      </c>
      <c r="K244" s="18"/>
      <c r="L244" s="13">
        <f t="shared" si="4"/>
        <v>454059.95999999996</v>
      </c>
      <c r="M244" s="8"/>
      <c r="N244" s="165"/>
    </row>
    <row r="245" spans="1:14" s="3" customFormat="1" ht="12.2" customHeight="1" x14ac:dyDescent="0.15">
      <c r="A245" s="1" t="s">
        <v>448</v>
      </c>
      <c r="B245" s="2" t="s">
        <v>350</v>
      </c>
      <c r="C245" s="2" t="s">
        <v>300</v>
      </c>
      <c r="D245" s="2" t="s">
        <v>431</v>
      </c>
      <c r="E245" s="6">
        <v>2700</v>
      </c>
      <c r="F245" s="18"/>
      <c r="G245" s="18"/>
      <c r="H245" s="18">
        <v>286306.49</v>
      </c>
      <c r="I245" s="18">
        <v>388.23</v>
      </c>
      <c r="J245" s="18"/>
      <c r="K245" s="18"/>
      <c r="L245" s="13">
        <f t="shared" si="4"/>
        <v>286694.71999999997</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2623748.39</v>
      </c>
      <c r="G248" s="38">
        <f t="shared" si="5"/>
        <v>1316427.79</v>
      </c>
      <c r="H248" s="38">
        <f t="shared" si="5"/>
        <v>898792.28</v>
      </c>
      <c r="I248" s="38">
        <f t="shared" si="5"/>
        <v>301089.74</v>
      </c>
      <c r="J248" s="38">
        <f t="shared" si="5"/>
        <v>63550.63</v>
      </c>
      <c r="K248" s="38">
        <f t="shared" si="5"/>
        <v>38250.639999999999</v>
      </c>
      <c r="L248" s="38">
        <f t="shared" si="5"/>
        <v>5241859.4700000007</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v>40296.769999999997</v>
      </c>
      <c r="G254" s="18">
        <v>2831.67</v>
      </c>
      <c r="H254" s="18">
        <v>2079.15</v>
      </c>
      <c r="I254" s="18">
        <v>2121.5300000000002</v>
      </c>
      <c r="J254" s="18">
        <v>2529.98</v>
      </c>
      <c r="K254" s="18"/>
      <c r="L254" s="13">
        <f t="shared" si="6"/>
        <v>49859.1</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40296.769999999997</v>
      </c>
      <c r="G257" s="38">
        <f t="shared" si="7"/>
        <v>2831.67</v>
      </c>
      <c r="H257" s="38">
        <f t="shared" si="7"/>
        <v>2079.15</v>
      </c>
      <c r="I257" s="38">
        <f t="shared" si="7"/>
        <v>2121.5300000000002</v>
      </c>
      <c r="J257" s="38">
        <f t="shared" si="7"/>
        <v>2529.98</v>
      </c>
      <c r="K257" s="38">
        <f t="shared" si="7"/>
        <v>0</v>
      </c>
      <c r="L257" s="38">
        <f>SUM(F257:K257)</f>
        <v>49859.1</v>
      </c>
      <c r="M257" s="8"/>
      <c r="N257" s="165"/>
    </row>
    <row r="258" spans="1:14" s="3" customFormat="1" ht="12.2" customHeight="1" thickTop="1" x14ac:dyDescent="0.15">
      <c r="A258" s="35" t="s">
        <v>462</v>
      </c>
      <c r="B258" s="37">
        <v>10</v>
      </c>
      <c r="C258" s="37">
        <v>8</v>
      </c>
      <c r="D258" s="36" t="s">
        <v>431</v>
      </c>
      <c r="E258" s="37"/>
      <c r="F258" s="38">
        <f t="shared" ref="F258:L258" si="8">F212+F230+F248+F257</f>
        <v>7856024.6899999995</v>
      </c>
      <c r="G258" s="38">
        <f t="shared" si="8"/>
        <v>4176779.42</v>
      </c>
      <c r="H258" s="38">
        <f t="shared" si="8"/>
        <v>2169521.48</v>
      </c>
      <c r="I258" s="38">
        <f t="shared" si="8"/>
        <v>922276.66</v>
      </c>
      <c r="J258" s="38">
        <f t="shared" si="8"/>
        <v>209572.61000000002</v>
      </c>
      <c r="K258" s="38">
        <f t="shared" si="8"/>
        <v>156776.46</v>
      </c>
      <c r="L258" s="38">
        <f t="shared" si="8"/>
        <v>15490951.32</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100000</v>
      </c>
      <c r="L267" s="13">
        <f t="shared" si="9"/>
        <v>100000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100000</v>
      </c>
      <c r="L271" s="38">
        <f t="shared" si="9"/>
        <v>100000</v>
      </c>
      <c r="M271" s="8"/>
      <c r="N271" s="165"/>
    </row>
    <row r="272" spans="1:14" s="33" customFormat="1" ht="12.2" customHeight="1" thickTop="1" x14ac:dyDescent="0.2">
      <c r="A272" s="40" t="s">
        <v>464</v>
      </c>
      <c r="B272" s="37">
        <v>10</v>
      </c>
      <c r="C272" s="37">
        <v>18</v>
      </c>
      <c r="D272" s="36" t="s">
        <v>431</v>
      </c>
      <c r="E272" s="37"/>
      <c r="F272" s="39">
        <f t="shared" ref="F272:L272" si="11">F258+F271</f>
        <v>7856024.6899999995</v>
      </c>
      <c r="G272" s="39">
        <f t="shared" si="11"/>
        <v>4176779.42</v>
      </c>
      <c r="H272" s="39">
        <f t="shared" si="11"/>
        <v>2169521.48</v>
      </c>
      <c r="I272" s="39">
        <f t="shared" si="11"/>
        <v>922276.66</v>
      </c>
      <c r="J272" s="39">
        <f t="shared" si="11"/>
        <v>209572.61000000002</v>
      </c>
      <c r="K272" s="39">
        <f t="shared" si="11"/>
        <v>256776.46</v>
      </c>
      <c r="L272" s="39">
        <f t="shared" si="11"/>
        <v>15590951.32</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85771.37</v>
      </c>
      <c r="G277" s="18">
        <v>10153.379999999999</v>
      </c>
      <c r="H277" s="18">
        <v>1148.9100000000001</v>
      </c>
      <c r="I277" s="18">
        <v>14677.11</v>
      </c>
      <c r="J277" s="18">
        <v>23766.400000000001</v>
      </c>
      <c r="K277" s="18"/>
      <c r="L277" s="13">
        <f>SUM(F277:K277)</f>
        <v>135517.17000000001</v>
      </c>
      <c r="M277" s="8"/>
      <c r="N277" s="165"/>
    </row>
    <row r="278" spans="1:14" s="3" customFormat="1" ht="12.2" customHeight="1" x14ac:dyDescent="0.15">
      <c r="A278" s="1" t="s">
        <v>439</v>
      </c>
      <c r="B278" s="2" t="s">
        <v>357</v>
      </c>
      <c r="C278" s="2" t="s">
        <v>291</v>
      </c>
      <c r="D278" s="2" t="s">
        <v>431</v>
      </c>
      <c r="E278" s="6">
        <v>1200</v>
      </c>
      <c r="F278" s="18">
        <v>4575.4799999999996</v>
      </c>
      <c r="G278" s="18"/>
      <c r="H278" s="18">
        <v>101997.45</v>
      </c>
      <c r="I278" s="18"/>
      <c r="J278" s="18"/>
      <c r="K278" s="18"/>
      <c r="L278" s="13">
        <f>SUM(F278:K278)</f>
        <v>106572.93</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10907.06</v>
      </c>
      <c r="G282" s="18">
        <v>2374.52</v>
      </c>
      <c r="H282" s="18">
        <v>2499</v>
      </c>
      <c r="I282" s="18">
        <v>422.94</v>
      </c>
      <c r="J282" s="18"/>
      <c r="K282" s="18"/>
      <c r="L282" s="13">
        <f t="shared" ref="L282:L288" si="12">SUM(F282:K282)</f>
        <v>16203.52</v>
      </c>
      <c r="M282" s="8"/>
      <c r="N282" s="165"/>
    </row>
    <row r="283" spans="1:14" s="3" customFormat="1" ht="12.2" customHeight="1" x14ac:dyDescent="0.15">
      <c r="A283" s="1" t="s">
        <v>443</v>
      </c>
      <c r="B283" s="2" t="s">
        <v>357</v>
      </c>
      <c r="C283" s="2" t="s">
        <v>295</v>
      </c>
      <c r="D283" s="2" t="s">
        <v>431</v>
      </c>
      <c r="E283" s="6">
        <v>2200</v>
      </c>
      <c r="F283" s="18">
        <v>2862.19</v>
      </c>
      <c r="G283" s="18">
        <v>315.5</v>
      </c>
      <c r="H283" s="18">
        <v>39969.879999999997</v>
      </c>
      <c r="I283" s="18"/>
      <c r="J283" s="18"/>
      <c r="K283" s="18"/>
      <c r="L283" s="13">
        <f t="shared" si="12"/>
        <v>43147.57</v>
      </c>
      <c r="M283" s="8"/>
      <c r="N283" s="165"/>
    </row>
    <row r="284" spans="1:14" s="3" customFormat="1" ht="12.2" customHeight="1" x14ac:dyDescent="0.15">
      <c r="A284" s="1" t="s">
        <v>444</v>
      </c>
      <c r="B284" s="2" t="s">
        <v>357</v>
      </c>
      <c r="C284" s="2" t="s">
        <v>296</v>
      </c>
      <c r="D284" s="2" t="s">
        <v>431</v>
      </c>
      <c r="E284" s="6">
        <v>2300</v>
      </c>
      <c r="F284" s="18">
        <v>1813</v>
      </c>
      <c r="G284" s="18">
        <v>392.99</v>
      </c>
      <c r="H284" s="18">
        <v>931</v>
      </c>
      <c r="I284" s="18"/>
      <c r="J284" s="18"/>
      <c r="K284" s="18"/>
      <c r="L284" s="13">
        <f t="shared" si="12"/>
        <v>3136.99</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v>8135.24</v>
      </c>
      <c r="I287" s="18"/>
      <c r="J287" s="18"/>
      <c r="K287" s="18"/>
      <c r="L287" s="13">
        <f t="shared" si="12"/>
        <v>8135.24</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105929.09999999999</v>
      </c>
      <c r="G291" s="39">
        <f t="shared" si="13"/>
        <v>13236.39</v>
      </c>
      <c r="H291" s="39">
        <f t="shared" si="13"/>
        <v>154681.47999999998</v>
      </c>
      <c r="I291" s="39">
        <f t="shared" si="13"/>
        <v>15100.050000000001</v>
      </c>
      <c r="J291" s="39">
        <f t="shared" si="13"/>
        <v>23766.400000000001</v>
      </c>
      <c r="K291" s="39">
        <f t="shared" si="13"/>
        <v>0</v>
      </c>
      <c r="L291" s="38">
        <f t="shared" si="13"/>
        <v>312713.42</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57521.85</v>
      </c>
      <c r="G296" s="18">
        <v>4400.42</v>
      </c>
      <c r="H296" s="18">
        <v>515.83000000000004</v>
      </c>
      <c r="I296" s="18">
        <v>3152.72</v>
      </c>
      <c r="J296" s="18">
        <v>10465.6</v>
      </c>
      <c r="K296" s="18"/>
      <c r="L296" s="13">
        <f>SUM(F296:K296)</f>
        <v>76056.42</v>
      </c>
      <c r="M296" s="8"/>
      <c r="N296" s="165"/>
    </row>
    <row r="297" spans="1:14" s="3" customFormat="1" ht="12.2" customHeight="1" x14ac:dyDescent="0.15">
      <c r="A297" s="1" t="s">
        <v>439</v>
      </c>
      <c r="B297" s="2" t="s">
        <v>358</v>
      </c>
      <c r="C297" s="2" t="s">
        <v>291</v>
      </c>
      <c r="D297" s="2" t="s">
        <v>431</v>
      </c>
      <c r="E297" s="6">
        <v>1200</v>
      </c>
      <c r="F297" s="18"/>
      <c r="G297" s="18"/>
      <c r="H297" s="18">
        <v>2790.49</v>
      </c>
      <c r="I297" s="18"/>
      <c r="J297" s="18"/>
      <c r="K297" s="18"/>
      <c r="L297" s="13">
        <f>SUM(F297:K297)</f>
        <v>2790.49</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4897.05</v>
      </c>
      <c r="G301" s="18">
        <v>1066.1099999999999</v>
      </c>
      <c r="H301" s="18">
        <v>1122</v>
      </c>
      <c r="I301" s="18">
        <v>189.89</v>
      </c>
      <c r="J301" s="18"/>
      <c r="K301" s="18"/>
      <c r="L301" s="13">
        <f t="shared" ref="L301:L307" si="14">SUM(F301:K301)</f>
        <v>7275.05</v>
      </c>
      <c r="M301" s="8"/>
      <c r="N301" s="165"/>
    </row>
    <row r="302" spans="1:14" s="3" customFormat="1" ht="12.2" customHeight="1" x14ac:dyDescent="0.15">
      <c r="A302" s="1" t="s">
        <v>443</v>
      </c>
      <c r="B302" s="2" t="s">
        <v>358</v>
      </c>
      <c r="C302" s="2" t="s">
        <v>295</v>
      </c>
      <c r="D302" s="2" t="s">
        <v>431</v>
      </c>
      <c r="E302" s="6">
        <v>2200</v>
      </c>
      <c r="F302" s="18">
        <v>1285.07</v>
      </c>
      <c r="G302" s="18">
        <v>141.66</v>
      </c>
      <c r="H302" s="18">
        <v>17945.66</v>
      </c>
      <c r="I302" s="18"/>
      <c r="J302" s="18"/>
      <c r="K302" s="18"/>
      <c r="L302" s="13">
        <f t="shared" si="14"/>
        <v>19372.39</v>
      </c>
      <c r="M302" s="8"/>
      <c r="N302" s="165"/>
    </row>
    <row r="303" spans="1:14" s="3" customFormat="1" ht="12.2" customHeight="1" x14ac:dyDescent="0.15">
      <c r="A303" s="1" t="s">
        <v>444</v>
      </c>
      <c r="B303" s="2" t="s">
        <v>358</v>
      </c>
      <c r="C303" s="2" t="s">
        <v>296</v>
      </c>
      <c r="D303" s="2" t="s">
        <v>431</v>
      </c>
      <c r="E303" s="6">
        <v>2300</v>
      </c>
      <c r="F303" s="18">
        <v>814</v>
      </c>
      <c r="G303" s="18">
        <v>176.46</v>
      </c>
      <c r="H303" s="18">
        <v>418</v>
      </c>
      <c r="I303" s="18"/>
      <c r="J303" s="18"/>
      <c r="K303" s="18"/>
      <c r="L303" s="13">
        <f t="shared" si="14"/>
        <v>1408.46</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v>3652.56</v>
      </c>
      <c r="I306" s="18"/>
      <c r="J306" s="18"/>
      <c r="K306" s="18"/>
      <c r="L306" s="13">
        <f t="shared" si="14"/>
        <v>3652.56</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64517.97</v>
      </c>
      <c r="G310" s="39">
        <f t="shared" si="15"/>
        <v>5784.65</v>
      </c>
      <c r="H310" s="39">
        <f t="shared" si="15"/>
        <v>26444.54</v>
      </c>
      <c r="I310" s="39">
        <f t="shared" si="15"/>
        <v>3342.6099999999997</v>
      </c>
      <c r="J310" s="39">
        <f t="shared" si="15"/>
        <v>10465.6</v>
      </c>
      <c r="K310" s="39">
        <f t="shared" si="15"/>
        <v>0</v>
      </c>
      <c r="L310" s="38">
        <f t="shared" si="15"/>
        <v>110555.37000000001</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v>679.97</v>
      </c>
      <c r="I315" s="18">
        <v>4155.8599999999997</v>
      </c>
      <c r="J315" s="18">
        <v>85220</v>
      </c>
      <c r="K315" s="18"/>
      <c r="L315" s="13">
        <f>SUM(F315:K315)</f>
        <v>90055.83</v>
      </c>
      <c r="M315" s="8"/>
      <c r="N315" s="165"/>
    </row>
    <row r="316" spans="1:14" s="3" customFormat="1" ht="12.2" customHeight="1" x14ac:dyDescent="0.15">
      <c r="A316" s="1" t="s">
        <v>439</v>
      </c>
      <c r="B316" s="2" t="s">
        <v>359</v>
      </c>
      <c r="C316" s="2" t="s">
        <v>291</v>
      </c>
      <c r="D316" s="2" t="s">
        <v>431</v>
      </c>
      <c r="E316" s="6">
        <v>1200</v>
      </c>
      <c r="F316" s="18"/>
      <c r="G316" s="18"/>
      <c r="H316" s="18">
        <v>11161.98</v>
      </c>
      <c r="I316" s="18"/>
      <c r="J316" s="18"/>
      <c r="K316" s="18"/>
      <c r="L316" s="13">
        <f>SUM(F316:K316)</f>
        <v>11161.98</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6455.19</v>
      </c>
      <c r="G320" s="18">
        <v>1405.33</v>
      </c>
      <c r="H320" s="18">
        <v>1479</v>
      </c>
      <c r="I320" s="18">
        <v>250.31</v>
      </c>
      <c r="J320" s="18"/>
      <c r="K320" s="18"/>
      <c r="L320" s="13">
        <f t="shared" ref="L320:L326" si="16">SUM(F320:K320)</f>
        <v>9589.83</v>
      </c>
      <c r="M320" s="8"/>
      <c r="N320" s="165"/>
    </row>
    <row r="321" spans="1:14" s="3" customFormat="1" ht="12.2" customHeight="1" x14ac:dyDescent="0.15">
      <c r="A321" s="1" t="s">
        <v>443</v>
      </c>
      <c r="B321" s="2" t="s">
        <v>359</v>
      </c>
      <c r="C321" s="2" t="s">
        <v>295</v>
      </c>
      <c r="D321" s="2" t="s">
        <v>431</v>
      </c>
      <c r="E321" s="6">
        <v>2200</v>
      </c>
      <c r="F321" s="18">
        <v>1693.95</v>
      </c>
      <c r="G321" s="18">
        <v>186.73</v>
      </c>
      <c r="H321" s="18">
        <v>23655.64</v>
      </c>
      <c r="I321" s="18"/>
      <c r="J321" s="18"/>
      <c r="K321" s="18"/>
      <c r="L321" s="13">
        <f t="shared" si="16"/>
        <v>25536.32</v>
      </c>
      <c r="M321" s="8"/>
      <c r="N321" s="165"/>
    </row>
    <row r="322" spans="1:14" s="3" customFormat="1" ht="12.2" customHeight="1" x14ac:dyDescent="0.15">
      <c r="A322" s="1" t="s">
        <v>444</v>
      </c>
      <c r="B322" s="2" t="s">
        <v>359</v>
      </c>
      <c r="C322" s="2" t="s">
        <v>296</v>
      </c>
      <c r="D322" s="2" t="s">
        <v>431</v>
      </c>
      <c r="E322" s="6">
        <v>2300</v>
      </c>
      <c r="F322" s="18">
        <v>1073</v>
      </c>
      <c r="G322" s="18">
        <v>232.59</v>
      </c>
      <c r="H322" s="18">
        <v>551</v>
      </c>
      <c r="I322" s="18"/>
      <c r="J322" s="18"/>
      <c r="K322" s="18"/>
      <c r="L322" s="13">
        <f t="shared" si="16"/>
        <v>1856.59</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v>4814.74</v>
      </c>
      <c r="I325" s="18"/>
      <c r="J325" s="18"/>
      <c r="K325" s="18"/>
      <c r="L325" s="13">
        <f t="shared" si="16"/>
        <v>4814.74</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9222.14</v>
      </c>
      <c r="G329" s="39">
        <f t="shared" si="17"/>
        <v>1824.6499999999999</v>
      </c>
      <c r="H329" s="39">
        <f t="shared" si="17"/>
        <v>42342.329999999994</v>
      </c>
      <c r="I329" s="39">
        <f t="shared" si="17"/>
        <v>4406.17</v>
      </c>
      <c r="J329" s="39">
        <f t="shared" si="17"/>
        <v>85220</v>
      </c>
      <c r="K329" s="39">
        <f t="shared" si="17"/>
        <v>0</v>
      </c>
      <c r="L329" s="38">
        <f t="shared" si="17"/>
        <v>143015.28999999998</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179669.21000000002</v>
      </c>
      <c r="G339" s="38">
        <f t="shared" si="20"/>
        <v>20845.690000000002</v>
      </c>
      <c r="H339" s="38">
        <f t="shared" si="20"/>
        <v>223468.34999999998</v>
      </c>
      <c r="I339" s="38">
        <f t="shared" si="20"/>
        <v>22848.83</v>
      </c>
      <c r="J339" s="38">
        <f t="shared" si="20"/>
        <v>119452</v>
      </c>
      <c r="K339" s="38">
        <f t="shared" si="20"/>
        <v>0</v>
      </c>
      <c r="L339" s="38">
        <f t="shared" si="20"/>
        <v>566284.07999999996</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179669.21000000002</v>
      </c>
      <c r="G353" s="38">
        <f>G339</f>
        <v>20845.690000000002</v>
      </c>
      <c r="H353" s="38">
        <f>H339</f>
        <v>223468.34999999998</v>
      </c>
      <c r="I353" s="38">
        <f>I339</f>
        <v>22848.83</v>
      </c>
      <c r="J353" s="38">
        <f>J339</f>
        <v>119452</v>
      </c>
      <c r="K353" s="38">
        <f>K339+K352</f>
        <v>0</v>
      </c>
      <c r="L353" s="38">
        <f>L339+L352</f>
        <v>566284.07999999996</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v>187238.75</v>
      </c>
      <c r="I359" s="18"/>
      <c r="J359" s="18"/>
      <c r="K359" s="18"/>
      <c r="L359" s="13">
        <f>SUM(F359:K359)</f>
        <v>187238.75</v>
      </c>
      <c r="M359" s="8"/>
      <c r="N359" s="165"/>
    </row>
    <row r="360" spans="1:22" s="3" customFormat="1" ht="12.2" customHeight="1" x14ac:dyDescent="0.15">
      <c r="A360" s="1" t="s">
        <v>542</v>
      </c>
      <c r="B360" s="2" t="s">
        <v>366</v>
      </c>
      <c r="C360" s="6">
        <v>2</v>
      </c>
      <c r="D360" s="2" t="s">
        <v>431</v>
      </c>
      <c r="E360" s="6"/>
      <c r="F360" s="18"/>
      <c r="G360" s="18"/>
      <c r="H360" s="18">
        <v>84066.37</v>
      </c>
      <c r="I360" s="18"/>
      <c r="J360" s="18"/>
      <c r="K360" s="18"/>
      <c r="L360" s="13">
        <f>SUM(F360:K360)</f>
        <v>84066.37</v>
      </c>
      <c r="M360" s="8"/>
      <c r="N360" s="165"/>
    </row>
    <row r="361" spans="1:22" s="3" customFormat="1" ht="12.2" customHeight="1" x14ac:dyDescent="0.15">
      <c r="A361" s="3" t="s">
        <v>543</v>
      </c>
      <c r="B361" s="2" t="s">
        <v>366</v>
      </c>
      <c r="C361" s="6">
        <v>3</v>
      </c>
      <c r="D361" s="2" t="s">
        <v>431</v>
      </c>
      <c r="E361" s="6"/>
      <c r="F361" s="18"/>
      <c r="G361" s="18"/>
      <c r="H361" s="18">
        <v>110814.77</v>
      </c>
      <c r="I361" s="18"/>
      <c r="J361" s="18"/>
      <c r="K361" s="18"/>
      <c r="L361" s="13">
        <f>SUM(F361:K361)</f>
        <v>110814.77</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382119.89</v>
      </c>
      <c r="I363" s="38">
        <f t="shared" si="22"/>
        <v>0</v>
      </c>
      <c r="J363" s="38">
        <f t="shared" si="22"/>
        <v>0</v>
      </c>
      <c r="K363" s="38">
        <f t="shared" si="22"/>
        <v>0</v>
      </c>
      <c r="L363" s="38">
        <f t="shared" si="22"/>
        <v>382119.89</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v>1600757.36</v>
      </c>
      <c r="J396" s="23" t="s">
        <v>288</v>
      </c>
      <c r="K396" s="23" t="s">
        <v>288</v>
      </c>
      <c r="L396" s="13">
        <f t="shared" ref="L396:L401" si="26">SUM(F396:K396)</f>
        <v>1600757.36</v>
      </c>
      <c r="M396" s="8"/>
      <c r="N396" s="165"/>
    </row>
    <row r="397" spans="1:14" s="3" customFormat="1" ht="12.2" customHeight="1" x14ac:dyDescent="0.15">
      <c r="A397" s="62" t="s">
        <v>557</v>
      </c>
      <c r="B397" s="2" t="s">
        <v>381</v>
      </c>
      <c r="C397" s="6">
        <v>9</v>
      </c>
      <c r="D397" s="2" t="s">
        <v>432</v>
      </c>
      <c r="E397" s="6"/>
      <c r="F397" s="18"/>
      <c r="G397" s="18">
        <v>75000</v>
      </c>
      <c r="H397" s="18">
        <v>11985.35</v>
      </c>
      <c r="I397" s="18"/>
      <c r="J397" s="23" t="s">
        <v>288</v>
      </c>
      <c r="K397" s="23" t="s">
        <v>288</v>
      </c>
      <c r="L397" s="13">
        <f t="shared" si="26"/>
        <v>86985.35</v>
      </c>
      <c r="M397" s="8"/>
      <c r="N397" s="165"/>
    </row>
    <row r="398" spans="1:14" s="3" customFormat="1" ht="12.2" customHeight="1" x14ac:dyDescent="0.15">
      <c r="A398" s="62" t="s">
        <v>515</v>
      </c>
      <c r="B398" s="2" t="s">
        <v>381</v>
      </c>
      <c r="C398" s="6">
        <v>10</v>
      </c>
      <c r="D398" s="2" t="s">
        <v>432</v>
      </c>
      <c r="E398" s="6"/>
      <c r="F398" s="18"/>
      <c r="G398" s="18"/>
      <c r="H398" s="18">
        <v>80695.08</v>
      </c>
      <c r="I398" s="18"/>
      <c r="J398" s="23" t="s">
        <v>288</v>
      </c>
      <c r="K398" s="23" t="s">
        <v>288</v>
      </c>
      <c r="L398" s="13">
        <f t="shared" si="26"/>
        <v>80695.08</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v>25000</v>
      </c>
      <c r="H400" s="18">
        <v>600.08000000000004</v>
      </c>
      <c r="I400" s="18"/>
      <c r="J400" s="23" t="s">
        <v>288</v>
      </c>
      <c r="K400" s="23" t="s">
        <v>288</v>
      </c>
      <c r="L400" s="13">
        <f t="shared" si="26"/>
        <v>25600.080000000002</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100000</v>
      </c>
      <c r="H402" s="38">
        <f>SUM(H396:H401)</f>
        <v>93280.510000000009</v>
      </c>
      <c r="I402" s="38">
        <f>SUM(I396:I401)</f>
        <v>1600757.36</v>
      </c>
      <c r="J402" s="42" t="s">
        <v>288</v>
      </c>
      <c r="K402" s="42" t="s">
        <v>288</v>
      </c>
      <c r="L402" s="38">
        <f>SUM(L396:L401)</f>
        <v>1794037.8700000003</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100000</v>
      </c>
      <c r="H409" s="38">
        <f>H394+H402+H408</f>
        <v>93280.510000000009</v>
      </c>
      <c r="I409" s="38">
        <f>I394+I402+I408</f>
        <v>1600757.36</v>
      </c>
      <c r="J409" s="23" t="s">
        <v>288</v>
      </c>
      <c r="K409" s="23" t="s">
        <v>288</v>
      </c>
      <c r="L409" s="38">
        <f>L394+L402+L408</f>
        <v>1794037.8700000003</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v>874301.23</v>
      </c>
      <c r="J422" s="18"/>
      <c r="K422" s="18"/>
      <c r="L422" s="13">
        <f t="shared" ref="L422:L427" si="29">SUM(F422:K422)</f>
        <v>874301.23</v>
      </c>
      <c r="M422" s="8"/>
      <c r="N422" s="165"/>
    </row>
    <row r="423" spans="1:21" s="3" customFormat="1" ht="12.2" customHeight="1" x14ac:dyDescent="0.15">
      <c r="A423" s="62" t="s">
        <v>557</v>
      </c>
      <c r="B423" s="6">
        <v>17</v>
      </c>
      <c r="C423" s="6">
        <v>9</v>
      </c>
      <c r="D423" s="2" t="s">
        <v>432</v>
      </c>
      <c r="E423" s="6"/>
      <c r="F423" s="18"/>
      <c r="G423" s="18"/>
      <c r="H423" s="18"/>
      <c r="I423" s="18">
        <v>403850.18</v>
      </c>
      <c r="J423" s="18"/>
      <c r="K423" s="18"/>
      <c r="L423" s="13">
        <f t="shared" si="29"/>
        <v>403850.18</v>
      </c>
      <c r="M423" s="8"/>
      <c r="N423" s="165"/>
    </row>
    <row r="424" spans="1:21" s="3" customFormat="1" ht="12.2" customHeight="1" x14ac:dyDescent="0.15">
      <c r="A424" s="62" t="s">
        <v>515</v>
      </c>
      <c r="B424" s="6">
        <v>17</v>
      </c>
      <c r="C424" s="6">
        <v>10</v>
      </c>
      <c r="D424" s="2" t="s">
        <v>432</v>
      </c>
      <c r="E424" s="6"/>
      <c r="F424" s="18"/>
      <c r="G424" s="18"/>
      <c r="H424" s="18"/>
      <c r="I424" s="18">
        <v>466485.84</v>
      </c>
      <c r="J424" s="18"/>
      <c r="K424" s="18"/>
      <c r="L424" s="13">
        <f t="shared" si="29"/>
        <v>466485.84</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v>50352.49</v>
      </c>
      <c r="J426" s="18"/>
      <c r="K426" s="18"/>
      <c r="L426" s="13">
        <f t="shared" si="29"/>
        <v>50352.49</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1794989.74</v>
      </c>
      <c r="J428" s="38">
        <f t="shared" si="30"/>
        <v>0</v>
      </c>
      <c r="K428" s="38">
        <f t="shared" si="30"/>
        <v>0</v>
      </c>
      <c r="L428" s="38">
        <f t="shared" si="30"/>
        <v>1794989.74</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1794989.74</v>
      </c>
      <c r="J435" s="38">
        <f t="shared" si="32"/>
        <v>0</v>
      </c>
      <c r="K435" s="38">
        <f t="shared" si="32"/>
        <v>0</v>
      </c>
      <c r="L435" s="38">
        <f t="shared" si="32"/>
        <v>1794989.74</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v>1545546.98</v>
      </c>
      <c r="H442" s="18"/>
      <c r="I442" s="13">
        <f t="shared" si="33"/>
        <v>1545546.98</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1545546.98</v>
      </c>
      <c r="H447" s="13">
        <f>SUM(H440:H446)</f>
        <v>0</v>
      </c>
      <c r="I447" s="13">
        <f>SUM(I440:I446)</f>
        <v>1545546.98</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1545546.98</v>
      </c>
      <c r="H460" s="18"/>
      <c r="I460" s="13">
        <f t="shared" si="34"/>
        <v>1545546.98</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1545546.98</v>
      </c>
      <c r="H461" s="65">
        <f>SUM(H455:H460)</f>
        <v>0</v>
      </c>
      <c r="I461" s="65">
        <f>SUM(I455:I460)</f>
        <v>1545546.98</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1545546.98</v>
      </c>
      <c r="H462" s="39">
        <f>H453+H461</f>
        <v>0</v>
      </c>
      <c r="I462" s="39">
        <f>I453+I461</f>
        <v>1545546.98</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1493122.11</v>
      </c>
      <c r="G466" s="18">
        <v>58330.7</v>
      </c>
      <c r="H466" s="18">
        <v>80276.31</v>
      </c>
      <c r="I466" s="18"/>
      <c r="J466" s="18">
        <v>1546498.85</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15397219.4</v>
      </c>
      <c r="G469" s="18">
        <v>347785.18</v>
      </c>
      <c r="H469" s="18">
        <v>515886.63</v>
      </c>
      <c r="I469" s="18"/>
      <c r="J469" s="18">
        <v>1794037.87</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15397219.4</v>
      </c>
      <c r="G471" s="19">
        <f>SUM(G469:G470)</f>
        <v>347785.18</v>
      </c>
      <c r="H471" s="19">
        <f>SUM(H469:H470)</f>
        <v>515886.63</v>
      </c>
      <c r="I471" s="19">
        <f>SUM(I469:I470)</f>
        <v>0</v>
      </c>
      <c r="J471" s="19">
        <f>SUM(J469:J470)</f>
        <v>1794037.87</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15590951.32</v>
      </c>
      <c r="G473" s="18">
        <v>382119.89</v>
      </c>
      <c r="H473" s="18">
        <v>566284.07999999996</v>
      </c>
      <c r="I473" s="18"/>
      <c r="J473" s="18">
        <v>1794989.74</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15590951.32</v>
      </c>
      <c r="G475" s="19">
        <f>SUM(G473:G474)</f>
        <v>382119.89</v>
      </c>
      <c r="H475" s="19">
        <f>SUM(H473:H474)</f>
        <v>566284.07999999996</v>
      </c>
      <c r="I475" s="19">
        <f>SUM(I473:I474)</f>
        <v>0</v>
      </c>
      <c r="J475" s="19">
        <f>SUM(J473:J474)</f>
        <v>1794989.74</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1299390.1900000013</v>
      </c>
      <c r="G477" s="19">
        <f>(G466+G471)- G475</f>
        <v>23995.989999999991</v>
      </c>
      <c r="H477" s="19">
        <f>(H466+H471)- H475</f>
        <v>29878.859999999986</v>
      </c>
      <c r="I477" s="19">
        <f>(I466+I471)- I475</f>
        <v>0</v>
      </c>
      <c r="J477" s="19">
        <f>(J466+J471)- J475</f>
        <v>1545546.9800000002</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583703.41</v>
      </c>
      <c r="G522" s="18">
        <v>302917.56</v>
      </c>
      <c r="H522" s="18"/>
      <c r="I522" s="18">
        <v>8623.48</v>
      </c>
      <c r="J522" s="18"/>
      <c r="K522" s="18">
        <v>808.01</v>
      </c>
      <c r="L522" s="69">
        <f>SUM(F522:K522)</f>
        <v>896052.46</v>
      </c>
      <c r="N522" s="131"/>
    </row>
    <row r="523" spans="1:14" ht="12.2" customHeight="1" x14ac:dyDescent="0.2">
      <c r="A523" s="21" t="s">
        <v>634</v>
      </c>
      <c r="B523" s="22">
        <v>21</v>
      </c>
      <c r="C523" s="22">
        <v>2</v>
      </c>
      <c r="D523" s="2" t="s">
        <v>432</v>
      </c>
      <c r="E523" s="22"/>
      <c r="F523" s="18">
        <v>326345.15999999997</v>
      </c>
      <c r="G523" s="18">
        <v>157021.67000000001</v>
      </c>
      <c r="H523" s="18"/>
      <c r="I523" s="18">
        <v>5010.7299999999996</v>
      </c>
      <c r="J523" s="18"/>
      <c r="K523" s="18"/>
      <c r="L523" s="69">
        <f>SUM(F523:K523)</f>
        <v>488377.55999999994</v>
      </c>
      <c r="N523" s="131"/>
    </row>
    <row r="524" spans="1:14" ht="12.2" customHeight="1" thickBot="1" x14ac:dyDescent="0.25">
      <c r="A524" s="21" t="s">
        <v>635</v>
      </c>
      <c r="B524" s="22">
        <v>21</v>
      </c>
      <c r="C524" s="22">
        <v>3</v>
      </c>
      <c r="D524" s="2" t="s">
        <v>432</v>
      </c>
      <c r="E524" s="22"/>
      <c r="F524" s="18">
        <v>474165.37</v>
      </c>
      <c r="G524" s="18">
        <v>189823.32</v>
      </c>
      <c r="H524" s="18"/>
      <c r="I524" s="18">
        <v>25872.89</v>
      </c>
      <c r="J524" s="18">
        <v>1000</v>
      </c>
      <c r="K524" s="18">
        <v>4954.21</v>
      </c>
      <c r="L524" s="69">
        <f>SUM(F524:K524)</f>
        <v>695815.78999999992</v>
      </c>
      <c r="N524" s="131"/>
    </row>
    <row r="525" spans="1:14" ht="12.2" customHeight="1" thickTop="1" x14ac:dyDescent="0.2">
      <c r="A525" s="97" t="s">
        <v>63</v>
      </c>
      <c r="B525" s="41">
        <v>21</v>
      </c>
      <c r="C525" s="41">
        <v>4</v>
      </c>
      <c r="D525" s="115" t="s">
        <v>432</v>
      </c>
      <c r="E525" s="41"/>
      <c r="F525" s="81">
        <f>SUM(F522:F524)</f>
        <v>1384213.94</v>
      </c>
      <c r="G525" s="81">
        <f t="shared" ref="G525:L525" si="36">SUM(G522:G524)</f>
        <v>649762.55000000005</v>
      </c>
      <c r="H525" s="81">
        <f t="shared" si="36"/>
        <v>0</v>
      </c>
      <c r="I525" s="81">
        <f t="shared" si="36"/>
        <v>39507.1</v>
      </c>
      <c r="J525" s="81">
        <f t="shared" si="36"/>
        <v>1000</v>
      </c>
      <c r="K525" s="81">
        <f t="shared" si="36"/>
        <v>5762.22</v>
      </c>
      <c r="L525" s="70">
        <f t="shared" si="36"/>
        <v>2080245.81</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v>494100.75</v>
      </c>
      <c r="I527" s="18"/>
      <c r="J527" s="18"/>
      <c r="K527" s="18"/>
      <c r="L527" s="69">
        <f>SUM(F527:K527)</f>
        <v>494100.75</v>
      </c>
      <c r="M527" s="8"/>
      <c r="N527" s="165"/>
    </row>
    <row r="528" spans="1:14" s="3" customFormat="1" ht="12.2" customHeight="1" x14ac:dyDescent="0.15">
      <c r="A528" s="21" t="s">
        <v>634</v>
      </c>
      <c r="B528" s="22">
        <v>21</v>
      </c>
      <c r="C528" s="22">
        <v>6</v>
      </c>
      <c r="D528" s="2" t="s">
        <v>432</v>
      </c>
      <c r="E528" s="22"/>
      <c r="F528" s="18"/>
      <c r="G528" s="18"/>
      <c r="H528" s="18">
        <v>81428.100000000006</v>
      </c>
      <c r="I528" s="18"/>
      <c r="J528" s="18"/>
      <c r="K528" s="18"/>
      <c r="L528" s="69">
        <f>SUM(F528:K528)</f>
        <v>81428.100000000006</v>
      </c>
      <c r="M528" s="8"/>
      <c r="N528" s="165"/>
    </row>
    <row r="529" spans="1:14" s="3" customFormat="1" ht="12.2" customHeight="1" thickBot="1" x14ac:dyDescent="0.2">
      <c r="A529" s="21" t="s">
        <v>635</v>
      </c>
      <c r="B529" s="22">
        <v>21</v>
      </c>
      <c r="C529" s="22">
        <v>7</v>
      </c>
      <c r="D529" s="2" t="s">
        <v>432</v>
      </c>
      <c r="E529" s="22"/>
      <c r="F529" s="18"/>
      <c r="G529" s="18"/>
      <c r="H529" s="18">
        <v>157016.43</v>
      </c>
      <c r="I529" s="18"/>
      <c r="J529" s="18"/>
      <c r="K529" s="18"/>
      <c r="L529" s="69">
        <f>SUM(F529:K529)</f>
        <v>157016.43</v>
      </c>
      <c r="M529" s="8"/>
      <c r="N529" s="165"/>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732545.28</v>
      </c>
      <c r="I530" s="70">
        <f t="shared" si="37"/>
        <v>0</v>
      </c>
      <c r="J530" s="70">
        <f t="shared" si="37"/>
        <v>0</v>
      </c>
      <c r="K530" s="70">
        <f t="shared" si="37"/>
        <v>0</v>
      </c>
      <c r="L530" s="70">
        <f t="shared" si="37"/>
        <v>732545.28</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70309.45</v>
      </c>
      <c r="G532" s="18">
        <v>43709.68</v>
      </c>
      <c r="H532" s="18"/>
      <c r="I532" s="18"/>
      <c r="J532" s="18"/>
      <c r="K532" s="18"/>
      <c r="L532" s="69">
        <f>SUM(F532:K532)</f>
        <v>114019.13</v>
      </c>
      <c r="M532" s="8"/>
      <c r="N532" s="165"/>
    </row>
    <row r="533" spans="1:14" s="3" customFormat="1" ht="12.2" customHeight="1" x14ac:dyDescent="0.15">
      <c r="A533" s="21" t="s">
        <v>634</v>
      </c>
      <c r="B533" s="22">
        <v>21</v>
      </c>
      <c r="C533" s="22">
        <v>10</v>
      </c>
      <c r="D533" s="2" t="s">
        <v>432</v>
      </c>
      <c r="E533" s="22"/>
      <c r="F533" s="18">
        <v>48465.08</v>
      </c>
      <c r="G533" s="18">
        <v>19624.75</v>
      </c>
      <c r="H533" s="18"/>
      <c r="I533" s="18"/>
      <c r="J533" s="18"/>
      <c r="K533" s="18"/>
      <c r="L533" s="69">
        <f>SUM(F533:K533)</f>
        <v>68089.83</v>
      </c>
      <c r="M533" s="8"/>
      <c r="N533" s="165"/>
    </row>
    <row r="534" spans="1:14" s="3" customFormat="1" ht="12.2" customHeight="1" thickBot="1" x14ac:dyDescent="0.2">
      <c r="A534" s="21" t="s">
        <v>635</v>
      </c>
      <c r="B534" s="22">
        <v>21</v>
      </c>
      <c r="C534" s="22">
        <v>11</v>
      </c>
      <c r="D534" s="2" t="s">
        <v>432</v>
      </c>
      <c r="E534" s="22"/>
      <c r="F534" s="18">
        <v>51606.83</v>
      </c>
      <c r="G534" s="18">
        <v>25868.99</v>
      </c>
      <c r="H534" s="18"/>
      <c r="I534" s="18"/>
      <c r="J534" s="18"/>
      <c r="K534" s="18"/>
      <c r="L534" s="69">
        <f>SUM(F534:K534)</f>
        <v>77475.820000000007</v>
      </c>
      <c r="M534" s="8"/>
      <c r="N534" s="165"/>
    </row>
    <row r="535" spans="1:14" s="3" customFormat="1" ht="12.2" customHeight="1" thickTop="1" x14ac:dyDescent="0.15">
      <c r="A535" s="97" t="s">
        <v>67</v>
      </c>
      <c r="B535" s="41">
        <v>21</v>
      </c>
      <c r="C535" s="41">
        <v>12</v>
      </c>
      <c r="D535" s="115" t="s">
        <v>432</v>
      </c>
      <c r="E535" s="41"/>
      <c r="F535" s="70">
        <f>SUM(F532:F534)</f>
        <v>170381.36</v>
      </c>
      <c r="G535" s="70">
        <f t="shared" ref="G535:L535" si="38">SUM(G532:G534)</f>
        <v>89203.42</v>
      </c>
      <c r="H535" s="70">
        <f t="shared" si="38"/>
        <v>0</v>
      </c>
      <c r="I535" s="70">
        <f t="shared" si="38"/>
        <v>0</v>
      </c>
      <c r="J535" s="70">
        <f t="shared" si="38"/>
        <v>0</v>
      </c>
      <c r="K535" s="70">
        <f t="shared" si="38"/>
        <v>0</v>
      </c>
      <c r="L535" s="70">
        <f t="shared" si="38"/>
        <v>259584.78000000003</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v>4476</v>
      </c>
      <c r="I539" s="18"/>
      <c r="J539" s="18"/>
      <c r="K539" s="18"/>
      <c r="L539" s="69">
        <f>SUM(F539:K539)</f>
        <v>4476</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4476</v>
      </c>
      <c r="I540" s="70">
        <f t="shared" si="39"/>
        <v>0</v>
      </c>
      <c r="J540" s="70">
        <f t="shared" si="39"/>
        <v>0</v>
      </c>
      <c r="K540" s="70">
        <f t="shared" si="39"/>
        <v>0</v>
      </c>
      <c r="L540" s="70">
        <f t="shared" si="39"/>
        <v>4476</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47554.34</v>
      </c>
      <c r="I542" s="18"/>
      <c r="J542" s="18"/>
      <c r="K542" s="18"/>
      <c r="L542" s="69">
        <f>SUM(F542:K542)</f>
        <v>47554.34</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v>17372.05</v>
      </c>
      <c r="I544" s="18"/>
      <c r="J544" s="18"/>
      <c r="K544" s="18"/>
      <c r="L544" s="69">
        <f>SUM(F544:K544)</f>
        <v>17372.05</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64926.39</v>
      </c>
      <c r="I545" s="141">
        <f t="shared" si="40"/>
        <v>0</v>
      </c>
      <c r="J545" s="141">
        <f t="shared" si="40"/>
        <v>0</v>
      </c>
      <c r="K545" s="141">
        <f t="shared" si="40"/>
        <v>0</v>
      </c>
      <c r="L545" s="141">
        <f t="shared" si="40"/>
        <v>64926.39</v>
      </c>
      <c r="M545" s="8"/>
      <c r="N545" s="165"/>
    </row>
    <row r="546" spans="1:14" s="3" customFormat="1" ht="12.2" customHeight="1" thickTop="1" x14ac:dyDescent="0.15">
      <c r="A546" s="75" t="s">
        <v>72</v>
      </c>
      <c r="B546" s="41">
        <v>21</v>
      </c>
      <c r="C546" s="41">
        <v>21</v>
      </c>
      <c r="D546" s="115" t="s">
        <v>432</v>
      </c>
      <c r="E546" s="41"/>
      <c r="F546" s="70">
        <f>F525+F530+F535+F540+F545</f>
        <v>1554595.2999999998</v>
      </c>
      <c r="G546" s="70">
        <f t="shared" ref="G546:L546" si="41">G525+G530+G535+G540+G545</f>
        <v>738965.97000000009</v>
      </c>
      <c r="H546" s="70">
        <f t="shared" si="41"/>
        <v>801947.67</v>
      </c>
      <c r="I546" s="70">
        <f t="shared" si="41"/>
        <v>39507.1</v>
      </c>
      <c r="J546" s="70">
        <f t="shared" si="41"/>
        <v>1000</v>
      </c>
      <c r="K546" s="70">
        <f t="shared" si="41"/>
        <v>5762.22</v>
      </c>
      <c r="L546" s="70">
        <f t="shared" si="41"/>
        <v>3141778.2600000002</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896052.46</v>
      </c>
      <c r="G550" s="69">
        <f>L527</f>
        <v>494100.75</v>
      </c>
      <c r="H550" s="69">
        <f>L532</f>
        <v>114019.13</v>
      </c>
      <c r="I550" s="69">
        <f>L537</f>
        <v>0</v>
      </c>
      <c r="J550" s="69">
        <f>L542</f>
        <v>47554.34</v>
      </c>
      <c r="K550" s="69">
        <f>SUM(F550:J550)</f>
        <v>1551726.68</v>
      </c>
      <c r="L550" s="23" t="s">
        <v>288</v>
      </c>
      <c r="M550" s="8"/>
      <c r="N550" s="165"/>
    </row>
    <row r="551" spans="1:14" s="3" customFormat="1" ht="12.2" customHeight="1" x14ac:dyDescent="0.15">
      <c r="A551" s="21" t="s">
        <v>634</v>
      </c>
      <c r="B551" s="22">
        <v>21</v>
      </c>
      <c r="C551" s="22">
        <v>23</v>
      </c>
      <c r="D551" s="2" t="s">
        <v>432</v>
      </c>
      <c r="E551" s="22"/>
      <c r="F551" s="69">
        <f>L523</f>
        <v>488377.55999999994</v>
      </c>
      <c r="G551" s="69">
        <f>L528</f>
        <v>81428.100000000006</v>
      </c>
      <c r="H551" s="69">
        <f>L533</f>
        <v>68089.83</v>
      </c>
      <c r="I551" s="69">
        <f>L538</f>
        <v>0</v>
      </c>
      <c r="J551" s="69">
        <f>L543</f>
        <v>0</v>
      </c>
      <c r="K551" s="69">
        <f>SUM(F551:J551)</f>
        <v>637895.48999999987</v>
      </c>
      <c r="L551" s="23" t="s">
        <v>288</v>
      </c>
      <c r="M551" s="8"/>
      <c r="N551" s="165"/>
    </row>
    <row r="552" spans="1:14" s="3" customFormat="1" ht="12.2" customHeight="1" thickBot="1" x14ac:dyDescent="0.2">
      <c r="A552" s="21" t="s">
        <v>635</v>
      </c>
      <c r="B552" s="22">
        <v>21</v>
      </c>
      <c r="C552" s="22">
        <v>24</v>
      </c>
      <c r="D552" s="2" t="s">
        <v>432</v>
      </c>
      <c r="E552" s="22"/>
      <c r="F552" s="69">
        <f>L524</f>
        <v>695815.78999999992</v>
      </c>
      <c r="G552" s="69">
        <f>L529</f>
        <v>157016.43</v>
      </c>
      <c r="H552" s="69">
        <f>L534</f>
        <v>77475.820000000007</v>
      </c>
      <c r="I552" s="69">
        <f>L539</f>
        <v>4476</v>
      </c>
      <c r="J552" s="69">
        <f>L544</f>
        <v>17372.05</v>
      </c>
      <c r="K552" s="69">
        <f>SUM(F552:J552)</f>
        <v>952156.09000000008</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2080245.81</v>
      </c>
      <c r="G553" s="70">
        <f t="shared" si="42"/>
        <v>732545.28</v>
      </c>
      <c r="H553" s="70">
        <f t="shared" si="42"/>
        <v>259584.78000000003</v>
      </c>
      <c r="I553" s="70">
        <f t="shared" si="42"/>
        <v>4476</v>
      </c>
      <c r="J553" s="70">
        <f t="shared" si="42"/>
        <v>64926.39</v>
      </c>
      <c r="K553" s="70">
        <f t="shared" si="42"/>
        <v>3141778.26</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62266.86</v>
      </c>
      <c r="G563" s="18">
        <v>25291.26</v>
      </c>
      <c r="H563" s="18"/>
      <c r="I563" s="18">
        <v>249.88</v>
      </c>
      <c r="J563" s="18"/>
      <c r="K563" s="18"/>
      <c r="L563" s="69">
        <f>SUM(F563:K563)</f>
        <v>87808</v>
      </c>
      <c r="M563" s="8"/>
      <c r="N563" s="165"/>
    </row>
    <row r="564" spans="1:14" s="3" customFormat="1" ht="12.2" customHeight="1" x14ac:dyDescent="0.15">
      <c r="A564" s="21" t="s">
        <v>634</v>
      </c>
      <c r="B564" s="22">
        <v>22</v>
      </c>
      <c r="C564" s="22">
        <v>6</v>
      </c>
      <c r="D564" s="2" t="s">
        <v>432</v>
      </c>
      <c r="E564" s="22"/>
      <c r="F564" s="18">
        <v>43547.8</v>
      </c>
      <c r="G564" s="18">
        <v>22977.63</v>
      </c>
      <c r="H564" s="18">
        <v>2580</v>
      </c>
      <c r="I564" s="18"/>
      <c r="J564" s="18"/>
      <c r="K564" s="18"/>
      <c r="L564" s="69">
        <f>SUM(F564:K564)</f>
        <v>69105.430000000008</v>
      </c>
      <c r="M564" s="8"/>
      <c r="N564" s="165"/>
    </row>
    <row r="565" spans="1:14" s="3" customFormat="1" ht="12.2" customHeight="1" thickBot="1" x14ac:dyDescent="0.2">
      <c r="A565" s="21" t="s">
        <v>635</v>
      </c>
      <c r="B565" s="22">
        <v>22</v>
      </c>
      <c r="C565" s="22">
        <v>7</v>
      </c>
      <c r="D565" s="2" t="s">
        <v>432</v>
      </c>
      <c r="E565" s="22"/>
      <c r="F565" s="18">
        <v>40218.03</v>
      </c>
      <c r="G565" s="18">
        <v>22259.53</v>
      </c>
      <c r="H565" s="18"/>
      <c r="I565" s="18"/>
      <c r="J565" s="18"/>
      <c r="K565" s="18"/>
      <c r="L565" s="69">
        <f>SUM(F565:K565)</f>
        <v>62477.56</v>
      </c>
      <c r="M565" s="8"/>
      <c r="N565" s="165"/>
    </row>
    <row r="566" spans="1:14" s="3" customFormat="1" ht="12.2" customHeight="1" thickTop="1" x14ac:dyDescent="0.15">
      <c r="A566" s="97" t="s">
        <v>65</v>
      </c>
      <c r="B566" s="41">
        <v>22</v>
      </c>
      <c r="C566" s="41">
        <v>8</v>
      </c>
      <c r="D566" s="115" t="s">
        <v>432</v>
      </c>
      <c r="E566" s="41"/>
      <c r="F566" s="70">
        <f t="shared" ref="F566:L566" si="44">SUM(F563:F565)</f>
        <v>146032.69</v>
      </c>
      <c r="G566" s="70">
        <f t="shared" si="44"/>
        <v>70528.42</v>
      </c>
      <c r="H566" s="70">
        <f t="shared" si="44"/>
        <v>2580</v>
      </c>
      <c r="I566" s="70">
        <f t="shared" si="44"/>
        <v>249.88</v>
      </c>
      <c r="J566" s="70">
        <f t="shared" si="44"/>
        <v>0</v>
      </c>
      <c r="K566" s="70">
        <f t="shared" si="44"/>
        <v>0</v>
      </c>
      <c r="L566" s="70">
        <f t="shared" si="44"/>
        <v>219390.99</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146032.69</v>
      </c>
      <c r="G572" s="70">
        <f t="shared" ref="G572:L572" si="46">G561+G566+G571</f>
        <v>70528.42</v>
      </c>
      <c r="H572" s="70">
        <f t="shared" si="46"/>
        <v>2580</v>
      </c>
      <c r="I572" s="70">
        <f t="shared" si="46"/>
        <v>249.88</v>
      </c>
      <c r="J572" s="70">
        <f t="shared" si="46"/>
        <v>0</v>
      </c>
      <c r="K572" s="70">
        <f t="shared" si="46"/>
        <v>0</v>
      </c>
      <c r="L572" s="70">
        <f t="shared" si="46"/>
        <v>219390.99</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v>248684.21</v>
      </c>
      <c r="I583" s="69">
        <f t="shared" si="47"/>
        <v>248684.21</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37735.18</v>
      </c>
      <c r="I585" s="69">
        <f t="shared" si="47"/>
        <v>37735.18</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266401.26</v>
      </c>
      <c r="I592" s="18">
        <v>102657.86</v>
      </c>
      <c r="J592" s="18">
        <v>135321.82</v>
      </c>
      <c r="K592" s="80">
        <f t="shared" ref="K592:K598" si="48">SUM(H592:J592)</f>
        <v>504380.94</v>
      </c>
      <c r="L592" s="23" t="s">
        <v>288</v>
      </c>
      <c r="M592" s="8"/>
      <c r="N592" s="165"/>
    </row>
    <row r="593" spans="1:14" s="3" customFormat="1" ht="12.2" customHeight="1" x14ac:dyDescent="0.15">
      <c r="A593" s="3" t="s">
        <v>638</v>
      </c>
      <c r="B593" s="22">
        <v>23</v>
      </c>
      <c r="C593" s="22">
        <v>2</v>
      </c>
      <c r="D593" s="2" t="s">
        <v>432</v>
      </c>
      <c r="E593" s="22"/>
      <c r="F593" s="78">
        <v>2722</v>
      </c>
      <c r="G593" s="79" t="s">
        <v>97</v>
      </c>
      <c r="H593" s="18">
        <v>47554.239999999998</v>
      </c>
      <c r="I593" s="18"/>
      <c r="J593" s="18">
        <v>17372.05</v>
      </c>
      <c r="K593" s="80">
        <f t="shared" si="48"/>
        <v>64926.289999999994</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v>84761.4</v>
      </c>
      <c r="K594" s="80">
        <f t="shared" si="48"/>
        <v>84761.4</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v>17665.830000000002</v>
      </c>
      <c r="J595" s="18">
        <v>39438.74</v>
      </c>
      <c r="K595" s="80">
        <f t="shared" si="48"/>
        <v>57104.57</v>
      </c>
      <c r="L595" s="23" t="s">
        <v>288</v>
      </c>
      <c r="M595" s="8"/>
      <c r="N595" s="165"/>
    </row>
    <row r="596" spans="1:14" s="3" customFormat="1" ht="12.2" customHeight="1" x14ac:dyDescent="0.15">
      <c r="A596" s="103" t="s">
        <v>652</v>
      </c>
      <c r="B596" s="22">
        <v>23</v>
      </c>
      <c r="C596" s="22">
        <v>5</v>
      </c>
      <c r="D596" s="2" t="s">
        <v>432</v>
      </c>
      <c r="E596" s="22"/>
      <c r="F596" s="78">
        <v>2725</v>
      </c>
      <c r="G596" s="79" t="s">
        <v>97</v>
      </c>
      <c r="H596" s="18">
        <v>4809.3</v>
      </c>
      <c r="I596" s="18">
        <v>4206.0600000000004</v>
      </c>
      <c r="J596" s="18">
        <v>9412.48</v>
      </c>
      <c r="K596" s="80">
        <f t="shared" si="48"/>
        <v>18427.84</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585.58000000000004</v>
      </c>
      <c r="I598" s="18">
        <v>300.57</v>
      </c>
      <c r="J598" s="18">
        <v>388.23</v>
      </c>
      <c r="K598" s="80">
        <f t="shared" si="48"/>
        <v>1274.3800000000001</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319350.38</v>
      </c>
      <c r="I599" s="81">
        <f>SUM(I592:I598)</f>
        <v>124830.32</v>
      </c>
      <c r="J599" s="81">
        <f>SUM(J592:J598)</f>
        <v>286694.71999999997</v>
      </c>
      <c r="K599" s="81">
        <f>SUM(K592:K598)</f>
        <v>730875.41999999993</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101356.4</v>
      </c>
      <c r="I605" s="18">
        <v>77632.59</v>
      </c>
      <c r="J605" s="18">
        <v>150035.62</v>
      </c>
      <c r="K605" s="80">
        <f>SUM(H605:J605)</f>
        <v>329024.61</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101356.4</v>
      </c>
      <c r="I606" s="81">
        <f>SUM(I603:I605)</f>
        <v>77632.59</v>
      </c>
      <c r="J606" s="81">
        <f>SUM(J603:J605)</f>
        <v>150035.62</v>
      </c>
      <c r="K606" s="81">
        <f>SUM(K603:K605)</f>
        <v>329024.61</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74394.41</v>
      </c>
      <c r="G612" s="18"/>
      <c r="H612" s="18"/>
      <c r="I612" s="18"/>
      <c r="J612" s="18"/>
      <c r="K612" s="18"/>
      <c r="L612" s="69">
        <f>SUM(F612:K612)</f>
        <v>74394.41</v>
      </c>
      <c r="M612" s="8"/>
      <c r="N612" s="165"/>
    </row>
    <row r="613" spans="1:14" s="3" customFormat="1" ht="12.2" customHeight="1" x14ac:dyDescent="0.15">
      <c r="A613" s="21" t="s">
        <v>634</v>
      </c>
      <c r="B613" s="22">
        <v>23</v>
      </c>
      <c r="C613" s="22">
        <v>14</v>
      </c>
      <c r="D613" s="2" t="s">
        <v>432</v>
      </c>
      <c r="E613" s="22"/>
      <c r="F613" s="18">
        <v>11487.71</v>
      </c>
      <c r="G613" s="18">
        <v>878.81</v>
      </c>
      <c r="H613" s="18"/>
      <c r="I613" s="18"/>
      <c r="J613" s="18"/>
      <c r="K613" s="18"/>
      <c r="L613" s="69">
        <f>SUM(F613:K613)</f>
        <v>12366.519999999999</v>
      </c>
      <c r="M613" s="8"/>
      <c r="N613" s="165"/>
    </row>
    <row r="614" spans="1:14" s="3" customFormat="1" ht="12.2" customHeight="1" thickBot="1" x14ac:dyDescent="0.2">
      <c r="A614" s="21" t="s">
        <v>645</v>
      </c>
      <c r="B614" s="22">
        <v>23</v>
      </c>
      <c r="C614" s="22">
        <v>15</v>
      </c>
      <c r="D614" s="2" t="s">
        <v>432</v>
      </c>
      <c r="E614" s="22"/>
      <c r="F614" s="18">
        <v>30386.31</v>
      </c>
      <c r="G614" s="18"/>
      <c r="H614" s="18"/>
      <c r="I614" s="18"/>
      <c r="J614" s="18"/>
      <c r="K614" s="18"/>
      <c r="L614" s="69">
        <f>SUM(F614:K614)</f>
        <v>30386.31</v>
      </c>
      <c r="M614" s="8"/>
      <c r="N614" s="165"/>
    </row>
    <row r="615" spans="1:14" s="3" customFormat="1" ht="12.2" customHeight="1" thickTop="1" x14ac:dyDescent="0.15">
      <c r="A615" s="75" t="s">
        <v>340</v>
      </c>
      <c r="B615" s="41">
        <v>23</v>
      </c>
      <c r="C615" s="41">
        <v>16</v>
      </c>
      <c r="D615" s="36" t="s">
        <v>432</v>
      </c>
      <c r="E615" s="41"/>
      <c r="F615" s="81">
        <f t="shared" ref="F615:L615" si="49">SUM(F612:F614)</f>
        <v>116268.43</v>
      </c>
      <c r="G615" s="81">
        <f t="shared" si="49"/>
        <v>878.81</v>
      </c>
      <c r="H615" s="81">
        <f t="shared" si="49"/>
        <v>0</v>
      </c>
      <c r="I615" s="81">
        <f t="shared" si="49"/>
        <v>0</v>
      </c>
      <c r="J615" s="81">
        <f t="shared" si="49"/>
        <v>0</v>
      </c>
      <c r="K615" s="81">
        <f t="shared" si="49"/>
        <v>0</v>
      </c>
      <c r="L615" s="70">
        <f t="shared" si="49"/>
        <v>117147.24</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1970703.38</v>
      </c>
      <c r="H618" s="80">
        <f>SUM(F52)</f>
        <v>1970703.38</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23995.99</v>
      </c>
      <c r="H619" s="80">
        <f>SUM(G52)</f>
        <v>23995.99</v>
      </c>
      <c r="I619" s="87" t="s">
        <v>875</v>
      </c>
      <c r="J619" s="80">
        <f>G619-H619</f>
        <v>0</v>
      </c>
      <c r="K619" s="80"/>
      <c r="L619" s="80"/>
      <c r="M619" s="8"/>
    </row>
    <row r="620" spans="1:14" s="3" customFormat="1" ht="12.2" customHeight="1" x14ac:dyDescent="0.15">
      <c r="A620" s="74"/>
      <c r="B620" s="22"/>
      <c r="C620" s="22"/>
      <c r="D620" s="22"/>
      <c r="E620" s="22"/>
      <c r="F620" s="87" t="s">
        <v>685</v>
      </c>
      <c r="G620" s="80">
        <f>SUM(H19)</f>
        <v>29878.86</v>
      </c>
      <c r="H620" s="80">
        <f>SUM(H52)</f>
        <v>29878.86</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1545546.98</v>
      </c>
      <c r="H622" s="80">
        <f>SUM(J52)</f>
        <v>1545546.98</v>
      </c>
      <c r="I622" s="87" t="s">
        <v>878</v>
      </c>
      <c r="J622" s="80">
        <f>G622-H622</f>
        <v>0</v>
      </c>
      <c r="K622" s="80"/>
      <c r="L622" s="80"/>
      <c r="M622" s="8"/>
    </row>
    <row r="623" spans="1:14" s="3" customFormat="1" ht="12.2" customHeight="1" x14ac:dyDescent="0.15">
      <c r="A623" s="74"/>
      <c r="B623" s="22"/>
      <c r="C623" s="22"/>
      <c r="D623" s="22"/>
      <c r="E623" s="22"/>
      <c r="F623" s="87" t="s">
        <v>864</v>
      </c>
      <c r="G623" s="80">
        <f>F51</f>
        <v>1299390.19</v>
      </c>
      <c r="H623" s="80">
        <f>F477</f>
        <v>1299390.1900000013</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23995.99</v>
      </c>
      <c r="H624" s="80">
        <f>G477</f>
        <v>23995.989999999991</v>
      </c>
      <c r="I624" s="87" t="s">
        <v>102</v>
      </c>
      <c r="J624" s="80">
        <f t="shared" si="50"/>
        <v>0</v>
      </c>
      <c r="K624" s="80"/>
      <c r="L624" s="80"/>
      <c r="M624" s="8"/>
    </row>
    <row r="625" spans="1:13" s="3" customFormat="1" ht="12.2" customHeight="1" x14ac:dyDescent="0.15">
      <c r="A625" s="74"/>
      <c r="B625" s="22"/>
      <c r="C625" s="22"/>
      <c r="D625" s="22"/>
      <c r="E625" s="22"/>
      <c r="F625" s="86" t="s">
        <v>866</v>
      </c>
      <c r="G625" s="80">
        <f>H51</f>
        <v>29878.86</v>
      </c>
      <c r="H625" s="80">
        <f>H477</f>
        <v>29878.859999999986</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1545546.98</v>
      </c>
      <c r="H627" s="80">
        <f>J477</f>
        <v>1545546.9800000002</v>
      </c>
      <c r="I627" s="87" t="s">
        <v>105</v>
      </c>
      <c r="J627" s="80">
        <f t="shared" si="50"/>
        <v>0</v>
      </c>
      <c r="K627" s="67"/>
      <c r="L627" s="69"/>
      <c r="M627" s="8"/>
    </row>
    <row r="628" spans="1:13" s="3" customFormat="1" ht="12.2" customHeight="1" x14ac:dyDescent="0.15">
      <c r="A628" s="21"/>
      <c r="B628" s="22"/>
      <c r="C628" s="22"/>
      <c r="D628" s="22"/>
      <c r="E628" s="22"/>
      <c r="F628" s="86" t="s">
        <v>658</v>
      </c>
      <c r="G628" s="80">
        <f>F194</f>
        <v>15397219.4</v>
      </c>
      <c r="H628" s="80">
        <f>SUM(F469)</f>
        <v>15397219.4</v>
      </c>
      <c r="I628" s="87" t="s">
        <v>106</v>
      </c>
      <c r="J628" s="80">
        <f>G628-H628</f>
        <v>0</v>
      </c>
      <c r="K628" s="67"/>
      <c r="L628" s="69"/>
      <c r="M628" s="8"/>
    </row>
    <row r="629" spans="1:13" s="3" customFormat="1" ht="12.2" customHeight="1" x14ac:dyDescent="0.15">
      <c r="A629" s="21"/>
      <c r="B629" s="22"/>
      <c r="C629" s="22"/>
      <c r="D629" s="22"/>
      <c r="E629" s="22"/>
      <c r="F629" s="86" t="s">
        <v>659</v>
      </c>
      <c r="G629" s="80">
        <f>G194</f>
        <v>347785.18</v>
      </c>
      <c r="H629" s="80">
        <f>SUM(G469)</f>
        <v>347785.18</v>
      </c>
      <c r="I629" s="87" t="s">
        <v>107</v>
      </c>
      <c r="J629" s="80">
        <f>G629-H629</f>
        <v>0</v>
      </c>
      <c r="K629" s="67"/>
      <c r="L629" s="69"/>
      <c r="M629" s="8"/>
    </row>
    <row r="630" spans="1:13" s="3" customFormat="1" ht="12.2" customHeight="1" x14ac:dyDescent="0.15">
      <c r="A630" s="21"/>
      <c r="B630" s="22"/>
      <c r="C630" s="22"/>
      <c r="D630" s="22"/>
      <c r="E630" s="22"/>
      <c r="F630" s="86" t="s">
        <v>660</v>
      </c>
      <c r="G630" s="80">
        <f>H194</f>
        <v>515886.63</v>
      </c>
      <c r="H630" s="80">
        <f>SUM(H469)</f>
        <v>515886.63</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1794037.87</v>
      </c>
      <c r="H632" s="80">
        <f>SUM(J469)</f>
        <v>1794037.87</v>
      </c>
      <c r="I632" s="87" t="s">
        <v>110</v>
      </c>
      <c r="J632" s="80">
        <f>G632-H632</f>
        <v>0</v>
      </c>
      <c r="K632" s="67"/>
      <c r="L632" s="69"/>
      <c r="M632" s="8"/>
    </row>
    <row r="633" spans="1:13" s="3" customFormat="1" ht="12.2" customHeight="1" x14ac:dyDescent="0.15">
      <c r="A633" s="21"/>
      <c r="B633" s="22"/>
      <c r="C633" s="22"/>
      <c r="D633" s="22"/>
      <c r="E633" s="22"/>
      <c r="F633" s="86" t="s">
        <v>394</v>
      </c>
      <c r="G633" s="80">
        <f>SUM(L272)</f>
        <v>15590951.32</v>
      </c>
      <c r="H633" s="80">
        <f>SUM(F473)</f>
        <v>15590951.32</v>
      </c>
      <c r="I633" s="87" t="s">
        <v>111</v>
      </c>
      <c r="J633" s="80">
        <f t="shared" si="50"/>
        <v>0</v>
      </c>
      <c r="K633" s="67"/>
      <c r="L633" s="69"/>
      <c r="M633" s="8"/>
    </row>
    <row r="634" spans="1:13" s="3" customFormat="1" ht="12.2" customHeight="1" x14ac:dyDescent="0.15">
      <c r="A634" s="21"/>
      <c r="B634" s="22"/>
      <c r="C634" s="22"/>
      <c r="D634" s="22"/>
      <c r="E634" s="22"/>
      <c r="F634" s="86" t="s">
        <v>395</v>
      </c>
      <c r="G634" s="80">
        <f>SUM(L353)</f>
        <v>566284.07999999996</v>
      </c>
      <c r="H634" s="80">
        <f>SUM(H473)</f>
        <v>566284.07999999996</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382119.89</v>
      </c>
      <c r="H636" s="80">
        <f>SUM(G473)</f>
        <v>382119.89</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1794037.8700000003</v>
      </c>
      <c r="H638" s="108">
        <f>SUM(J469)</f>
        <v>1794037.87</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1794989.74</v>
      </c>
      <c r="H639" s="108">
        <f>SUM(J473)</f>
        <v>1794989.74</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1545546.98</v>
      </c>
      <c r="H641" s="80">
        <f>SUM(G462)</f>
        <v>1545546.98</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1545546.98</v>
      </c>
      <c r="H643" s="80">
        <f>SUM(I462)</f>
        <v>1545546.98</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93280.51</v>
      </c>
      <c r="H645" s="80">
        <f>H409</f>
        <v>93280.510000000009</v>
      </c>
      <c r="I645" s="87" t="s">
        <v>480</v>
      </c>
      <c r="J645" s="80">
        <f t="shared" si="50"/>
        <v>0</v>
      </c>
      <c r="K645" s="67"/>
      <c r="L645" s="69"/>
      <c r="M645" s="8"/>
    </row>
    <row r="646" spans="1:13" s="3" customFormat="1" ht="12.2" customHeight="1" x14ac:dyDescent="0.15">
      <c r="A646" s="21"/>
      <c r="B646" s="22"/>
      <c r="C646" s="22"/>
      <c r="D646" s="22"/>
      <c r="E646" s="22"/>
      <c r="F646" s="86" t="s">
        <v>664</v>
      </c>
      <c r="G646" s="80">
        <f>J184</f>
        <v>100000</v>
      </c>
      <c r="H646" s="80">
        <f>G409</f>
        <v>100000</v>
      </c>
      <c r="I646" s="87" t="s">
        <v>481</v>
      </c>
      <c r="J646" s="80">
        <f t="shared" si="50"/>
        <v>0</v>
      </c>
      <c r="K646" s="67"/>
      <c r="L646" s="69"/>
      <c r="M646" s="8"/>
    </row>
    <row r="647" spans="1:13" s="3" customFormat="1" ht="12.2" customHeight="1" x14ac:dyDescent="0.15">
      <c r="A647" s="21"/>
      <c r="B647" s="22"/>
      <c r="C647" s="22"/>
      <c r="D647" s="22"/>
      <c r="E647" s="22"/>
      <c r="F647" s="86" t="s">
        <v>662</v>
      </c>
      <c r="G647" s="80">
        <f>J194</f>
        <v>1794037.87</v>
      </c>
      <c r="H647" s="80">
        <f>L409</f>
        <v>1794037.8700000003</v>
      </c>
      <c r="I647" s="87" t="s">
        <v>477</v>
      </c>
      <c r="J647" s="80">
        <f t="shared" si="50"/>
        <v>0</v>
      </c>
      <c r="K647" s="67"/>
      <c r="L647" s="69"/>
      <c r="M647" s="8"/>
    </row>
    <row r="648" spans="1:13" s="3" customFormat="1" ht="12.2" customHeight="1" x14ac:dyDescent="0.15">
      <c r="A648" s="21"/>
      <c r="B648" s="22"/>
      <c r="C648" s="22"/>
      <c r="D648" s="22"/>
      <c r="E648" s="22"/>
      <c r="F648" s="86" t="s">
        <v>51</v>
      </c>
      <c r="G648" s="80">
        <f>K599</f>
        <v>730875.41999999993</v>
      </c>
      <c r="H648" s="80">
        <f>L209+L227+L245</f>
        <v>730875.41999999993</v>
      </c>
      <c r="I648" s="87" t="s">
        <v>396</v>
      </c>
      <c r="J648" s="80">
        <f t="shared" si="50"/>
        <v>0</v>
      </c>
      <c r="K648" s="67"/>
      <c r="L648" s="69"/>
      <c r="M648" s="8"/>
    </row>
    <row r="649" spans="1:13" s="3" customFormat="1" ht="12.2" customHeight="1" x14ac:dyDescent="0.15">
      <c r="A649" s="21"/>
      <c r="B649" s="22"/>
      <c r="C649" s="22"/>
      <c r="D649" s="22"/>
      <c r="E649" s="22"/>
      <c r="F649" s="86" t="s">
        <v>52</v>
      </c>
      <c r="G649" s="80">
        <f>K606</f>
        <v>329024.61</v>
      </c>
      <c r="H649" s="80">
        <f>(J258+J339)-(J256+J337)</f>
        <v>329024.61</v>
      </c>
      <c r="I649" s="87" t="s">
        <v>699</v>
      </c>
      <c r="J649" s="80">
        <f t="shared" si="50"/>
        <v>0</v>
      </c>
      <c r="K649" s="67"/>
      <c r="L649" s="69"/>
      <c r="M649" s="8"/>
    </row>
    <row r="650" spans="1:13" s="3" customFormat="1" ht="12.2" customHeight="1" x14ac:dyDescent="0.15">
      <c r="A650" s="21"/>
      <c r="B650" s="22"/>
      <c r="C650" s="22"/>
      <c r="D650" s="22"/>
      <c r="E650" s="22"/>
      <c r="F650" s="86" t="s">
        <v>387</v>
      </c>
      <c r="G650" s="80">
        <f>L209</f>
        <v>319350.38</v>
      </c>
      <c r="H650" s="80">
        <f>H599</f>
        <v>319350.38</v>
      </c>
      <c r="I650" s="87" t="s">
        <v>388</v>
      </c>
      <c r="J650" s="80">
        <f t="shared" si="50"/>
        <v>0</v>
      </c>
      <c r="K650" s="67"/>
      <c r="L650" s="69"/>
      <c r="M650" s="8"/>
    </row>
    <row r="651" spans="1:13" s="3" customFormat="1" ht="12.2" customHeight="1" x14ac:dyDescent="0.15">
      <c r="A651" s="21"/>
      <c r="B651" s="22"/>
      <c r="C651" s="22"/>
      <c r="D651" s="22"/>
      <c r="E651" s="22"/>
      <c r="F651" s="86" t="s">
        <v>392</v>
      </c>
      <c r="G651" s="80">
        <f>L227</f>
        <v>124830.32</v>
      </c>
      <c r="H651" s="80">
        <f>I599</f>
        <v>124830.32</v>
      </c>
      <c r="I651" s="87" t="s">
        <v>389</v>
      </c>
      <c r="J651" s="80">
        <f t="shared" si="50"/>
        <v>0</v>
      </c>
      <c r="K651" s="67"/>
      <c r="L651" s="69"/>
      <c r="M651" s="8"/>
    </row>
    <row r="652" spans="1:13" s="3" customFormat="1" ht="12.2" customHeight="1" x14ac:dyDescent="0.15">
      <c r="A652" s="21"/>
      <c r="B652" s="22"/>
      <c r="C652" s="22"/>
      <c r="D652" s="22"/>
      <c r="E652" s="22"/>
      <c r="F652" s="86" t="s">
        <v>393</v>
      </c>
      <c r="G652" s="80">
        <f>L245</f>
        <v>286694.71999999997</v>
      </c>
      <c r="H652" s="80">
        <f>J599</f>
        <v>286694.71999999997</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100000</v>
      </c>
      <c r="H656" s="80">
        <f>K267+K348</f>
        <v>100000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7136019.3300000001</v>
      </c>
      <c r="G661" s="13">
        <f>(L230+L310+L360)</f>
        <v>3757787.3299999996</v>
      </c>
      <c r="H661" s="13">
        <f>(L248+L329+L361)</f>
        <v>5495689.5300000003</v>
      </c>
      <c r="I661" s="13">
        <f>SUM(F661:H661)</f>
        <v>16389496.190000001</v>
      </c>
      <c r="J661" s="13"/>
      <c r="K661" s="13"/>
      <c r="L661" s="13"/>
      <c r="M661" s="9"/>
    </row>
    <row r="662" spans="1:13" s="3" customFormat="1" ht="12.2" customHeight="1" x14ac:dyDescent="0.2">
      <c r="A662" s="1" t="s">
        <v>127</v>
      </c>
      <c r="F662" s="13">
        <f>(L359/IF(SUM(L359:L361)=0,1,SUM(L359:L361))*(SUM(G97:G110)))</f>
        <v>99426.84777096397</v>
      </c>
      <c r="G662" s="13">
        <f>(L360/IF(SUM(L359:L361)=0,1,SUM(L359:L361))*(SUM(G97:G110)))</f>
        <v>44640.621520104847</v>
      </c>
      <c r="H662" s="13">
        <f>(L361/IF(SUM(L359:L361)=0,1,SUM(L359:L361))*(SUM(G97:G110)))</f>
        <v>58844.460708931168</v>
      </c>
      <c r="I662" s="13">
        <f>SUM(F662:H662)</f>
        <v>202911.93</v>
      </c>
      <c r="J662"/>
      <c r="K662" s="13"/>
      <c r="L662" s="13"/>
      <c r="M662" s="8"/>
    </row>
    <row r="663" spans="1:13" s="3" customFormat="1" ht="12.2" customHeight="1" x14ac:dyDescent="0.2">
      <c r="A663" s="1" t="s">
        <v>128</v>
      </c>
      <c r="F663" s="13">
        <f>(L209+L288)-(J209+J288)</f>
        <v>319350.38</v>
      </c>
      <c r="G663" s="13">
        <f>(L227+L307)-(J227+J307)</f>
        <v>124830.32</v>
      </c>
      <c r="H663" s="13">
        <f>(L245+L326)-(J245+J326)</f>
        <v>286694.71999999997</v>
      </c>
      <c r="I663" s="13">
        <f>SUM(F663:H663)</f>
        <v>730875.41999999993</v>
      </c>
      <c r="J663"/>
      <c r="K663" s="13"/>
      <c r="L663" s="13"/>
      <c r="M663" s="9"/>
    </row>
    <row r="664" spans="1:13" s="3" customFormat="1" ht="12.2" customHeight="1" x14ac:dyDescent="0.15">
      <c r="A664" s="142" t="s">
        <v>129</v>
      </c>
      <c r="B664" s="124"/>
      <c r="C664" s="124"/>
      <c r="D664" s="124"/>
      <c r="E664" s="124"/>
      <c r="F664" s="143">
        <f>SUM(F576:F588)+SUM(H603:H605)+SUM(L612)</f>
        <v>175750.81</v>
      </c>
      <c r="G664" s="143">
        <f>SUM(G576:G588)+SUM(I603:I605)+L613</f>
        <v>89999.11</v>
      </c>
      <c r="H664" s="143">
        <f>SUM(H576:H588)+SUM(J603:J605)+L614</f>
        <v>466841.32</v>
      </c>
      <c r="I664" s="13">
        <f>SUM(F664:H664)</f>
        <v>732591.24</v>
      </c>
      <c r="J664" s="13"/>
      <c r="K664" s="13"/>
      <c r="L664" s="13"/>
      <c r="M664" s="9"/>
    </row>
    <row r="665" spans="1:13" s="3" customFormat="1" ht="12.2" customHeight="1" x14ac:dyDescent="0.15">
      <c r="A665" s="1" t="s">
        <v>130</v>
      </c>
      <c r="F665" s="13">
        <f>F661-SUM(F662:F664)</f>
        <v>6541491.2922290359</v>
      </c>
      <c r="G665" s="13">
        <f>G661-SUM(G662:G664)</f>
        <v>3498317.2784798946</v>
      </c>
      <c r="H665" s="13">
        <f>H661-SUM(H662:H664)</f>
        <v>4683309.0292910691</v>
      </c>
      <c r="I665" s="13">
        <f>I661-SUM(I662:I664)</f>
        <v>14723117.600000001</v>
      </c>
      <c r="J665" s="13"/>
      <c r="K665" s="13"/>
      <c r="L665" s="13"/>
      <c r="M665" s="8"/>
    </row>
    <row r="666" spans="1:13" s="3" customFormat="1" ht="12.2" customHeight="1" x14ac:dyDescent="0.2">
      <c r="A666" s="1" t="s">
        <v>131</v>
      </c>
      <c r="F666" s="183">
        <v>213.24</v>
      </c>
      <c r="G666" s="184">
        <v>98.58</v>
      </c>
      <c r="H666" s="184">
        <v>138.9</v>
      </c>
      <c r="I666" s="13">
        <f>SUM(F666:H666)</f>
        <v>450.72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30676.66</v>
      </c>
      <c r="G668" s="13">
        <f>ROUND(G665/G666,2)</f>
        <v>35487.089999999997</v>
      </c>
      <c r="H668" s="13">
        <f>ROUND(H665/H666,2)</f>
        <v>33717.129999999997</v>
      </c>
      <c r="I668" s="13">
        <f>ROUND(I665/I666,2)</f>
        <v>32665.77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-2.94</v>
      </c>
      <c r="I671" s="13">
        <f>SUM(F671:H671)</f>
        <v>-2.94</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30676.66</v>
      </c>
      <c r="G673" s="13">
        <f>ROUND((G665+G670)/(G666+G671),2)</f>
        <v>35487.089999999997</v>
      </c>
      <c r="H673" s="13">
        <f>ROUND((H665+H670)/(H666+H671),2)</f>
        <v>34446.230000000003</v>
      </c>
      <c r="I673" s="13">
        <f>ROUND((I665+I670)/(I666+I671),2)</f>
        <v>32880.25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8" sqref="C28"/>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65319.23</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39466.67</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16047.86</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v>9804.7000000000007</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Moultonborough</v>
      </c>
      <c r="C5" s="317"/>
      <c r="D5" s="317"/>
      <c r="E5" s="317"/>
      <c r="F5" s="317"/>
    </row>
    <row r="8" spans="1:9" ht="18" x14ac:dyDescent="0.25">
      <c r="A8" s="240" t="s">
        <v>1560</v>
      </c>
      <c r="F8" s="247" t="s">
        <v>1578</v>
      </c>
    </row>
    <row r="9" spans="1:9" ht="15" x14ac:dyDescent="0.2">
      <c r="A9" s="238" t="s">
        <v>1561</v>
      </c>
      <c r="B9" s="241">
        <f>'DOE25'!G97</f>
        <v>202911.93</v>
      </c>
      <c r="F9" s="238" t="s">
        <v>1574</v>
      </c>
    </row>
    <row r="10" spans="1:9" ht="15" x14ac:dyDescent="0.2">
      <c r="A10" s="238" t="s">
        <v>1562</v>
      </c>
      <c r="B10" s="241">
        <f>'DOE25'!G112-'DOE25'!G97</f>
        <v>0</v>
      </c>
      <c r="F10" s="238" t="s">
        <v>1575</v>
      </c>
    </row>
    <row r="11" spans="1:9" ht="15" x14ac:dyDescent="0.2">
      <c r="A11" s="238" t="s">
        <v>1563</v>
      </c>
      <c r="B11" s="241">
        <f>'DOE25'!G140</f>
        <v>3420.2</v>
      </c>
      <c r="F11" s="238" t="s">
        <v>1576</v>
      </c>
    </row>
    <row r="12" spans="1:9" ht="15" x14ac:dyDescent="0.2">
      <c r="A12" s="238" t="s">
        <v>1564</v>
      </c>
      <c r="B12" s="241">
        <f>'DOE25'!G170</f>
        <v>141453.04999999999</v>
      </c>
      <c r="F12" s="238" t="s">
        <v>1577</v>
      </c>
    </row>
    <row r="13" spans="1:9" ht="15" x14ac:dyDescent="0.2">
      <c r="A13" s="238" t="s">
        <v>1565</v>
      </c>
      <c r="B13" s="241">
        <f>'DOE25'!G193-'DOE25'!G180</f>
        <v>0</v>
      </c>
      <c r="F13" s="238" t="s">
        <v>1587</v>
      </c>
    </row>
    <row r="14" spans="1:9" ht="18" x14ac:dyDescent="0.25">
      <c r="A14" s="240" t="s">
        <v>732</v>
      </c>
      <c r="B14" s="242">
        <f>SUM(B9:B13)</f>
        <v>347785.18</v>
      </c>
    </row>
    <row r="16" spans="1:9" ht="18" x14ac:dyDescent="0.25">
      <c r="A16" s="240" t="s">
        <v>786</v>
      </c>
      <c r="F16" s="247" t="s">
        <v>1579</v>
      </c>
    </row>
    <row r="17" spans="1:6" ht="15" x14ac:dyDescent="0.2">
      <c r="A17" s="238" t="s">
        <v>1566</v>
      </c>
      <c r="B17" s="241">
        <f>'DOE25'!L363-'DOE25'!L362</f>
        <v>382119.89</v>
      </c>
      <c r="F17" s="238" t="s">
        <v>1580</v>
      </c>
    </row>
    <row r="18" spans="1:6" ht="15" x14ac:dyDescent="0.2">
      <c r="A18" s="238" t="s">
        <v>1567</v>
      </c>
      <c r="B18" s="251"/>
      <c r="F18" s="247" t="s">
        <v>1604</v>
      </c>
    </row>
    <row r="19" spans="1:6" ht="18" x14ac:dyDescent="0.25">
      <c r="A19" s="240" t="s">
        <v>725</v>
      </c>
      <c r="B19" s="242">
        <f>SUM(B17:B18)</f>
        <v>382119.89</v>
      </c>
    </row>
    <row r="21" spans="1:6" ht="18.75" thickBot="1" x14ac:dyDescent="0.3">
      <c r="A21" s="240" t="s">
        <v>1568</v>
      </c>
    </row>
    <row r="22" spans="1:6" ht="18.75" thickTop="1" x14ac:dyDescent="0.25">
      <c r="A22" s="240" t="s">
        <v>1569</v>
      </c>
      <c r="B22" s="246">
        <f>B14-B19</f>
        <v>-34334.710000000021</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58330.7</v>
      </c>
      <c r="F31" s="238" t="s">
        <v>1584</v>
      </c>
    </row>
    <row r="33" spans="1:6" ht="15" x14ac:dyDescent="0.2">
      <c r="A33" s="238" t="s">
        <v>1798</v>
      </c>
      <c r="B33" s="241">
        <f>'DOE25'!G477</f>
        <v>23995.989999999991</v>
      </c>
      <c r="F33" s="238" t="s">
        <v>1585</v>
      </c>
    </row>
    <row r="36" spans="1:6" ht="15" x14ac:dyDescent="0.2">
      <c r="A36" s="238" t="s">
        <v>1571</v>
      </c>
      <c r="B36" s="252">
        <v>17004.759999999998</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E14" sqref="E14"/>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Moultonborough</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3422307.7500000005</v>
      </c>
      <c r="C9" s="167">
        <f>'DOE25'!G198+'DOE25'!G216+'DOE25'!G234+'DOE25'!G277+'DOE25'!G296+'DOE25'!G315</f>
        <v>2199223.36</v>
      </c>
    </row>
    <row r="10" spans="1:3" x14ac:dyDescent="0.2">
      <c r="A10" t="s">
        <v>775</v>
      </c>
      <c r="B10" s="177">
        <v>3045411.54</v>
      </c>
      <c r="C10" s="177">
        <v>2081752.1</v>
      </c>
    </row>
    <row r="11" spans="1:3" x14ac:dyDescent="0.2">
      <c r="A11" t="s">
        <v>776</v>
      </c>
      <c r="B11" s="177">
        <v>305402.62</v>
      </c>
      <c r="C11" s="177">
        <v>112002</v>
      </c>
    </row>
    <row r="12" spans="1:3" x14ac:dyDescent="0.2">
      <c r="A12" t="s">
        <v>777</v>
      </c>
      <c r="B12" s="177">
        <v>71493.59</v>
      </c>
      <c r="C12" s="177">
        <v>5469.26</v>
      </c>
    </row>
    <row r="13" spans="1:3" x14ac:dyDescent="0.2">
      <c r="A13" t="str">
        <f>IF(B9=B13,IF(C9=C13,"Check Total OK","Check Total Error"),"Check Total Error")</f>
        <v>Check Total OK</v>
      </c>
      <c r="B13" s="169">
        <f>SUM(B10:B12)</f>
        <v>3422307.75</v>
      </c>
      <c r="C13" s="169">
        <f>SUM(C10:C12)</f>
        <v>2199223.36</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1684213.94</v>
      </c>
      <c r="C18" s="167">
        <f>'DOE25'!G199+'DOE25'!G217+'DOE25'!G235+'DOE25'!G278+'DOE25'!G297+'DOE25'!G316</f>
        <v>649762.55000000005</v>
      </c>
    </row>
    <row r="19" spans="1:3" x14ac:dyDescent="0.2">
      <c r="A19" t="s">
        <v>775</v>
      </c>
      <c r="B19" s="177">
        <v>891291.45</v>
      </c>
      <c r="C19" s="177">
        <v>418141.44</v>
      </c>
    </row>
    <row r="20" spans="1:3" x14ac:dyDescent="0.2">
      <c r="A20" t="s">
        <v>776</v>
      </c>
      <c r="B20" s="177">
        <v>733829.69</v>
      </c>
      <c r="C20" s="177">
        <v>207535.65</v>
      </c>
    </row>
    <row r="21" spans="1:3" x14ac:dyDescent="0.2">
      <c r="A21" t="s">
        <v>777</v>
      </c>
      <c r="B21" s="177">
        <v>59092.800000000003</v>
      </c>
      <c r="C21" s="177">
        <v>24085.46</v>
      </c>
    </row>
    <row r="22" spans="1:3" x14ac:dyDescent="0.2">
      <c r="A22" t="str">
        <f>IF(B18=B22,IF(C18=C22,"Check Total OK","Check Total Error"),"Check Total Error")</f>
        <v>Check Total OK</v>
      </c>
      <c r="B22" s="169">
        <f>SUM(B19:B21)</f>
        <v>1684213.94</v>
      </c>
      <c r="C22" s="169">
        <f>SUM(C19:C21)</f>
        <v>649762.54999999993</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15442.08</v>
      </c>
      <c r="C27" s="172">
        <f>'DOE25'!G200+'DOE25'!G218+'DOE25'!G236+'DOE25'!G279+'DOE25'!G298+'DOE25'!G317</f>
        <v>90.83</v>
      </c>
    </row>
    <row r="28" spans="1:3" x14ac:dyDescent="0.2">
      <c r="A28" t="s">
        <v>775</v>
      </c>
      <c r="B28" s="177">
        <v>15442.08</v>
      </c>
      <c r="C28" s="177">
        <v>90.83</v>
      </c>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15442.08</v>
      </c>
      <c r="C31" s="169">
        <f>SUM(C28:C30)</f>
        <v>90.83</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307778</v>
      </c>
      <c r="C36" s="173">
        <f>'DOE25'!G201+'DOE25'!G219+'DOE25'!G237+'DOE25'!G280+'DOE25'!G299+'DOE25'!G318</f>
        <v>63448.38</v>
      </c>
    </row>
    <row r="37" spans="1:3" x14ac:dyDescent="0.2">
      <c r="A37" t="s">
        <v>775</v>
      </c>
      <c r="B37" s="177">
        <v>307778</v>
      </c>
      <c r="C37" s="177">
        <v>63448.38</v>
      </c>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307778</v>
      </c>
      <c r="C40" s="169">
        <f>SUM(C37:C39)</f>
        <v>63448.38</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Moultonborough</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9616187.2200000007</v>
      </c>
      <c r="D5" s="19">
        <f>SUM('DOE25'!L198:L201)+SUM('DOE25'!L216:L219)+SUM('DOE25'!L234:L237)-F5-G5-H5</f>
        <v>9432052.4900000002</v>
      </c>
      <c r="E5" s="180"/>
      <c r="F5" s="181"/>
      <c r="G5" s="19">
        <f>SUM('DOE25'!J198:J201)+SUM('DOE25'!J216:J219)+SUM('DOE25'!J234:J237)</f>
        <v>77528.160000000003</v>
      </c>
      <c r="H5" s="19">
        <f>SUM('DOE25'!K198:K201)+SUM('DOE25'!K216:K219)+SUM('DOE25'!K234:K237)</f>
        <v>106606.57</v>
      </c>
      <c r="I5" s="192"/>
    </row>
    <row r="6" spans="1:9" x14ac:dyDescent="0.2">
      <c r="A6" s="31">
        <v>2100</v>
      </c>
      <c r="B6" t="s">
        <v>796</v>
      </c>
      <c r="C6" s="206">
        <f t="shared" si="0"/>
        <v>826738.69000000006</v>
      </c>
      <c r="D6" s="19">
        <f>'DOE25'!L203+'DOE25'!L221+'DOE25'!L239-F6-G6-H6</f>
        <v>323757.39000000007</v>
      </c>
      <c r="E6" s="180"/>
      <c r="F6" s="181">
        <v>502062.57</v>
      </c>
      <c r="G6" s="19">
        <f>'DOE25'!J203+'DOE25'!J221+'DOE25'!J239</f>
        <v>539.73</v>
      </c>
      <c r="H6" s="19">
        <f>'DOE25'!K203+'DOE25'!K221+'DOE25'!K239</f>
        <v>379</v>
      </c>
      <c r="I6" s="192"/>
    </row>
    <row r="7" spans="1:9" x14ac:dyDescent="0.2">
      <c r="A7" s="31">
        <v>2200</v>
      </c>
      <c r="B7" t="s">
        <v>820</v>
      </c>
      <c r="C7" s="206">
        <f t="shared" si="0"/>
        <v>1281822.1599999999</v>
      </c>
      <c r="D7" s="19">
        <f>'DOE25'!L204+'DOE25'!L222+'DOE25'!L240-F7-G7-H7</f>
        <v>1148682.7</v>
      </c>
      <c r="E7" s="180"/>
      <c r="F7" s="181"/>
      <c r="G7" s="19">
        <f>'DOE25'!J204+'DOE25'!J222+'DOE25'!J240</f>
        <v>126997.47</v>
      </c>
      <c r="H7" s="19">
        <f>'DOE25'!K204+'DOE25'!K222+'DOE25'!K240</f>
        <v>6141.99</v>
      </c>
      <c r="I7" s="192"/>
    </row>
    <row r="8" spans="1:9" x14ac:dyDescent="0.2">
      <c r="A8" s="31">
        <v>2300</v>
      </c>
      <c r="B8" t="s">
        <v>797</v>
      </c>
      <c r="C8" s="206">
        <f t="shared" si="0"/>
        <v>597028.14000000013</v>
      </c>
      <c r="D8" s="180"/>
      <c r="E8" s="19">
        <f>'DOE25'!L205+'DOE25'!L223+'DOE25'!L241-F8-G8-H8-D9-D11</f>
        <v>563336.34000000008</v>
      </c>
      <c r="F8" s="181"/>
      <c r="G8" s="19">
        <f>'DOE25'!J205+'DOE25'!J223+'DOE25'!J241</f>
        <v>0</v>
      </c>
      <c r="H8" s="19">
        <f>'DOE25'!K205+'DOE25'!K223+'DOE25'!K241</f>
        <v>33691.800000000003</v>
      </c>
      <c r="I8" s="192"/>
    </row>
    <row r="9" spans="1:9" ht="14.25" x14ac:dyDescent="0.2">
      <c r="A9" s="31">
        <v>2310</v>
      </c>
      <c r="B9" s="71" t="s">
        <v>887</v>
      </c>
      <c r="C9" s="206">
        <f t="shared" si="0"/>
        <v>41138.949999999997</v>
      </c>
      <c r="D9" s="181">
        <v>41138.949999999997</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777844.63</v>
      </c>
      <c r="D12" s="19">
        <f>'DOE25'!L206+'DOE25'!L224+'DOE25'!L242-F12-G12-H12</f>
        <v>767887.53</v>
      </c>
      <c r="E12" s="180"/>
      <c r="F12" s="181"/>
      <c r="G12" s="19">
        <f>'DOE25'!J206+'DOE25'!J224+'DOE25'!J242</f>
        <v>0</v>
      </c>
      <c r="H12" s="19">
        <f>'DOE25'!K206+'DOE25'!K224+'DOE25'!K242</f>
        <v>9957.1</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1569457.0099999998</v>
      </c>
      <c r="D14" s="19">
        <f>'DOE25'!L208+'DOE25'!L226+'DOE25'!L244-F14-G14-H14</f>
        <v>1567479.7399999998</v>
      </c>
      <c r="E14" s="180"/>
      <c r="F14" s="181"/>
      <c r="G14" s="19">
        <f>'DOE25'!J208+'DOE25'!J226+'DOE25'!J244</f>
        <v>1977.27</v>
      </c>
      <c r="H14" s="19">
        <f>'DOE25'!K208+'DOE25'!K226+'DOE25'!K244</f>
        <v>0</v>
      </c>
      <c r="I14" s="192"/>
    </row>
    <row r="15" spans="1:9" x14ac:dyDescent="0.2">
      <c r="A15" s="31">
        <v>2700</v>
      </c>
      <c r="B15" t="s">
        <v>799</v>
      </c>
      <c r="C15" s="206">
        <f t="shared" si="0"/>
        <v>730875.41999999993</v>
      </c>
      <c r="D15" s="19">
        <f>'DOE25'!L209+'DOE25'!L227+'DOE25'!L245-F15-G15-H15</f>
        <v>74537.10999999987</v>
      </c>
      <c r="E15" s="180"/>
      <c r="F15" s="181">
        <v>656338.31000000006</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49859.1</v>
      </c>
      <c r="D19" s="19">
        <f>'DOE25'!L254-F19-G19-H19</f>
        <v>47329.119999999995</v>
      </c>
      <c r="E19" s="180"/>
      <c r="F19" s="181"/>
      <c r="G19" s="19">
        <f>'DOE25'!J254</f>
        <v>2529.98</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289343.89</v>
      </c>
      <c r="D29" s="212">
        <f>'DOE25'!L359+'DOE25'!L360+'DOE25'!L361-'DOE25'!I368-F29-G29-H29-F39</f>
        <v>289343.89</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566284.07999999996</v>
      </c>
      <c r="D31" s="19">
        <f>'DOE25'!L291+'DOE25'!L310+'DOE25'!L329+'DOE25'!L334+'DOE25'!L335+'DOE25'!L336-F31-G31-H31</f>
        <v>339313.64999999997</v>
      </c>
      <c r="E31" s="180"/>
      <c r="F31" s="181">
        <v>107518.43</v>
      </c>
      <c r="G31" s="19">
        <f>'DOE25'!J291+'DOE25'!J310+'DOE25'!J329+'DOE25'!J334+'DOE25'!J335+'DOE25'!J336</f>
        <v>119452</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14031522.569999998</v>
      </c>
      <c r="E33" s="182">
        <f t="shared" si="1"/>
        <v>563336.34000000008</v>
      </c>
      <c r="F33" s="182">
        <f t="shared" si="1"/>
        <v>1265919.31</v>
      </c>
      <c r="G33" s="182">
        <f t="shared" si="1"/>
        <v>329024.61</v>
      </c>
      <c r="H33" s="182">
        <f t="shared" si="1"/>
        <v>156776.46000000002</v>
      </c>
      <c r="I33" s="182">
        <f t="shared" si="1"/>
        <v>0</v>
      </c>
    </row>
    <row r="34" spans="1:9" ht="12" thickBot="1" x14ac:dyDescent="0.25"/>
    <row r="35" spans="1:9" ht="12" thickBot="1" x14ac:dyDescent="0.25">
      <c r="B35" s="188" t="s">
        <v>830</v>
      </c>
      <c r="D35" s="189">
        <f>E33</f>
        <v>563336.34000000008</v>
      </c>
      <c r="E35" s="185"/>
      <c r="F35" s="295" t="s">
        <v>1608</v>
      </c>
      <c r="G35" s="296"/>
      <c r="H35" s="296"/>
      <c r="I35" s="297"/>
    </row>
    <row r="36" spans="1:9" ht="12" thickTop="1" x14ac:dyDescent="0.2">
      <c r="B36" t="s">
        <v>810</v>
      </c>
      <c r="D36" s="19">
        <f>D33</f>
        <v>14031522.569999998</v>
      </c>
      <c r="F36" s="298" t="s">
        <v>1606</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92776</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10000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C29" sqref="C2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Moultonborough</v>
      </c>
      <c r="B2">
        <f>'DOE25'!B2</f>
        <v>369</v>
      </c>
      <c r="J2" s="224" t="s">
        <v>1808</v>
      </c>
      <c r="K2" s="309">
        <f>SUM('DOE25'!L198:L201)+SUM('DOE25'!L216:L219)+SUM('DOE25'!L234:L237)+SUM('DOE25'!L277:L280)+SUM('DOE25'!L296:L299)+SUM('DOE25'!L315:L318)</f>
        <v>10038342.040000001</v>
      </c>
      <c r="L2" s="309">
        <f>'DOE25'!L203+'DOE25'!L221+'DOE25'!L239+'DOE25'!L282+'DOE25'!L301+'DOE25'!L320</f>
        <v>859807.09000000008</v>
      </c>
      <c r="M2" s="309">
        <f>'DOE25'!L204+'DOE25'!L222+'DOE25'!L240+'DOE25'!L283+'DOE25'!L302+'DOE25'!L321</f>
        <v>1369878.44</v>
      </c>
      <c r="N2" s="309">
        <f>'DOE25'!L206+'DOE25'!L224+'DOE25'!L242+'DOE25'!L285+'DOE25'!L304+'DOE25'!L323</f>
        <v>777844.63</v>
      </c>
      <c r="O2" s="309">
        <f>'Salaries-Benefits'!B10+'Salaries-Benefits'!B12+'Salaries-Benefits'!B19+'Salaries-Benefits'!B21+'Salaries-Benefits'!B28+'Salaries-Benefits'!B30+'Salaries-Benefits'!B37+'Salaries-Benefits'!B39</f>
        <v>4390509.46</v>
      </c>
      <c r="P2" s="309">
        <f>'Salaries-Benefits'!B11+'Salaries-Benefits'!B20+'Salaries-Benefits'!B29+'Salaries-Benefits'!B38</f>
        <v>1039232.3099999999</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-2737111.9299999997</v>
      </c>
      <c r="P3" s="311">
        <f t="shared" si="0"/>
        <v>-1039232.3099999999</v>
      </c>
      <c r="Q3" s="310"/>
      <c r="R3" s="306"/>
      <c r="S3" s="215"/>
      <c r="T3" s="215"/>
      <c r="U3" s="216"/>
    </row>
    <row r="4" spans="1:21" ht="55.5" customHeight="1" thickBot="1" x14ac:dyDescent="0.25">
      <c r="A4" s="224" t="s">
        <v>1522</v>
      </c>
      <c r="B4" s="224" t="s">
        <v>1523</v>
      </c>
      <c r="C4" s="224" t="s">
        <v>896</v>
      </c>
      <c r="D4" s="224" t="s">
        <v>786</v>
      </c>
      <c r="E4" s="224" t="s">
        <v>786</v>
      </c>
      <c r="F4" s="228">
        <f>SUM(F5:F20)</f>
        <v>6948780.5800000001</v>
      </c>
      <c r="G4" s="229">
        <f>'DOE25'!L212+'DOE25'!L291</f>
        <v>6948780.5800000001</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Moultonborough Central School</v>
      </c>
      <c r="B6" s="230">
        <f>IFERROR(VLOOKUP(A6,'School Tables'!$C$3:$D$365,2,FALSE),"")</f>
        <v>22115</v>
      </c>
      <c r="C6" s="223" t="str">
        <f>IFERROR(INDEX('School Tables'!$B$3:$B$365,MATCH('School Level Expenditures'!B6,'School Tables'!$D$3:$D$365,0)),"")</f>
        <v>Moultonborough</v>
      </c>
      <c r="D6" s="220">
        <v>6636067.1600000001</v>
      </c>
      <c r="E6" s="220">
        <v>312713.42</v>
      </c>
      <c r="F6" s="232">
        <f t="shared" ref="F6:F20" si="1">D6+E6</f>
        <v>6948780.5800000001</v>
      </c>
      <c r="G6" s="223"/>
      <c r="H6" s="223"/>
      <c r="J6" t="str">
        <f>A6</f>
        <v>Moultonborough Central School</v>
      </c>
      <c r="K6" s="20">
        <v>4307085.71</v>
      </c>
      <c r="L6" s="20">
        <v>376930.95</v>
      </c>
      <c r="M6" s="308">
        <v>604326.46</v>
      </c>
      <c r="N6" s="20">
        <v>279656.73</v>
      </c>
      <c r="O6" s="20">
        <v>1653397.53</v>
      </c>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6636067.1600000001</v>
      </c>
      <c r="E21" s="262">
        <f>SUM(E5:E20)</f>
        <v>312713.42</v>
      </c>
      <c r="F21" s="217"/>
      <c r="G21" s="217"/>
      <c r="H21" s="217"/>
      <c r="K21" s="263">
        <f t="shared" ref="K21:Q21" si="3">SUM(K5:K20)</f>
        <v>4307085.71</v>
      </c>
      <c r="L21" s="263">
        <f t="shared" si="3"/>
        <v>376930.95</v>
      </c>
      <c r="M21" s="263">
        <f t="shared" si="3"/>
        <v>604326.46</v>
      </c>
      <c r="N21" s="263">
        <f t="shared" si="3"/>
        <v>279656.73</v>
      </c>
      <c r="O21" s="263">
        <f t="shared" si="3"/>
        <v>1653397.53</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3673720.96</v>
      </c>
      <c r="G24" s="229">
        <f>'DOE25'!L230+'DOE25'!L310</f>
        <v>3673720.9599999995</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Moultonborough Middle Level</v>
      </c>
      <c r="B26" s="230">
        <f>IFERROR(VLOOKUP(A26,'School Tables'!$N$4:$O$75,2,FALSE),"")</f>
        <v>26960</v>
      </c>
      <c r="C26" s="223" t="str">
        <f>IFERROR(INDEX('School Tables'!$M$4:$M$75,MATCH('School Level Expenditures'!A26,'School Tables'!$N$4:$N$75,0)),"")</f>
        <v>Moultonborough</v>
      </c>
      <c r="D26" s="220">
        <v>3563165.59</v>
      </c>
      <c r="E26" s="220">
        <v>110555.37</v>
      </c>
      <c r="F26" s="232">
        <f t="shared" ref="F26:F32" si="4">D26+E26</f>
        <v>3673720.96</v>
      </c>
      <c r="G26" s="223"/>
      <c r="H26" s="223"/>
      <c r="J26" t="str">
        <f t="shared" ref="J26:J32" si="5">A26</f>
        <v>Moultonborough Middle Level</v>
      </c>
      <c r="K26" s="20">
        <v>2281852</v>
      </c>
      <c r="L26" s="20">
        <v>206752.28</v>
      </c>
      <c r="M26" s="308">
        <v>313235.88</v>
      </c>
      <c r="N26" s="20">
        <v>223000.36</v>
      </c>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3563165.59</v>
      </c>
      <c r="E33" s="262">
        <f>SUM(E25:E32)</f>
        <v>110555.37</v>
      </c>
      <c r="F33" s="217"/>
      <c r="G33" s="217"/>
      <c r="H33" s="217"/>
      <c r="K33" s="263">
        <f t="shared" ref="K33:Q33" si="6">SUM(K25:K32)</f>
        <v>2281852</v>
      </c>
      <c r="L33" s="263">
        <f t="shared" si="6"/>
        <v>206752.28</v>
      </c>
      <c r="M33" s="263">
        <f t="shared" si="6"/>
        <v>313235.88</v>
      </c>
      <c r="N33" s="263">
        <f t="shared" si="6"/>
        <v>223000.36</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5384874.7599999998</v>
      </c>
      <c r="G36" s="229">
        <f>'DOE25'!L248+'DOE25'!L329</f>
        <v>5384874.7600000007</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Moultonborough Academy</v>
      </c>
      <c r="B38" s="230">
        <f>IFERROR(VLOOKUP(A38,'School Tables'!$Y$4:$Z$100,2,FALSE),"")</f>
        <v>22120</v>
      </c>
      <c r="C38" s="223" t="str">
        <f>IFERROR(INDEX('School Tables'!$X$4:$X$100,MATCH('School Level Expenditures'!A38,'School Tables'!$Y$4:$Y$100,0)),"")</f>
        <v>Moultonborough</v>
      </c>
      <c r="D38" s="220">
        <v>5241859.47</v>
      </c>
      <c r="E38" s="220">
        <v>143015.29</v>
      </c>
      <c r="F38" s="232">
        <f t="shared" si="7"/>
        <v>5384874.7599999998</v>
      </c>
      <c r="G38" s="223"/>
      <c r="H38" s="223"/>
      <c r="J38" t="str">
        <f t="shared" ref="J38:J42" si="8">A38</f>
        <v>Moultonborough Academy</v>
      </c>
      <c r="K38" s="20">
        <v>3449404.33</v>
      </c>
      <c r="L38" s="20">
        <v>276123.86</v>
      </c>
      <c r="M38" s="308">
        <v>452316.1</v>
      </c>
      <c r="N38" s="20">
        <v>275187.53999999998</v>
      </c>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5241859.47</v>
      </c>
      <c r="E43" s="263">
        <f>SUM(E37:E42)</f>
        <v>143015.29</v>
      </c>
      <c r="K43" s="263">
        <f t="shared" ref="K43:Q43" si="9">SUM(K37:K42)</f>
        <v>3449404.33</v>
      </c>
      <c r="L43" s="263">
        <f t="shared" si="9"/>
        <v>276123.86</v>
      </c>
      <c r="M43" s="263">
        <f t="shared" si="9"/>
        <v>452316.1</v>
      </c>
      <c r="N43" s="263">
        <f t="shared" si="9"/>
        <v>275187.53999999998</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workbookViewId="0">
      <selection activeCell="E65" sqref="E6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Moultonborough</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1970703.38</v>
      </c>
      <c r="D8" s="73">
        <f>'DOE25'!G9</f>
        <v>0</v>
      </c>
      <c r="E8" s="73">
        <f>'DOE25'!H9</f>
        <v>0</v>
      </c>
      <c r="F8" s="73">
        <f>'DOE25'!I9</f>
        <v>0</v>
      </c>
      <c r="G8" s="73">
        <f>'DOE25'!J9</f>
        <v>0</v>
      </c>
      <c r="H8" s="13">
        <f>SUM(C8:G8)</f>
        <v>1970703.38</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23995.99</v>
      </c>
      <c r="E11" s="73">
        <f>'DOE25'!H12</f>
        <v>29878.86</v>
      </c>
      <c r="F11" s="73">
        <f>'DOE25'!I12</f>
        <v>0</v>
      </c>
      <c r="G11" s="73">
        <f>'DOE25'!J12</f>
        <v>1545546.98</v>
      </c>
      <c r="H11" s="13">
        <f t="shared" si="0"/>
        <v>1599421.83</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1970703.38</v>
      </c>
      <c r="D18" s="38">
        <f>SUM(D8:D17)</f>
        <v>23995.99</v>
      </c>
      <c r="E18" s="38">
        <f>SUM(E8:E17)</f>
        <v>29878.86</v>
      </c>
      <c r="F18" s="38">
        <f>SUM(F8:F17)</f>
        <v>0</v>
      </c>
      <c r="G18" s="38">
        <f>SUM(G8:G17)</f>
        <v>1545546.98</v>
      </c>
      <c r="H18" s="38">
        <f t="shared" si="0"/>
        <v>3570125.21</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109272.61</v>
      </c>
      <c r="D23" s="73">
        <f>'DOE25'!G24</f>
        <v>0</v>
      </c>
      <c r="E23" s="73">
        <f>'DOE25'!H24</f>
        <v>0</v>
      </c>
      <c r="F23" s="73">
        <f>'DOE25'!I24</f>
        <v>0</v>
      </c>
      <c r="G23" s="73">
        <f>'DOE25'!J24</f>
        <v>0</v>
      </c>
      <c r="H23" s="13">
        <f t="shared" si="1"/>
        <v>109272.61</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562040.57999999996</v>
      </c>
      <c r="D29" s="73">
        <f>'DOE25'!G30</f>
        <v>0</v>
      </c>
      <c r="E29" s="73">
        <f>'DOE25'!H30</f>
        <v>0</v>
      </c>
      <c r="F29" s="73">
        <f>'DOE25'!I30</f>
        <v>0</v>
      </c>
      <c r="G29" s="23" t="s">
        <v>288</v>
      </c>
      <c r="H29" s="13">
        <f t="shared" si="1"/>
        <v>562040.57999999996</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671313.19</v>
      </c>
      <c r="D31" s="38">
        <f>SUM(D21:D30)</f>
        <v>0</v>
      </c>
      <c r="E31" s="38">
        <f>SUM(E21:E30)</f>
        <v>0</v>
      </c>
      <c r="F31" s="38">
        <f>SUM(F21:F30)</f>
        <v>0</v>
      </c>
      <c r="G31" s="38">
        <f>SUM(G21:G30)</f>
        <v>0</v>
      </c>
      <c r="H31" s="38">
        <f t="shared" si="1"/>
        <v>671313.19</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29878.86</v>
      </c>
      <c r="F35" s="73">
        <f>'DOE25'!I36</f>
        <v>0</v>
      </c>
      <c r="G35" s="23" t="s">
        <v>288</v>
      </c>
      <c r="H35" s="13">
        <f t="shared" si="2"/>
        <v>29878.86</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23995.99</v>
      </c>
      <c r="E39" s="23" t="s">
        <v>288</v>
      </c>
      <c r="F39" s="23" t="s">
        <v>288</v>
      </c>
      <c r="G39" s="23" t="s">
        <v>288</v>
      </c>
      <c r="H39" s="13">
        <f t="shared" si="2"/>
        <v>23995.99</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100000</v>
      </c>
      <c r="D43" s="73">
        <f>'DOE25'!G44</f>
        <v>0</v>
      </c>
      <c r="E43" s="73">
        <f>'DOE25'!H44</f>
        <v>0</v>
      </c>
      <c r="F43" s="73">
        <f>'DOE25'!I44</f>
        <v>0</v>
      </c>
      <c r="G43" s="23" t="s">
        <v>288</v>
      </c>
      <c r="H43" s="13">
        <f t="shared" si="2"/>
        <v>100000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474512.54</v>
      </c>
      <c r="D45" s="23" t="s">
        <v>288</v>
      </c>
      <c r="E45" s="23" t="s">
        <v>288</v>
      </c>
      <c r="F45" s="23" t="s">
        <v>288</v>
      </c>
      <c r="G45" s="23" t="s">
        <v>288</v>
      </c>
      <c r="H45" s="13">
        <f t="shared" si="2"/>
        <v>474512.54</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1545546.98</v>
      </c>
      <c r="H47" s="13">
        <f t="shared" si="2"/>
        <v>1545546.98</v>
      </c>
      <c r="I47" s="90"/>
    </row>
    <row r="48" spans="1:9" x14ac:dyDescent="0.2">
      <c r="A48" s="1" t="s">
        <v>881</v>
      </c>
      <c r="B48" s="6">
        <v>753</v>
      </c>
      <c r="C48" s="73">
        <f>'DOE25'!F49</f>
        <v>639877.65</v>
      </c>
      <c r="D48" s="73">
        <f>'DOE25'!G49</f>
        <v>0</v>
      </c>
      <c r="E48" s="73">
        <f>'DOE25'!H49</f>
        <v>0</v>
      </c>
      <c r="F48" s="73">
        <f>'DOE25'!I49</f>
        <v>0</v>
      </c>
      <c r="G48" s="73">
        <f>'DOE25'!J49</f>
        <v>0</v>
      </c>
      <c r="H48" s="13">
        <f t="shared" si="2"/>
        <v>639877.65</v>
      </c>
      <c r="I48" s="90"/>
    </row>
    <row r="49" spans="1:9" ht="12" thickBot="1" x14ac:dyDescent="0.25">
      <c r="A49" s="28" t="s">
        <v>882</v>
      </c>
      <c r="B49" s="56">
        <v>770</v>
      </c>
      <c r="C49" s="73">
        <f>'DOE25'!F50</f>
        <v>85000</v>
      </c>
      <c r="D49" s="23" t="s">
        <v>288</v>
      </c>
      <c r="E49" s="23" t="s">
        <v>288</v>
      </c>
      <c r="F49" s="23" t="s">
        <v>288</v>
      </c>
      <c r="G49" s="23" t="s">
        <v>288</v>
      </c>
      <c r="H49" s="13">
        <f t="shared" si="2"/>
        <v>85000</v>
      </c>
      <c r="I49" s="90"/>
    </row>
    <row r="50" spans="1:9" ht="12.75" thickTop="1" thickBot="1" x14ac:dyDescent="0.25">
      <c r="A50" s="35" t="s">
        <v>883</v>
      </c>
      <c r="B50" s="44"/>
      <c r="C50" s="38">
        <f>SUM(C34:C49)</f>
        <v>1299390.19</v>
      </c>
      <c r="D50" s="38">
        <f>SUM(D34:D49)</f>
        <v>23995.99</v>
      </c>
      <c r="E50" s="38">
        <f>SUM(E34:E49)</f>
        <v>29878.86</v>
      </c>
      <c r="F50" s="38">
        <f>SUM(F34:F49)</f>
        <v>0</v>
      </c>
      <c r="G50" s="38">
        <f>SUM(G34:G49)</f>
        <v>1545546.98</v>
      </c>
      <c r="H50" s="38">
        <f t="shared" si="2"/>
        <v>2898812.02</v>
      </c>
      <c r="I50" s="90"/>
    </row>
    <row r="51" spans="1:9" ht="12" thickTop="1" x14ac:dyDescent="0.2">
      <c r="A51" s="35" t="s">
        <v>884</v>
      </c>
      <c r="B51" s="2"/>
      <c r="C51" s="38">
        <f>C50+C31</f>
        <v>1970703.38</v>
      </c>
      <c r="D51" s="38">
        <f>D50+D31</f>
        <v>23995.99</v>
      </c>
      <c r="E51" s="38">
        <f>E50+E31</f>
        <v>29878.86</v>
      </c>
      <c r="F51" s="38">
        <f>F50+F31</f>
        <v>0</v>
      </c>
      <c r="G51" s="38">
        <f>G50+G31</f>
        <v>1545546.98</v>
      </c>
      <c r="H51" s="38">
        <f t="shared" si="2"/>
        <v>3570125.21</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8588853</v>
      </c>
      <c r="D56" s="73">
        <f>'DOE25'!G60</f>
        <v>0</v>
      </c>
      <c r="E56" s="73">
        <f>'DOE25'!H60</f>
        <v>0</v>
      </c>
      <c r="F56" s="73">
        <f>'DOE25'!I60</f>
        <v>0</v>
      </c>
      <c r="G56" s="73">
        <f>'DOE25'!J60</f>
        <v>0</v>
      </c>
      <c r="H56" s="13">
        <f t="shared" ref="H56:H63" si="3">SUM(C56:G56)</f>
        <v>8588853</v>
      </c>
      <c r="I56"/>
    </row>
    <row r="57" spans="1:9" x14ac:dyDescent="0.2">
      <c r="A57" s="1" t="s">
        <v>164</v>
      </c>
      <c r="B57" s="6" t="s">
        <v>165</v>
      </c>
      <c r="C57" s="73">
        <f>'DOE25'!F79</f>
        <v>16717.13</v>
      </c>
      <c r="D57" s="23" t="s">
        <v>288</v>
      </c>
      <c r="E57" s="73">
        <f>'DOE25'!H79</f>
        <v>0</v>
      </c>
      <c r="F57" s="23" t="s">
        <v>288</v>
      </c>
      <c r="G57" s="23" t="s">
        <v>288</v>
      </c>
      <c r="H57" s="13">
        <f t="shared" si="3"/>
        <v>16717.13</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34123.72</v>
      </c>
      <c r="D59" s="73">
        <f>'DOE25'!G96</f>
        <v>0</v>
      </c>
      <c r="E59" s="73">
        <f>'DOE25'!H96</f>
        <v>0</v>
      </c>
      <c r="F59" s="73">
        <f>'DOE25'!I96</f>
        <v>0</v>
      </c>
      <c r="G59" s="73">
        <f>'DOE25'!J96</f>
        <v>93280.51</v>
      </c>
      <c r="H59" s="13">
        <f t="shared" si="3"/>
        <v>127404.23</v>
      </c>
      <c r="I59"/>
    </row>
    <row r="60" spans="1:9" x14ac:dyDescent="0.2">
      <c r="A60" s="1" t="s">
        <v>170</v>
      </c>
      <c r="B60" s="22" t="s">
        <v>171</v>
      </c>
      <c r="C60" s="23" t="s">
        <v>288</v>
      </c>
      <c r="D60" s="73">
        <f>'DOE25'!G97</f>
        <v>202911.93</v>
      </c>
      <c r="E60" s="23" t="s">
        <v>288</v>
      </c>
      <c r="F60" s="23" t="s">
        <v>288</v>
      </c>
      <c r="G60" s="23" t="s">
        <v>288</v>
      </c>
      <c r="H60" s="13">
        <f t="shared" si="3"/>
        <v>202911.93</v>
      </c>
      <c r="I60"/>
    </row>
    <row r="61" spans="1:9" ht="12" thickBot="1" x14ac:dyDescent="0.25">
      <c r="A61" s="1" t="s">
        <v>172</v>
      </c>
      <c r="B61" s="22" t="s">
        <v>173</v>
      </c>
      <c r="C61" s="73">
        <f>SUM('DOE25'!F98:F110)</f>
        <v>16630.82</v>
      </c>
      <c r="D61" s="73">
        <f>SUM('DOE25'!G98:G110)</f>
        <v>0</v>
      </c>
      <c r="E61" s="73">
        <f>SUM('DOE25'!H98:H110)</f>
        <v>0</v>
      </c>
      <c r="F61" s="73">
        <f>SUM('DOE25'!I98:I110)</f>
        <v>0</v>
      </c>
      <c r="G61" s="73">
        <f>SUM('DOE25'!J98:J110)</f>
        <v>1600757.36</v>
      </c>
      <c r="H61" s="13">
        <f t="shared" si="3"/>
        <v>1617388.1800000002</v>
      </c>
      <c r="I61"/>
    </row>
    <row r="62" spans="1:9" ht="12.75" thickTop="1" thickBot="1" x14ac:dyDescent="0.25">
      <c r="A62" s="28" t="s">
        <v>174</v>
      </c>
      <c r="B62" s="6"/>
      <c r="C62" s="93">
        <f>SUM(C57:C61)</f>
        <v>67471.670000000013</v>
      </c>
      <c r="D62" s="93">
        <f>SUM(D57:D61)</f>
        <v>202911.93</v>
      </c>
      <c r="E62" s="93">
        <f>SUM(E57:E61)</f>
        <v>0</v>
      </c>
      <c r="F62" s="93">
        <f>SUM(F57:F61)</f>
        <v>0</v>
      </c>
      <c r="G62" s="93">
        <f>SUM(G57:G61)</f>
        <v>1694037.87</v>
      </c>
      <c r="H62" s="13">
        <f t="shared" si="3"/>
        <v>1964421.4700000002</v>
      </c>
      <c r="I62"/>
    </row>
    <row r="63" spans="1:9" ht="12" thickTop="1" x14ac:dyDescent="0.2">
      <c r="A63" s="28" t="s">
        <v>175</v>
      </c>
      <c r="B63" s="6"/>
      <c r="C63" s="21">
        <f>C56+C62</f>
        <v>8656324.6699999999</v>
      </c>
      <c r="D63" s="21">
        <f>D56+D62</f>
        <v>202911.93</v>
      </c>
      <c r="E63" s="21">
        <f>E56+E62</f>
        <v>0</v>
      </c>
      <c r="F63" s="21">
        <f>F56+F62</f>
        <v>0</v>
      </c>
      <c r="G63" s="21">
        <f>G56+G62</f>
        <v>1694037.87</v>
      </c>
      <c r="H63" s="13">
        <f t="shared" si="3"/>
        <v>10553274.469999999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1795359</v>
      </c>
      <c r="D66" s="23" t="s">
        <v>288</v>
      </c>
      <c r="E66" s="23" t="s">
        <v>288</v>
      </c>
      <c r="F66" s="23" t="s">
        <v>288</v>
      </c>
      <c r="G66" s="23" t="s">
        <v>288</v>
      </c>
      <c r="H66" s="13">
        <f t="shared" ref="H66:H81" si="4">SUM(C66:G66)</f>
        <v>1795359</v>
      </c>
      <c r="I66"/>
    </row>
    <row r="67" spans="1:9" x14ac:dyDescent="0.2">
      <c r="A67" s="1" t="s">
        <v>770</v>
      </c>
      <c r="B67" s="6">
        <v>3112</v>
      </c>
      <c r="C67" s="73">
        <f>'DOE25'!F118</f>
        <v>4698493</v>
      </c>
      <c r="D67" s="23"/>
      <c r="E67" s="23"/>
      <c r="F67" s="23"/>
      <c r="G67" s="23"/>
      <c r="H67" s="13">
        <f t="shared" si="4"/>
        <v>4698493</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80567.570000000007</v>
      </c>
      <c r="D69" s="73">
        <f>'DOE25'!G120</f>
        <v>0</v>
      </c>
      <c r="E69" s="73">
        <f>'DOE25'!H120</f>
        <v>0</v>
      </c>
      <c r="F69" s="73">
        <f>'DOE25'!I120</f>
        <v>0</v>
      </c>
      <c r="G69" s="73">
        <f>'DOE25'!J120</f>
        <v>0</v>
      </c>
      <c r="H69" s="13">
        <f t="shared" si="4"/>
        <v>80567.570000000007</v>
      </c>
      <c r="I69"/>
    </row>
    <row r="70" spans="1:9" ht="12" thickTop="1" x14ac:dyDescent="0.2">
      <c r="A70" s="28" t="s">
        <v>252</v>
      </c>
      <c r="B70" s="2"/>
      <c r="C70" s="97">
        <f>SUM(C66:C69)</f>
        <v>6574419.5700000003</v>
      </c>
      <c r="D70" s="97">
        <f>D69</f>
        <v>0</v>
      </c>
      <c r="E70" s="97">
        <f>E69</f>
        <v>0</v>
      </c>
      <c r="F70" s="97">
        <f>F69</f>
        <v>0</v>
      </c>
      <c r="G70" s="97">
        <f>G69</f>
        <v>0</v>
      </c>
      <c r="H70" s="13">
        <f t="shared" si="4"/>
        <v>6574419.5700000003</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149114.23999999999</v>
      </c>
      <c r="D75" s="23" t="s">
        <v>288</v>
      </c>
      <c r="E75" s="23" t="s">
        <v>288</v>
      </c>
      <c r="F75" s="23" t="s">
        <v>288</v>
      </c>
      <c r="G75" s="23" t="s">
        <v>288</v>
      </c>
      <c r="H75" s="13">
        <f t="shared" si="4"/>
        <v>149114.23999999999</v>
      </c>
      <c r="I75"/>
    </row>
    <row r="76" spans="1:9" x14ac:dyDescent="0.2">
      <c r="A76" s="1" t="s">
        <v>257</v>
      </c>
      <c r="B76" s="6" t="s">
        <v>179</v>
      </c>
      <c r="C76" s="73">
        <f>SUM('DOE25'!F127:F130)</f>
        <v>6282</v>
      </c>
      <c r="D76" s="23" t="s">
        <v>288</v>
      </c>
      <c r="E76" s="73">
        <f>SUM('DOE25'!H127:H130)</f>
        <v>0</v>
      </c>
      <c r="F76" s="73">
        <f>SUM('DOE25'!I127:I130)</f>
        <v>0</v>
      </c>
      <c r="G76" s="23" t="s">
        <v>288</v>
      </c>
      <c r="H76" s="13">
        <f t="shared" si="4"/>
        <v>6282</v>
      </c>
      <c r="I76"/>
    </row>
    <row r="77" spans="1:9" ht="12" thickBot="1" x14ac:dyDescent="0.25">
      <c r="A77" s="1" t="s">
        <v>258</v>
      </c>
      <c r="B77" s="6" t="s">
        <v>180</v>
      </c>
      <c r="C77" s="73">
        <f>SUM('DOE25'!F131:F135)</f>
        <v>0</v>
      </c>
      <c r="D77" s="73">
        <f>SUM('DOE25'!G131:G135)</f>
        <v>3420.2</v>
      </c>
      <c r="E77" s="73">
        <f>SUM('DOE25'!H131:H135)</f>
        <v>0</v>
      </c>
      <c r="F77" s="73">
        <f>SUM('DOE25'!I131:I135)</f>
        <v>0</v>
      </c>
      <c r="G77" s="73">
        <f>SUM('DOE25'!J131:J135)</f>
        <v>0</v>
      </c>
      <c r="H77" s="13">
        <f t="shared" si="4"/>
        <v>3420.2</v>
      </c>
      <c r="I77"/>
    </row>
    <row r="78" spans="1:9" ht="12.75" thickTop="1" thickBot="1" x14ac:dyDescent="0.25">
      <c r="A78" s="28" t="s">
        <v>259</v>
      </c>
      <c r="B78" s="6"/>
      <c r="C78" s="93">
        <f>SUM(C72:C77)</f>
        <v>155396.24</v>
      </c>
      <c r="D78" s="93">
        <f>SUM(D72:D77)</f>
        <v>3420.2</v>
      </c>
      <c r="E78" s="93">
        <f>SUM(E72:E77)</f>
        <v>0</v>
      </c>
      <c r="F78" s="93">
        <f>SUM(F72:F77)</f>
        <v>0</v>
      </c>
      <c r="G78" s="93">
        <f>SUM(G72:G77)</f>
        <v>0</v>
      </c>
      <c r="H78" s="13">
        <f t="shared" si="4"/>
        <v>158816.44</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6729815.8100000005</v>
      </c>
      <c r="D81" s="93">
        <f>SUM(D79:D80)+D78+D70</f>
        <v>3420.2</v>
      </c>
      <c r="E81" s="93">
        <f>SUM(E79:E80)+E78+E70</f>
        <v>0</v>
      </c>
      <c r="F81" s="93">
        <f>SUM(F79:F80)+F78+F70</f>
        <v>0</v>
      </c>
      <c r="G81" s="93">
        <f>SUM(G79:G80)+G78+G70</f>
        <v>0</v>
      </c>
      <c r="H81" s="93">
        <f t="shared" si="4"/>
        <v>6733236.0100000007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11078.92</v>
      </c>
      <c r="D88" s="253">
        <f>SUM('DOE25'!G153:G162)</f>
        <v>141453.04999999999</v>
      </c>
      <c r="E88" s="253">
        <f>SUM('DOE25'!H153:H162)</f>
        <v>515886.63</v>
      </c>
      <c r="F88" s="253">
        <f>SUM('DOE25'!I153:I162)</f>
        <v>0</v>
      </c>
      <c r="G88" s="23" t="s">
        <v>288</v>
      </c>
      <c r="H88" s="13">
        <f t="shared" si="5"/>
        <v>668418.6</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11078.92</v>
      </c>
      <c r="D91" s="94">
        <f>SUM(D85:D90)</f>
        <v>141453.04999999999</v>
      </c>
      <c r="E91" s="94">
        <f>SUM(E85:E90)</f>
        <v>515886.63</v>
      </c>
      <c r="F91" s="94">
        <f>SUM(F85:F90)</f>
        <v>0</v>
      </c>
      <c r="G91" s="23" t="s">
        <v>288</v>
      </c>
      <c r="H91" s="13">
        <f t="shared" si="5"/>
        <v>668418.6</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100000</v>
      </c>
      <c r="H96" s="13">
        <f t="shared" si="5"/>
        <v>100000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100000</v>
      </c>
      <c r="H103" s="68">
        <f t="shared" si="5"/>
        <v>100000</v>
      </c>
    </row>
    <row r="104" spans="1:8" ht="12.75" thickTop="1" thickBot="1" x14ac:dyDescent="0.25">
      <c r="A104" s="32" t="s">
        <v>761</v>
      </c>
      <c r="C104" s="68">
        <f>C63+C81+C91+C103</f>
        <v>15397219.4</v>
      </c>
      <c r="D104" s="68">
        <f>D63+D81+D91+D103</f>
        <v>347785.18</v>
      </c>
      <c r="E104" s="68">
        <f>E63+E81+E91+E103</f>
        <v>515886.63</v>
      </c>
      <c r="F104" s="68">
        <f>F63+F81+F91+F103</f>
        <v>0</v>
      </c>
      <c r="G104" s="68">
        <f>G63+G81+G103</f>
        <v>1794037.87</v>
      </c>
      <c r="H104" s="68">
        <f t="shared" si="5"/>
        <v>18054929.080000002</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5765191.3300000001</v>
      </c>
      <c r="D109" s="23" t="s">
        <v>288</v>
      </c>
      <c r="E109" s="73">
        <f>('DOE25'!L277)+('DOE25'!L296)+('DOE25'!L315)</f>
        <v>301629.42000000004</v>
      </c>
      <c r="F109" s="23" t="s">
        <v>288</v>
      </c>
      <c r="G109" s="23" t="s">
        <v>288</v>
      </c>
      <c r="H109" s="13">
        <f t="shared" ref="H109:H115" si="6">SUM(C109:G109)</f>
        <v>6066820.75</v>
      </c>
    </row>
    <row r="110" spans="1:8" x14ac:dyDescent="0.2">
      <c r="A110" t="s">
        <v>198</v>
      </c>
      <c r="B110" s="31" t="s">
        <v>199</v>
      </c>
      <c r="C110" s="73">
        <f>('DOE25'!L199)+('DOE25'!L217)+('DOE25'!L235)</f>
        <v>3249338.4699999997</v>
      </c>
      <c r="D110" s="23" t="s">
        <v>288</v>
      </c>
      <c r="E110" s="73">
        <f>('DOE25'!L278)+('DOE25'!L297)+('DOE25'!L316)</f>
        <v>120525.4</v>
      </c>
      <c r="F110" s="23" t="s">
        <v>288</v>
      </c>
      <c r="G110" s="23" t="s">
        <v>288</v>
      </c>
      <c r="H110" s="13">
        <f t="shared" si="6"/>
        <v>3369863.8699999996</v>
      </c>
    </row>
    <row r="111" spans="1:8" x14ac:dyDescent="0.2">
      <c r="A111" t="s">
        <v>200</v>
      </c>
      <c r="B111" s="31" t="s">
        <v>165</v>
      </c>
      <c r="C111" s="73">
        <f>('DOE25'!L200)+('DOE25'!L218)+('DOE25'!L236)</f>
        <v>65469.08</v>
      </c>
      <c r="D111" s="23" t="s">
        <v>288</v>
      </c>
      <c r="E111" s="73">
        <f>('DOE25'!L279)+('DOE25'!L298)+('DOE25'!L317)</f>
        <v>0</v>
      </c>
      <c r="F111" s="23" t="s">
        <v>288</v>
      </c>
      <c r="G111" s="23" t="s">
        <v>288</v>
      </c>
      <c r="H111" s="13">
        <f t="shared" si="6"/>
        <v>65469.08</v>
      </c>
    </row>
    <row r="112" spans="1:8" x14ac:dyDescent="0.2">
      <c r="A112" t="s">
        <v>201</v>
      </c>
      <c r="B112" s="31" t="s">
        <v>167</v>
      </c>
      <c r="C112" s="73">
        <f>('DOE25'!L201)+('DOE25'!L219)+('DOE25'!L237)</f>
        <v>536188.34000000008</v>
      </c>
      <c r="D112" s="23" t="s">
        <v>288</v>
      </c>
      <c r="E112" s="73">
        <f>+('DOE25'!L280)+('DOE25'!L299)+('DOE25'!L318)</f>
        <v>0</v>
      </c>
      <c r="F112" s="23" t="s">
        <v>288</v>
      </c>
      <c r="G112" s="23" t="s">
        <v>288</v>
      </c>
      <c r="H112" s="13">
        <f t="shared" si="6"/>
        <v>536188.34000000008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49859.1</v>
      </c>
      <c r="D114" s="23" t="s">
        <v>288</v>
      </c>
      <c r="E114" s="73">
        <f>+ SUM('DOE25'!L334:L336)</f>
        <v>0</v>
      </c>
      <c r="F114" s="23" t="s">
        <v>288</v>
      </c>
      <c r="G114" s="23" t="s">
        <v>288</v>
      </c>
      <c r="H114" s="13">
        <f t="shared" si="6"/>
        <v>49859.1</v>
      </c>
    </row>
    <row r="115" spans="1:8" ht="12.75" thickTop="1" thickBot="1" x14ac:dyDescent="0.25">
      <c r="A115" s="32" t="s">
        <v>205</v>
      </c>
      <c r="C115" s="68">
        <f>SUM(C109:C114)</f>
        <v>9666046.3200000003</v>
      </c>
      <c r="D115" s="68">
        <f>SUM(D109:D114)</f>
        <v>0</v>
      </c>
      <c r="E115" s="68">
        <f>SUM(E109:E114)</f>
        <v>422154.82000000007</v>
      </c>
      <c r="F115" s="68">
        <f>SUM(F109:F114)</f>
        <v>0</v>
      </c>
      <c r="G115" s="68">
        <f>SUM(G109:G114)</f>
        <v>0</v>
      </c>
      <c r="H115" s="68">
        <f t="shared" si="6"/>
        <v>10088201.140000001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826738.69000000006</v>
      </c>
      <c r="D118" s="23" t="s">
        <v>288</v>
      </c>
      <c r="E118" s="73">
        <f>+('DOE25'!L282)+('DOE25'!L301)+('DOE25'!L320)</f>
        <v>33068.400000000001</v>
      </c>
      <c r="F118" s="23" t="s">
        <v>288</v>
      </c>
      <c r="G118" s="23" t="s">
        <v>288</v>
      </c>
      <c r="H118" s="13">
        <f t="shared" ref="H118:H145" si="7">SUM(C118:G118)</f>
        <v>859807.09000000008</v>
      </c>
    </row>
    <row r="119" spans="1:8" x14ac:dyDescent="0.2">
      <c r="A119" t="s">
        <v>208</v>
      </c>
      <c r="B119" s="31" t="s">
        <v>209</v>
      </c>
      <c r="C119" s="73">
        <f>('DOE25'!L204)+('DOE25'!L222)+('DOE25'!L240)</f>
        <v>1281822.1599999999</v>
      </c>
      <c r="D119" s="23" t="s">
        <v>288</v>
      </c>
      <c r="E119" s="73">
        <f>+('DOE25'!L283)+('DOE25'!L302)+('DOE25'!L321)</f>
        <v>88056.28</v>
      </c>
      <c r="F119" s="23" t="s">
        <v>288</v>
      </c>
      <c r="G119" s="23" t="s">
        <v>288</v>
      </c>
      <c r="H119" s="13">
        <f t="shared" si="7"/>
        <v>1369878.44</v>
      </c>
    </row>
    <row r="120" spans="1:8" x14ac:dyDescent="0.2">
      <c r="A120" t="s">
        <v>210</v>
      </c>
      <c r="B120" s="31" t="s">
        <v>211</v>
      </c>
      <c r="C120" s="73">
        <f>('DOE25'!L205)+('DOE25'!L223)+('DOE25'!L241)</f>
        <v>638167.09000000008</v>
      </c>
      <c r="D120" s="23" t="s">
        <v>288</v>
      </c>
      <c r="E120" s="73">
        <f>+('DOE25'!L284)+('DOE25'!L303)+('DOE25'!L322)</f>
        <v>6402.04</v>
      </c>
      <c r="F120" s="23" t="s">
        <v>288</v>
      </c>
      <c r="G120" s="23" t="s">
        <v>288</v>
      </c>
      <c r="H120" s="13">
        <f t="shared" si="7"/>
        <v>644569.13000000012</v>
      </c>
    </row>
    <row r="121" spans="1:8" x14ac:dyDescent="0.2">
      <c r="A121" t="s">
        <v>212</v>
      </c>
      <c r="B121" s="31" t="s">
        <v>213</v>
      </c>
      <c r="C121" s="73">
        <f>('DOE25'!L206)+('DOE25'!L224)+('DOE25'!L242)</f>
        <v>777844.63</v>
      </c>
      <c r="D121" s="23" t="s">
        <v>288</v>
      </c>
      <c r="E121" s="73">
        <f>+('DOE25'!L285)+('DOE25'!L304)+('DOE25'!L323)</f>
        <v>0</v>
      </c>
      <c r="F121" s="23" t="s">
        <v>288</v>
      </c>
      <c r="G121" s="23" t="s">
        <v>288</v>
      </c>
      <c r="H121" s="13">
        <f t="shared" si="7"/>
        <v>777844.63</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1569457.0099999998</v>
      </c>
      <c r="D123" s="23" t="s">
        <v>288</v>
      </c>
      <c r="E123" s="73">
        <f>+('DOE25'!L287)+('DOE25'!L306)+('DOE25'!L325)</f>
        <v>16602.54</v>
      </c>
      <c r="F123" s="23" t="s">
        <v>288</v>
      </c>
      <c r="G123" s="23" t="s">
        <v>288</v>
      </c>
      <c r="H123" s="13">
        <f t="shared" si="7"/>
        <v>1586059.5499999998</v>
      </c>
    </row>
    <row r="124" spans="1:8" x14ac:dyDescent="0.2">
      <c r="A124" t="s">
        <v>218</v>
      </c>
      <c r="B124" s="31" t="s">
        <v>219</v>
      </c>
      <c r="C124" s="73">
        <f>('DOE25'!L209)+('DOE25'!L227)+('DOE25'!L245+'DOE25'!L255)</f>
        <v>730875.41999999993</v>
      </c>
      <c r="D124" s="23" t="s">
        <v>288</v>
      </c>
      <c r="E124" s="73">
        <f>+('DOE25'!L288)+('DOE25'!L307)+('DOE25'!L326)</f>
        <v>0</v>
      </c>
      <c r="F124" s="23" t="s">
        <v>288</v>
      </c>
      <c r="G124" s="23" t="s">
        <v>288</v>
      </c>
      <c r="H124" s="13">
        <f t="shared" si="7"/>
        <v>730875.41999999993</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382119.89</v>
      </c>
      <c r="E127" s="23" t="s">
        <v>288</v>
      </c>
      <c r="F127" s="23" t="s">
        <v>288</v>
      </c>
      <c r="G127" s="23" t="s">
        <v>288</v>
      </c>
      <c r="H127" s="13">
        <f t="shared" si="7"/>
        <v>382119.89</v>
      </c>
    </row>
    <row r="128" spans="1:8" ht="12.75" thickTop="1" thickBot="1" x14ac:dyDescent="0.25">
      <c r="A128" s="32" t="s">
        <v>226</v>
      </c>
      <c r="C128" s="68">
        <f>SUM(C118:C127)</f>
        <v>5824905</v>
      </c>
      <c r="D128" s="68">
        <f>SUM(D118:D127)</f>
        <v>382119.89</v>
      </c>
      <c r="E128" s="68">
        <f>SUM(E118:E127)</f>
        <v>144129.25999999998</v>
      </c>
      <c r="F128" s="68">
        <f>SUM(F118:F127)</f>
        <v>0</v>
      </c>
      <c r="G128" s="68">
        <f>SUM(G118:G127)</f>
        <v>0</v>
      </c>
      <c r="H128" s="68">
        <f t="shared" si="7"/>
        <v>6351154.1499999994</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1794037.8700000003</v>
      </c>
      <c r="D139" s="23" t="s">
        <v>288</v>
      </c>
      <c r="E139" s="23" t="s">
        <v>288</v>
      </c>
      <c r="F139" s="23" t="s">
        <v>288</v>
      </c>
      <c r="G139" s="23" t="s">
        <v>288</v>
      </c>
      <c r="H139" s="13">
        <f t="shared" si="7"/>
        <v>1794037.8700000003</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-1694037.8700000003</v>
      </c>
      <c r="D141" s="23" t="s">
        <v>288</v>
      </c>
      <c r="E141" s="23" t="s">
        <v>288</v>
      </c>
      <c r="F141" s="23" t="s">
        <v>288</v>
      </c>
      <c r="G141" s="23" t="s">
        <v>288</v>
      </c>
      <c r="H141" s="13">
        <f t="shared" si="7"/>
        <v>-1694037.8700000003</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100000</v>
      </c>
      <c r="D144" s="98">
        <f>SUM(D130:D143)</f>
        <v>0</v>
      </c>
      <c r="E144" s="98">
        <f>SUM(E130:E143)</f>
        <v>0</v>
      </c>
      <c r="F144" s="98">
        <f>SUM(F130:F143)</f>
        <v>0</v>
      </c>
      <c r="G144" s="98">
        <f>SUM(G130:G143)</f>
        <v>0</v>
      </c>
      <c r="H144" s="98">
        <f t="shared" si="7"/>
        <v>100000</v>
      </c>
    </row>
    <row r="145" spans="1:9" ht="12.75" thickTop="1" thickBot="1" x14ac:dyDescent="0.25">
      <c r="A145" s="32" t="s">
        <v>244</v>
      </c>
      <c r="C145" s="68">
        <f>(C115+C128+C144)</f>
        <v>15590951.32</v>
      </c>
      <c r="D145" s="68">
        <f>(D115+D128+D144)</f>
        <v>382119.89</v>
      </c>
      <c r="E145" s="68">
        <f>(E115+E128+E144)</f>
        <v>566284.08000000007</v>
      </c>
      <c r="F145" s="68">
        <f>(F115+F128+F144)</f>
        <v>0</v>
      </c>
      <c r="G145" s="68">
        <f>(G115+G128+G144)</f>
        <v>0</v>
      </c>
      <c r="H145" s="68">
        <f t="shared" si="7"/>
        <v>16539355.290000001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Moultonborough</v>
      </c>
    </row>
    <row r="3" spans="1:4" x14ac:dyDescent="0.2">
      <c r="B3" s="137" t="s">
        <v>1799</v>
      </c>
    </row>
    <row r="4" spans="1:4" x14ac:dyDescent="0.2">
      <c r="B4" t="s">
        <v>61</v>
      </c>
      <c r="C4" s="129">
        <f>IF('DOE25'!F666+'DOE25'!F671=0,0,ROUND('DOE25'!F673,0))</f>
        <v>30677</v>
      </c>
    </row>
    <row r="5" spans="1:4" x14ac:dyDescent="0.2">
      <c r="B5" t="s">
        <v>700</v>
      </c>
      <c r="C5" s="129">
        <f>IF('DOE25'!G666+'DOE25'!G671=0,0,ROUND('DOE25'!G673,0))</f>
        <v>35487</v>
      </c>
    </row>
    <row r="6" spans="1:4" x14ac:dyDescent="0.2">
      <c r="B6" t="s">
        <v>62</v>
      </c>
      <c r="C6" s="129">
        <f>IF('DOE25'!H666+'DOE25'!H671=0,0,ROUND('DOE25'!H673,0))</f>
        <v>34446</v>
      </c>
    </row>
    <row r="7" spans="1:4" x14ac:dyDescent="0.2">
      <c r="B7" t="s">
        <v>701</v>
      </c>
      <c r="C7" s="129">
        <f>IF('DOE25'!I666+'DOE25'!I671=0,0,ROUND('DOE25'!I673,0))</f>
        <v>32880</v>
      </c>
    </row>
    <row r="9" spans="1:4" x14ac:dyDescent="0.2">
      <c r="A9" s="136" t="s">
        <v>94</v>
      </c>
      <c r="B9" s="137" t="s">
        <v>1800</v>
      </c>
      <c r="C9" s="131" t="s">
        <v>720</v>
      </c>
      <c r="D9" s="131" t="s">
        <v>721</v>
      </c>
    </row>
    <row r="10" spans="1:4" x14ac:dyDescent="0.2">
      <c r="A10">
        <v>1100</v>
      </c>
      <c r="B10" t="s">
        <v>702</v>
      </c>
      <c r="C10" s="129">
        <f>ROUND('DOE25'!L198+'DOE25'!L216+'DOE25'!L234+'DOE25'!L277+'DOE25'!L296+'DOE25'!L315,0)</f>
        <v>6066821</v>
      </c>
      <c r="D10" s="132">
        <f>ROUND((C10/$C$28)*100,1)</f>
        <v>37.4</v>
      </c>
    </row>
    <row r="11" spans="1:4" x14ac:dyDescent="0.2">
      <c r="A11">
        <v>1200</v>
      </c>
      <c r="B11" t="s">
        <v>703</v>
      </c>
      <c r="C11" s="129">
        <f>ROUND('DOE25'!L199+'DOE25'!L217+'DOE25'!L235+'DOE25'!L278+'DOE25'!L297+'DOE25'!L316,0)</f>
        <v>3369864</v>
      </c>
      <c r="D11" s="132">
        <f>ROUND((C11/$C$28)*100,1)</f>
        <v>20.8</v>
      </c>
    </row>
    <row r="12" spans="1:4" x14ac:dyDescent="0.2">
      <c r="A12">
        <v>1300</v>
      </c>
      <c r="B12" t="s">
        <v>704</v>
      </c>
      <c r="C12" s="129">
        <f>ROUND('DOE25'!L200+'DOE25'!L218+'DOE25'!L236+'DOE25'!L279+'DOE25'!L298+'DOE25'!L317,0)</f>
        <v>65469</v>
      </c>
      <c r="D12" s="132">
        <f>ROUND((C12/$C$28)*100,1)</f>
        <v>0.4</v>
      </c>
    </row>
    <row r="13" spans="1:4" x14ac:dyDescent="0.2">
      <c r="A13">
        <v>1400</v>
      </c>
      <c r="B13" t="s">
        <v>705</v>
      </c>
      <c r="C13" s="129">
        <f>ROUND('DOE25'!L201+'DOE25'!L219+'DOE25'!L237+'DOE25'!L280+'DOE25'!L299+'DOE25'!L318,0)</f>
        <v>536188</v>
      </c>
      <c r="D13" s="132">
        <f>ROUND((C13/$C$28)*100,1)</f>
        <v>3.3</v>
      </c>
    </row>
    <row r="14" spans="1:4" x14ac:dyDescent="0.2">
      <c r="D14" s="132"/>
    </row>
    <row r="15" spans="1:4" x14ac:dyDescent="0.2">
      <c r="A15">
        <v>2100</v>
      </c>
      <c r="B15" t="s">
        <v>706</v>
      </c>
      <c r="C15" s="129">
        <f>ROUND('DOE25'!L203+'DOE25'!L221+'DOE25'!L239+'DOE25'!L282+'DOE25'!L301+'DOE25'!L320,0)</f>
        <v>859807</v>
      </c>
      <c r="D15" s="132">
        <f t="shared" ref="D15:D27" si="0">ROUND((C15/$C$28)*100,1)</f>
        <v>5.3</v>
      </c>
    </row>
    <row r="16" spans="1:4" x14ac:dyDescent="0.2">
      <c r="A16">
        <v>2200</v>
      </c>
      <c r="B16" t="s">
        <v>707</v>
      </c>
      <c r="C16" s="129">
        <f>ROUND('DOE25'!L204+'DOE25'!L222+'DOE25'!L240+'DOE25'!L283+'DOE25'!L302+'DOE25'!L321,0)</f>
        <v>1369878</v>
      </c>
      <c r="D16" s="132">
        <f t="shared" si="0"/>
        <v>8.4</v>
      </c>
    </row>
    <row r="17" spans="1:4" x14ac:dyDescent="0.2">
      <c r="A17" s="133" t="s">
        <v>723</v>
      </c>
      <c r="B17" t="s">
        <v>738</v>
      </c>
      <c r="C17" s="129">
        <f>ROUND('DOE25'!L205+'DOE25'!L210+'DOE25'!L223+'DOE25'!L228+'DOE25'!L241+'DOE25'!L246+'DOE25'!L284+'DOE25'!L289+'DOE25'!L303+'DOE25'!L308+'DOE25'!L322+'DOE25'!L327,0)</f>
        <v>644569</v>
      </c>
      <c r="D17" s="132">
        <f t="shared" si="0"/>
        <v>4</v>
      </c>
    </row>
    <row r="18" spans="1:4" x14ac:dyDescent="0.2">
      <c r="A18">
        <v>2400</v>
      </c>
      <c r="B18" t="s">
        <v>711</v>
      </c>
      <c r="C18" s="129">
        <f>ROUND('DOE25'!L206+'DOE25'!L224+'DOE25'!L242+'DOE25'!L285+'DOE25'!L304+'DOE25'!L323,0)</f>
        <v>777845</v>
      </c>
      <c r="D18" s="132">
        <f t="shared" si="0"/>
        <v>4.8</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1586060</v>
      </c>
      <c r="D20" s="132">
        <f t="shared" si="0"/>
        <v>9.8000000000000007</v>
      </c>
    </row>
    <row r="21" spans="1:4" x14ac:dyDescent="0.2">
      <c r="A21">
        <v>2700</v>
      </c>
      <c r="B21" t="s">
        <v>710</v>
      </c>
      <c r="C21" s="129">
        <f>ROUND('DOE25'!L209+'DOE25'!L227+'DOE25'!L245+'DOE25'!L288+'DOE25'!L307+'DOE25'!L326,0)</f>
        <v>730875</v>
      </c>
      <c r="D21" s="132">
        <f t="shared" si="0"/>
        <v>4.5</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49859</v>
      </c>
      <c r="D24" s="132">
        <f t="shared" si="0"/>
        <v>0.3</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179208.07</v>
      </c>
      <c r="D27" s="132">
        <f t="shared" si="0"/>
        <v>1.1000000000000001</v>
      </c>
    </row>
    <row r="28" spans="1:4" x14ac:dyDescent="0.2">
      <c r="B28" s="136" t="s">
        <v>719</v>
      </c>
      <c r="C28" s="130">
        <f>SUM(C10:C27)</f>
        <v>16236443.07</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16236443.07</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8588853</v>
      </c>
      <c r="D35" s="132">
        <f t="shared" ref="D35:D40" si="1">ROUND((C35/$C$41)*100,1)</f>
        <v>48.4</v>
      </c>
    </row>
    <row r="36" spans="1:4" x14ac:dyDescent="0.2">
      <c r="B36" s="71" t="s">
        <v>739</v>
      </c>
      <c r="C36" s="129">
        <f>SUM('DOE25'!F112:J112)-SUM('DOE25'!G97:G110)+('DOE25'!F175+'DOE25'!F176+'DOE25'!I175+'DOE25'!I176)-C35</f>
        <v>1761509.5399999991</v>
      </c>
      <c r="D36" s="132">
        <f t="shared" si="1"/>
        <v>9.9</v>
      </c>
    </row>
    <row r="37" spans="1:4" x14ac:dyDescent="0.2">
      <c r="A37" s="133" t="s">
        <v>834</v>
      </c>
      <c r="B37" s="71" t="s">
        <v>728</v>
      </c>
      <c r="C37" s="129">
        <f>ROUND('DOE25'!F117+'DOE25'!F118,0)</f>
        <v>6493852</v>
      </c>
      <c r="D37" s="132">
        <f t="shared" si="1"/>
        <v>36.6</v>
      </c>
    </row>
    <row r="38" spans="1:4" x14ac:dyDescent="0.2">
      <c r="A38" s="133" t="s">
        <v>734</v>
      </c>
      <c r="B38" s="71" t="s">
        <v>729</v>
      </c>
      <c r="C38" s="129">
        <f>ROUND(SUM('DOE25'!F140:J140)-SUM('DOE25'!F117:F119),0)</f>
        <v>239384</v>
      </c>
      <c r="D38" s="132">
        <f t="shared" si="1"/>
        <v>1.3</v>
      </c>
    </row>
    <row r="39" spans="1:4" x14ac:dyDescent="0.2">
      <c r="A39">
        <v>4000</v>
      </c>
      <c r="B39" s="71" t="s">
        <v>730</v>
      </c>
      <c r="C39" s="129">
        <f>ROUND('DOE25'!F170+'DOE25'!G170+'DOE25'!H170+'DOE25'!I170,0)</f>
        <v>668419</v>
      </c>
      <c r="D39" s="132">
        <f t="shared" si="1"/>
        <v>3.8</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17752017.539999999</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Moultonborough</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198</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47</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60</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f>IF('School Level Expenditures'!$B$2='School Tables'!L50,'School Tables'!S50,"")</f>
        <v>47</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f>IF('School Level Expenditures'!$B$2='School Tables'!W63,'School Tables'!AD63,"")</f>
        <v>60</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f>IF('School Level Expenditures'!$B$2=A201,'School Tables'!H201,"")</f>
        <v>198</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2023-10-07T14:00:48Z</cp:lastPrinted>
  <dcterms:created xsi:type="dcterms:W3CDTF">1997-12-04T19:04:30Z</dcterms:created>
  <dcterms:modified xsi:type="dcterms:W3CDTF">2023-12-28T19:58:07Z</dcterms:modified>
</cp:coreProperties>
</file>