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2058657-1EB2-4D17-A23F-BC65A3D213C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04" i="1" l="1"/>
  <c r="H404" i="1"/>
  <c r="J96" i="1"/>
  <c r="I473" i="1" l="1"/>
  <c r="J102" i="1" l="1"/>
  <c r="K379" i="1" l="1"/>
  <c r="G460" i="1"/>
  <c r="F460" i="1"/>
  <c r="H459" i="1"/>
  <c r="H441" i="1"/>
  <c r="G440" i="1"/>
  <c r="H430" i="1"/>
  <c r="J427" i="1"/>
  <c r="I427" i="1"/>
  <c r="H427" i="1"/>
  <c r="H65" i="1"/>
  <c r="H66" i="1"/>
  <c r="H69" i="1"/>
  <c r="H98" i="1"/>
  <c r="H161" i="1"/>
  <c r="F11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B27" i="12"/>
  <c r="C27" i="12"/>
  <c r="B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H93" i="2" s="1"/>
  <c r="C94" i="2"/>
  <c r="F94" i="2"/>
  <c r="D96" i="2"/>
  <c r="E96" i="2"/>
  <c r="F96" i="2"/>
  <c r="G96" i="2"/>
  <c r="C97" i="2"/>
  <c r="D97" i="2"/>
  <c r="E97" i="2"/>
  <c r="F97" i="2"/>
  <c r="G97" i="2"/>
  <c r="C98" i="2"/>
  <c r="D98" i="2"/>
  <c r="E98" i="2"/>
  <c r="G98" i="2"/>
  <c r="C99" i="2"/>
  <c r="D99" i="2"/>
  <c r="E99" i="2"/>
  <c r="F99" i="2"/>
  <c r="C100" i="2"/>
  <c r="H100" i="2" s="1"/>
  <c r="D100" i="2"/>
  <c r="E100" i="2"/>
  <c r="F100" i="2"/>
  <c r="C101" i="2"/>
  <c r="H101" i="2" s="1"/>
  <c r="D101" i="2"/>
  <c r="E101" i="2"/>
  <c r="F101" i="2"/>
  <c r="C102" i="2"/>
  <c r="D102" i="2"/>
  <c r="E102" i="2"/>
  <c r="F102" i="2"/>
  <c r="E111" i="2"/>
  <c r="D115" i="2"/>
  <c r="F115" i="2"/>
  <c r="G115" i="2"/>
  <c r="E120"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5" i="1"/>
  <c r="G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3" i="1"/>
  <c r="K594" i="1"/>
  <c r="K595" i="1"/>
  <c r="K596" i="1"/>
  <c r="K597" i="1"/>
  <c r="K598" i="1"/>
  <c r="K603" i="1"/>
  <c r="K604" i="1"/>
  <c r="K605" i="1"/>
  <c r="H606" i="1"/>
  <c r="I606" i="1"/>
  <c r="J606" i="1"/>
  <c r="F615" i="1"/>
  <c r="G615" i="1"/>
  <c r="H615" i="1"/>
  <c r="I615" i="1"/>
  <c r="J615" i="1"/>
  <c r="K615" i="1"/>
  <c r="G623" i="1"/>
  <c r="G624" i="1"/>
  <c r="G625" i="1"/>
  <c r="H633" i="1"/>
  <c r="H634" i="1"/>
  <c r="H636" i="1"/>
  <c r="H637" i="1"/>
  <c r="G644" i="1"/>
  <c r="G645" i="1"/>
  <c r="G646" i="1"/>
  <c r="H653" i="1"/>
  <c r="G654" i="1"/>
  <c r="H654" i="1"/>
  <c r="H655" i="1"/>
  <c r="H656" i="1"/>
  <c r="H94" i="2" l="1"/>
  <c r="H140" i="1"/>
  <c r="G62" i="2"/>
  <c r="H43" i="2"/>
  <c r="I170" i="1"/>
  <c r="H38" i="2"/>
  <c r="H25" i="2"/>
  <c r="D18" i="13"/>
  <c r="C18" i="13" s="1"/>
  <c r="H97" i="2"/>
  <c r="H23" i="2"/>
  <c r="G409" i="1"/>
  <c r="H646" i="1" s="1"/>
  <c r="H36" i="2"/>
  <c r="J140" i="1"/>
  <c r="J112" i="1"/>
  <c r="J194" i="1" s="1"/>
  <c r="G647" i="1" s="1"/>
  <c r="C110" i="2"/>
  <c r="G663" i="1"/>
  <c r="H22" i="2"/>
  <c r="C119" i="2"/>
  <c r="G652" i="1"/>
  <c r="I599" i="1"/>
  <c r="H651" i="1" s="1"/>
  <c r="J651" i="1" s="1"/>
  <c r="E112" i="2"/>
  <c r="C125" i="2"/>
  <c r="H125" i="2" s="1"/>
  <c r="H89" i="2"/>
  <c r="H72" i="2"/>
  <c r="H30" i="2"/>
  <c r="H8" i="2"/>
  <c r="H15" i="2"/>
  <c r="H102" i="2"/>
  <c r="H99" i="2"/>
  <c r="H29" i="2"/>
  <c r="H26" i="2"/>
  <c r="H58" i="2"/>
  <c r="H96" i="2"/>
  <c r="H87" i="2"/>
  <c r="H35" i="2"/>
  <c r="H59" i="2"/>
  <c r="H17" i="2"/>
  <c r="H69" i="2"/>
  <c r="H44" i="2"/>
  <c r="H98" i="2"/>
  <c r="H132" i="2"/>
  <c r="H80" i="2"/>
  <c r="H34" i="2"/>
  <c r="H9" i="2"/>
  <c r="H28" i="2"/>
  <c r="H24" i="2"/>
  <c r="H79" i="2"/>
  <c r="H73" i="2"/>
  <c r="H27" i="2"/>
  <c r="H11" i="2"/>
  <c r="H77" i="2"/>
  <c r="H76" i="2"/>
  <c r="H61" i="2"/>
  <c r="H48" i="2"/>
  <c r="H47" i="2"/>
  <c r="H13" i="2"/>
  <c r="H12" i="2"/>
  <c r="C32" i="10"/>
  <c r="I409" i="1"/>
  <c r="H113" i="2"/>
  <c r="E124" i="2"/>
  <c r="E121" i="2"/>
  <c r="C112" i="2"/>
  <c r="C12" i="10"/>
  <c r="C121" i="2"/>
  <c r="E13" i="13"/>
  <c r="C13" i="13" s="1"/>
  <c r="N2" i="14"/>
  <c r="N3" i="14" s="1"/>
  <c r="D15" i="13"/>
  <c r="C15" i="13" s="1"/>
  <c r="D6" i="13"/>
  <c r="C6" i="13" s="1"/>
  <c r="C120" i="2"/>
  <c r="H120" i="2" s="1"/>
  <c r="M2" i="14"/>
  <c r="M3" i="14" s="1"/>
  <c r="L2" i="14"/>
  <c r="L3" i="14" s="1"/>
  <c r="C13" i="10"/>
  <c r="K2" i="14"/>
  <c r="K3" i="14" s="1"/>
  <c r="E119" i="2"/>
  <c r="H409" i="1"/>
  <c r="H645" i="1" s="1"/>
  <c r="J645" i="1" s="1"/>
  <c r="G339" i="1"/>
  <c r="G353" i="1" s="1"/>
  <c r="J258" i="1"/>
  <c r="J272" i="1" s="1"/>
  <c r="E123" i="2"/>
  <c r="E110" i="2"/>
  <c r="K339" i="1"/>
  <c r="K353" i="1" s="1"/>
  <c r="J656" i="1"/>
  <c r="J572" i="1"/>
  <c r="D50" i="2"/>
  <c r="E131" i="2"/>
  <c r="H131" i="2" s="1"/>
  <c r="G553" i="1"/>
  <c r="H663" i="1"/>
  <c r="F258" i="1"/>
  <c r="F272" i="1" s="1"/>
  <c r="C20" i="10"/>
  <c r="L257" i="1"/>
  <c r="H193" i="1"/>
  <c r="C11" i="10"/>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572" i="1"/>
  <c r="L420" i="1"/>
  <c r="D91" i="2"/>
  <c r="D81" i="2"/>
  <c r="E78" i="2"/>
  <c r="E81" i="2" s="1"/>
  <c r="G546" i="1"/>
  <c r="J644" i="1"/>
  <c r="J646" i="1"/>
  <c r="F112" i="1"/>
  <c r="L394" i="1"/>
  <c r="C138" i="2" s="1"/>
  <c r="H138" i="2" s="1"/>
  <c r="B28" i="16"/>
  <c r="L329" i="1"/>
  <c r="E122" i="2"/>
  <c r="L291" i="1"/>
  <c r="L615" i="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C15" i="10"/>
  <c r="D12" i="13"/>
  <c r="C12" i="13" s="1"/>
  <c r="D5" i="13"/>
  <c r="C5" i="13" s="1"/>
  <c r="E8" i="13"/>
  <c r="C8" i="13" s="1"/>
  <c r="C35" i="10"/>
  <c r="C29" i="10"/>
  <c r="G650" i="1"/>
  <c r="L545" i="1"/>
  <c r="L525" i="1"/>
  <c r="J339" i="1"/>
  <c r="J353" i="1"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I339" i="1"/>
  <c r="I353" i="1" s="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J653" i="1"/>
  <c r="G572" i="1"/>
  <c r="I435" i="1"/>
  <c r="G435" i="1"/>
  <c r="I664" i="1"/>
  <c r="E144" i="2" l="1"/>
  <c r="L572" i="1"/>
  <c r="H110" i="2"/>
  <c r="H119" i="2"/>
  <c r="H112" i="2"/>
  <c r="J599" i="1"/>
  <c r="H652" i="1" s="1"/>
  <c r="J652" i="1" s="1"/>
  <c r="H124" i="2"/>
  <c r="H42" i="2"/>
  <c r="H85" i="2"/>
  <c r="H16" i="2"/>
  <c r="H21" i="2"/>
  <c r="H91" i="2"/>
  <c r="H78" i="2"/>
  <c r="C81" i="2"/>
  <c r="H81" i="2" s="1"/>
  <c r="H62" i="2"/>
  <c r="H57" i="2"/>
  <c r="F194" i="1"/>
  <c r="F469" i="1" s="1"/>
  <c r="D51" i="2"/>
  <c r="H50" i="2"/>
  <c r="H31" i="2"/>
  <c r="E51" i="2"/>
  <c r="H18" i="2"/>
  <c r="H121" i="2"/>
  <c r="G144" i="2"/>
  <c r="G145" i="2" s="1"/>
  <c r="H134" i="2"/>
  <c r="H114" i="2"/>
  <c r="G24" i="14"/>
  <c r="H24" i="14" s="1"/>
  <c r="I24" i="14" s="1"/>
  <c r="H123" i="2"/>
  <c r="H122" i="2"/>
  <c r="I663" i="1"/>
  <c r="H103" i="2"/>
  <c r="E128" i="2"/>
  <c r="H118" i="2"/>
  <c r="E115" i="2"/>
  <c r="H109" i="2"/>
  <c r="F144" i="2"/>
  <c r="H130" i="2"/>
  <c r="H194" i="1"/>
  <c r="H649" i="1"/>
  <c r="J649" i="1" s="1"/>
  <c r="C141" i="2"/>
  <c r="F51" i="2"/>
  <c r="G36" i="14"/>
  <c r="H36" i="14" s="1"/>
  <c r="E104" i="2"/>
  <c r="C36" i="10"/>
  <c r="L435" i="1"/>
  <c r="G104" i="2"/>
  <c r="L339" i="1"/>
  <c r="L353" i="1" s="1"/>
  <c r="G634" i="1" s="1"/>
  <c r="J634" i="1" s="1"/>
  <c r="I194" i="1"/>
  <c r="G51" i="2"/>
  <c r="D104" i="2"/>
  <c r="L409" i="1"/>
  <c r="J469" i="1" s="1"/>
  <c r="G4" i="14"/>
  <c r="H4" i="14" s="1"/>
  <c r="I4" i="14" s="1"/>
  <c r="L546" i="1"/>
  <c r="F104" i="2"/>
  <c r="B14" i="16"/>
  <c r="E33" i="13"/>
  <c r="D35" i="13" s="1"/>
  <c r="L258" i="1"/>
  <c r="L272" i="1" s="1"/>
  <c r="G633" i="1" s="1"/>
  <c r="J633" i="1" s="1"/>
  <c r="C115" i="2"/>
  <c r="C63" i="2"/>
  <c r="C39" i="10"/>
  <c r="C128" i="2"/>
  <c r="D31" i="13"/>
  <c r="C31" i="13" s="1"/>
  <c r="I462" i="1"/>
  <c r="H643" i="1" s="1"/>
  <c r="J643" i="1" s="1"/>
  <c r="C25" i="13"/>
  <c r="I33" i="13"/>
  <c r="K553" i="1"/>
  <c r="C51" i="2"/>
  <c r="G632" i="1"/>
  <c r="G194" i="1"/>
  <c r="G627" i="1"/>
  <c r="J52" i="1"/>
  <c r="H622" i="1" s="1"/>
  <c r="J622" i="1" s="1"/>
  <c r="C38" i="10"/>
  <c r="G630" i="1" l="1"/>
  <c r="H469" i="1"/>
  <c r="G629" i="1"/>
  <c r="G469" i="1"/>
  <c r="G639" i="1"/>
  <c r="J473" i="1"/>
  <c r="H632" i="1"/>
  <c r="J632" i="1" s="1"/>
  <c r="H638" i="1"/>
  <c r="J471" i="1"/>
  <c r="G628" i="1"/>
  <c r="K592" i="1"/>
  <c r="K599" i="1" s="1"/>
  <c r="G648" i="1" s="1"/>
  <c r="J648" i="1" s="1"/>
  <c r="H599" i="1"/>
  <c r="H650" i="1" s="1"/>
  <c r="J650" i="1" s="1"/>
  <c r="G631" i="1"/>
  <c r="I469" i="1"/>
  <c r="C104" i="2"/>
  <c r="H104" i="2" s="1"/>
  <c r="H63" i="2"/>
  <c r="H51" i="2"/>
  <c r="C144" i="2"/>
  <c r="C145" i="2" s="1"/>
  <c r="H141" i="2"/>
  <c r="M24" i="14"/>
  <c r="M36" i="14"/>
  <c r="I36" i="14"/>
  <c r="H115" i="2"/>
  <c r="E145" i="2"/>
  <c r="F145" i="2"/>
  <c r="G638" i="1"/>
  <c r="H647" i="1"/>
  <c r="J647" i="1" s="1"/>
  <c r="C41" i="10"/>
  <c r="D38" i="10" s="1"/>
  <c r="H629" i="1" l="1"/>
  <c r="J629" i="1" s="1"/>
  <c r="G471" i="1"/>
  <c r="G477" i="1" s="1"/>
  <c r="H639" i="1"/>
  <c r="J639" i="1" s="1"/>
  <c r="J475" i="1"/>
  <c r="J477" i="1" s="1"/>
  <c r="H627" i="1" s="1"/>
  <c r="J627" i="1" s="1"/>
  <c r="J638" i="1"/>
  <c r="H630" i="1"/>
  <c r="J630" i="1" s="1"/>
  <c r="H471" i="1"/>
  <c r="H477" i="1" s="1"/>
  <c r="H625" i="1" s="1"/>
  <c r="J625" i="1" s="1"/>
  <c r="F471" i="1"/>
  <c r="F477" i="1" s="1"/>
  <c r="H623" i="1" s="1"/>
  <c r="J623" i="1" s="1"/>
  <c r="H628" i="1"/>
  <c r="J628" i="1" s="1"/>
  <c r="I471" i="1"/>
  <c r="I477" i="1" s="1"/>
  <c r="H626" i="1" s="1"/>
  <c r="J626" i="1" s="1"/>
  <c r="H631" i="1"/>
  <c r="J631" i="1"/>
  <c r="H144" i="2"/>
  <c r="D37" i="10"/>
  <c r="D36" i="10"/>
  <c r="D35" i="10"/>
  <c r="D40" i="10"/>
  <c r="D39" i="10"/>
  <c r="H624" i="1" l="1"/>
  <c r="J624" i="1" s="1"/>
  <c r="B33" i="16"/>
  <c r="D41" i="10"/>
  <c r="G370" i="1" l="1"/>
  <c r="I369" i="1" l="1"/>
  <c r="I363" i="1"/>
  <c r="G635" i="1" s="1"/>
  <c r="L360" i="1"/>
  <c r="H370" i="1"/>
  <c r="L361" i="1"/>
  <c r="K363" i="1"/>
  <c r="H29" i="13"/>
  <c r="H33" i="13" s="1"/>
  <c r="G363" i="1"/>
  <c r="G29" i="13"/>
  <c r="G33" i="13" s="1"/>
  <c r="J363" i="1"/>
  <c r="F370" i="1"/>
  <c r="I368" i="1"/>
  <c r="I370" i="1" s="1"/>
  <c r="H635" i="1" s="1"/>
  <c r="H363" i="1"/>
  <c r="L359" i="1"/>
  <c r="F363" i="1"/>
  <c r="J635" i="1" l="1"/>
  <c r="H662" i="1"/>
  <c r="H661" i="1"/>
  <c r="D29" i="13"/>
  <c r="L363" i="1"/>
  <c r="D127" i="2"/>
  <c r="F662" i="1"/>
  <c r="F661" i="1"/>
  <c r="G662" i="1"/>
  <c r="G661" i="1"/>
  <c r="G665" i="1" l="1"/>
  <c r="G668" i="1" s="1"/>
  <c r="I662" i="1"/>
  <c r="D128" i="2"/>
  <c r="H127" i="2"/>
  <c r="B17" i="16"/>
  <c r="B19" i="16" s="1"/>
  <c r="B22" i="16" s="1"/>
  <c r="C27" i="10"/>
  <c r="G636" i="1"/>
  <c r="C29" i="13"/>
  <c r="D33" i="13"/>
  <c r="D36" i="13" s="1"/>
  <c r="F665" i="1"/>
  <c r="I661" i="1"/>
  <c r="H665" i="1"/>
  <c r="G670" i="1" l="1"/>
  <c r="G673" i="1" s="1"/>
  <c r="C5" i="10" s="1"/>
  <c r="I665" i="1"/>
  <c r="I668" i="1" s="1"/>
  <c r="F670" i="1"/>
  <c r="F673" i="1" s="1"/>
  <c r="C4" i="10" s="1"/>
  <c r="F668" i="1"/>
  <c r="C28" i="10"/>
  <c r="D27" i="10" s="1"/>
  <c r="D145" i="2"/>
  <c r="H145" i="2" s="1"/>
  <c r="H128" i="2"/>
  <c r="J636" i="1"/>
  <c r="H657" i="1"/>
  <c r="H668" i="1"/>
  <c r="H670" i="1"/>
  <c r="H673" i="1" s="1"/>
  <c r="C6" i="10" s="1"/>
  <c r="D23" i="10" l="1"/>
  <c r="D24" i="10"/>
  <c r="D10" i="10"/>
  <c r="D16" i="10"/>
  <c r="D20" i="10"/>
  <c r="D13" i="10"/>
  <c r="D26" i="10"/>
  <c r="D15" i="10"/>
  <c r="D21" i="10"/>
  <c r="D11" i="10"/>
  <c r="D19" i="10"/>
  <c r="D12" i="10"/>
  <c r="D17" i="10"/>
  <c r="D22" i="10"/>
  <c r="D18" i="10"/>
  <c r="C30" i="10"/>
  <c r="D25" i="10"/>
  <c r="I670" i="1"/>
  <c r="I673" i="1" s="1"/>
  <c r="C7" i="10" s="1"/>
  <c r="D28" i="10" l="1"/>
  <c r="C40" i="12" l="1"/>
  <c r="A40" i="12" s="1"/>
  <c r="C22" i="12"/>
  <c r="A22" i="12" s="1"/>
  <c r="C31" i="12"/>
  <c r="A31" i="12" s="1"/>
  <c r="C13" i="12"/>
  <c r="A1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<sst xmlns="http://schemas.openxmlformats.org/spreadsheetml/2006/main" count="6558" uniqueCount="1813">
  <si>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</si>
  <si>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</si>
  <si>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</si>
  <si>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</si>
  <si>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</si>
  <si>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</si>
  <si>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</si>
  <si>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</si>
  <si>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</si>
  <si>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</si>
  <si>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</si>
  <si>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</si>
  <si>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</si>
  <si>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</si>
  <si>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</si>
  <si>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</si>
  <si>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</si>
  <si>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</si>
  <si>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</si>
  <si>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</si>
  <si>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</si>
  <si>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</si>
  <si>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</si>
  <si>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</si>
  <si>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</si>
  <si>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</si>
  <si>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</si>
  <si>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</si>
  <si>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</si>
  <si>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</si>
  <si>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</si>
  <si>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</si>
  <si>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</si>
  <si>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</si>
  <si>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</si>
  <si>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</si>
  <si>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</si>
  <si>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</si>
  <si>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</si>
  <si>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</si>
  <si>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</si>
  <si>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</si>
  <si>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</si>
  <si>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</si>
  <si>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</si>
  <si>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</si>
  <si>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</si>
  <si>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</si>
  <si>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</si>
  <si>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</si>
  <si>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</si>
  <si>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</si>
  <si>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</si>
  <si>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</si>
  <si>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</si>
  <si>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</si>
  <si>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</si>
  <si>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</si>
  <si>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</si>
  <si>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</si>
  <si>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</si>
  <si>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</si>
  <si>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</si>
  <si>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</si>
  <si>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</si>
  <si>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</si>
  <si>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</si>
  <si>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</si>
  <si>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</si>
  <si>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</si>
  <si>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</si>
  <si>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</si>
  <si>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</si>
  <si>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</si>
  <si>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</si>
  <si>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</si>
  <si>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</si>
  <si>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</si>
  <si>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</si>
  <si>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</si>
  <si>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</si>
  <si>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</si>
  <si>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</si>
  <si>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</si>
  <si>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</si>
  <si>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</si>
  <si>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</si>
  <si>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</si>
  <si>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</si>
  <si>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</si>
  <si>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</si>
  <si>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</si>
  <si>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</si>
  <si>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</si>
  <si>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</si>
  <si>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</si>
  <si>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</si>
  <si>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</si>
  <si>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</si>
  <si>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</si>
  <si>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</si>
  <si>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</si>
  <si>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</si>
  <si>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</si>
  <si>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</si>
  <si>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</si>
  <si>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</si>
  <si>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</si>
  <si>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</si>
  <si>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</si>
  <si>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</si>
  <si>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</si>
  <si>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</si>
  <si>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</si>
  <si>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</si>
  <si>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</si>
  <si>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</si>
  <si>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</si>
  <si>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</si>
  <si>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</si>
  <si>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</si>
  <si>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</si>
  <si>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</si>
  <si>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</si>
  <si>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</si>
  <si>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</si>
  <si>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</si>
  <si>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</si>
  <si>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</si>
  <si>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</si>
  <si>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</si>
  <si>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</si>
  <si>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</si>
  <si>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</si>
  <si>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</si>
  <si>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</si>
  <si>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</si>
  <si>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</si>
  <si>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</si>
  <si>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</si>
  <si>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</si>
  <si>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</si>
  <si>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</si>
  <si>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</si>
  <si>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</si>
  <si>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</si>
  <si>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</si>
  <si>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</si>
  <si>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</si>
  <si>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</si>
  <si>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</si>
  <si>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</si>
  <si>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</si>
  <si>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</si>
  <si>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</si>
  <si>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</si>
  <si>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</si>
  <si>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</si>
  <si>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</si>
  <si>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</si>
  <si>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</si>
  <si>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</si>
  <si>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</si>
  <si>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</si>
  <si>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</si>
  <si>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</si>
  <si>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</si>
  <si>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</si>
  <si>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</si>
  <si>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</si>
  <si>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</si>
  <si>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</si>
  <si>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</si>
  <si>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</si>
  <si>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</si>
  <si>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</si>
  <si>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</si>
  <si>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</si>
  <si>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</si>
  <si>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</si>
  <si>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</si>
  <si>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</si>
  <si>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</si>
  <si>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</si>
  <si>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</si>
  <si>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</si>
  <si>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</si>
  <si>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</si>
  <si>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</si>
  <si>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</si>
  <si>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</si>
  <si>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</si>
  <si>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</si>
  <si>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</si>
  <si>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</si>
  <si>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</si>
  <si>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</si>
  <si>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</si>
  <si>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</si>
  <si>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</si>
  <si>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</si>
  <si>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</si>
  <si>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</si>
  <si>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</si>
  <si>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</si>
  <si>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</si>
  <si>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</si>
  <si>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</si>
  <si>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</si>
  <si>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</si>
  <si>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</si>
  <si>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</si>
  <si>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</si>
  <si>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</si>
  <si>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</si>
  <si>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</si>
  <si>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</si>
  <si>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</si>
  <si>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</si>
  <si>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</si>
  <si>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</si>
  <si>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</si>
  <si>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</si>
  <si>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</si>
  <si>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</si>
  <si>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</si>
  <si>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</si>
  <si>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</si>
  <si>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</si>
  <si>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</si>
  <si>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</si>
  <si>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</si>
  <si>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</si>
  <si>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</si>
  <si>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</si>
  <si>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</si>
  <si>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</si>
  <si>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</si>
  <si>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</si>
  <si>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</si>
  <si>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</si>
  <si>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</si>
  <si>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</si>
  <si>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</si>
  <si>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</si>
  <si>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</si>
  <si>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</si>
  <si>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</si>
  <si>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</si>
  <si>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</si>
  <si>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</si>
  <si>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</si>
  <si>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</si>
  <si>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</si>
  <si>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</si>
  <si>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</si>
  <si>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</si>
  <si>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</si>
  <si>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</si>
  <si>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</si>
  <si>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</si>
  <si>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</si>
  <si>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</si>
  <si>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</si>
  <si>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</si>
  <si>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</si>
  <si>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</si>
  <si>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</si>
  <si>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</si>
  <si>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</si>
  <si>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</si>
  <si>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</si>
  <si>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</si>
  <si>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</si>
  <si>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</si>
  <si>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</si>
  <si>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</si>
  <si>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</si>
  <si>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</si>
  <si>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</si>
  <si>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</si>
  <si>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</si>
  <si>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</si>
  <si>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</si>
  <si>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</si>
  <si>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</si>
  <si>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</si>
  <si>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</si>
  <si>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</si>
  <si>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</si>
  <si>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</si>
  <si>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</si>
  <si>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</si>
  <si>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</si>
  <si>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</si>
  <si>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</si>
  <si>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</si>
  <si>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</si>
  <si>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</si>
  <si>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</si>
  <si>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</si>
  <si>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</si>
  <si>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</si>
  <si>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</si>
  <si>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</si>
  <si>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</si>
  <si>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</si>
  <si>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</si>
  <si>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</si>
  <si>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</si>
  <si>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</si>
  <si>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</si>
  <si>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</si>
  <si>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</si>
  <si>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</si>
  <si>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</si>
  <si>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</si>
  <si>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</si>
  <si>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</si>
  <si>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</si>
  <si>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</si>
  <si>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</si>
  <si>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</si>
  <si>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</si>
  <si>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</si>
  <si>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</si>
  <si>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</si>
  <si>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</si>
  <si>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</si>
  <si>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</si>
  <si>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</si>
  <si>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</si>
  <si>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</si>
  <si>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</si>
  <si>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</si>
  <si>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</si>
  <si>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</si>
  <si>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</si>
  <si>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</si>
  <si>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</si>
  <si>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</si>
  <si>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</si>
  <si>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</si>
  <si>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</si>
  <si>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</si>
  <si>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</si>
  <si>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</si>
  <si>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</si>
  <si>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</si>
  <si>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</si>
  <si>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</si>
  <si>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</si>
  <si>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</si>
  <si>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</si>
  <si>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</si>
  <si>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</si>
  <si>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</si>
  <si>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</si>
  <si>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</si>
  <si>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</si>
  <si>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</si>
  <si>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</si>
  <si>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</si>
  <si>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</si>
  <si>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</si>
  <si>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</si>
  <si>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</si>
  <si>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</si>
  <si>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</si>
  <si>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</si>
  <si>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</si>
  <si>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</si>
  <si>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</si>
  <si>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</si>
  <si>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</si>
  <si>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</si>
  <si>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</si>
  <si>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</si>
  <si>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</si>
  <si>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</si>
  <si>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</si>
  <si>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</si>
  <si>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</si>
  <si>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</si>
  <si>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</si>
  <si>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</si>
  <si>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</si>
  <si>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</si>
  <si>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</si>
  <si>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</si>
  <si>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</si>
  <si>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</si>
  <si>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</si>
  <si>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</si>
  <si>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</si>
  <si>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</si>
  <si>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</si>
  <si>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</si>
  <si>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</si>
  <si>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</si>
  <si>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</si>
  <si>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</si>
  <si>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</si>
  <si>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</si>
  <si>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</si>
  <si>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</si>
  <si>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</si>
  <si>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</si>
  <si>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</si>
  <si>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</si>
  <si>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</si>
  <si>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</si>
  <si>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</si>
  <si>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</si>
  <si>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</si>
  <si>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</si>
  <si>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</si>
  <si>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</si>
  <si>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</si>
  <si>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</si>
  <si>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</si>
  <si>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</si>
  <si>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</si>
  <si>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</si>
  <si>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</si>
  <si>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</si>
  <si>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</si>
  <si>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</si>
  <si>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</si>
  <si>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</si>
  <si>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</si>
  <si>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</si>
  <si>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</si>
  <si>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</si>
  <si>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</si>
  <si>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</si>
  <si>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</si>
  <si>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</si>
  <si>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</si>
  <si>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</si>
  <si>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</si>
  <si>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</si>
  <si>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</si>
  <si>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</si>
  <si>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</si>
  <si>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</si>
  <si>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</si>
  <si>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</si>
  <si>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</si>
  <si>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</si>
  <si>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</si>
  <si>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</si>
  <si>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</si>
  <si>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</si>
  <si>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</si>
  <si>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</si>
  <si>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</si>
  <si>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</si>
  <si>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</si>
  <si>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</si>
  <si>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</si>
  <si>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</si>
  <si>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</si>
  <si>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</si>
  <si>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</si>
  <si>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</si>
  <si>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</si>
  <si>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</si>
  <si>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</si>
  <si>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</si>
  <si>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</si>
  <si>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</si>
  <si>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</si>
  <si>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</si>
  <si>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</si>
  <si>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</si>
  <si>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</si>
  <si>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</si>
  <si>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</si>
  <si>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</si>
  <si>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</si>
  <si>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</si>
  <si>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</si>
  <si>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</si>
  <si>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</si>
  <si>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</si>
  <si>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</si>
  <si>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</si>
  <si>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</si>
  <si>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</si>
  <si>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</si>
  <si>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</si>
  <si>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</si>
  <si>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</si>
  <si>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</si>
  <si>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</si>
  <si>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</si>
  <si>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</si>
  <si>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</si>
  <si>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</si>
  <si>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</si>
  <si>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</si>
  <si>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</si>
  <si>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</si>
  <si>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</si>
  <si>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</si>
  <si>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</si>
  <si>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</si>
  <si>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</si>
  <si>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</si>
  <si>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</si>
  <si>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</si>
  <si>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</si>
  <si>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</si>
  <si>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</si>
  <si>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</si>
  <si>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</si>
  <si>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</si>
  <si>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</si>
  <si>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</si>
  <si>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</si>
  <si>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</si>
  <si>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</si>
  <si>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</si>
  <si>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</si>
  <si>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</si>
  <si>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</si>
  <si>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</si>
  <si>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</si>
  <si>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</si>
  <si>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</si>
  <si>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</si>
  <si>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</si>
  <si>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</si>
  <si>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</si>
  <si>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</si>
  <si>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</si>
  <si>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</si>
  <si>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</si>
  <si>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</si>
  <si>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</si>
  <si>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</si>
  <si>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</si>
  <si>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</si>
  <si>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</si>
  <si>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</si>
  <si>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</si>
  <si>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</si>
  <si>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</si>
  <si>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</si>
  <si>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</si>
  <si>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</si>
  <si>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</si>
  <si>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</si>
  <si>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</si>
  <si>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</si>
  <si>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</si>
  <si>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</si>
  <si>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</si>
  <si>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</si>
  <si>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</si>
  <si>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</si>
  <si>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</si>
  <si>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</si>
  <si>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</si>
  <si>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</si>
  <si>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</si>
  <si>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</si>
  <si>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</si>
  <si>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</si>
  <si>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</si>
  <si>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</si>
  <si>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</si>
  <si>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</si>
  <si>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</si>
  <si>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</si>
  <si>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</si>
  <si>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</si>
  <si>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</si>
  <si>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</si>
  <si>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</si>
  <si>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</si>
  <si>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</si>
  <si>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</si>
  <si>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</si>
  <si>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</si>
  <si>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</si>
  <si>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</si>
  <si>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</si>
  <si>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</si>
  <si>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</si>
  <si>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</si>
  <si>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</si>
  <si>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</si>
  <si>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</si>
  <si>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</si>
  <si>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</si>
  <si>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</si>
  <si>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</si>
  <si>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</si>
  <si>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</si>
  <si>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</si>
  <si>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</si>
  <si>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</si>
  <si>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</si>
  <si>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</si>
  <si>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</si>
  <si>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</si>
  <si>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</si>
  <si>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</si>
  <si>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</si>
  <si>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</si>
  <si>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</si>
  <si>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</si>
  <si>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</si>
  <si>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</si>
  <si>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</si>
  <si>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</si>
  <si>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</si>
  <si>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</si>
  <si>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</si>
  <si>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</si>
  <si>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</si>
  <si>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</si>
  <si>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</si>
  <si>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</si>
  <si>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</si>
  <si>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</si>
  <si>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</si>
  <si>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</si>
  <si>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</si>
  <si>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</si>
  <si>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</si>
  <si>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</si>
  <si>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</si>
  <si>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</si>
  <si>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</si>
  <si>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</si>
  <si>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</si>
  <si>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</si>
  <si>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</si>
  <si>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</si>
  <si>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</si>
  <si>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</si>
  <si>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</si>
  <si>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</si>
  <si>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</si>
  <si>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</si>
  <si>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</si>
  <si>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</si>
  <si>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</si>
  <si>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</si>
  <si>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</si>
  <si>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</si>
  <si>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</si>
  <si>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</si>
  <si>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</si>
  <si>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</si>
  <si>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</si>
  <si>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</si>
  <si>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</si>
  <si>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</si>
  <si>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</si>
  <si>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</si>
  <si>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</si>
  <si>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</si>
  <si>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</si>
  <si>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</si>
  <si>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</si>
  <si>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</si>
  <si>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</si>
  <si>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</si>
  <si>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</si>
  <si>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</si>
  <si>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</si>
  <si>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</si>
  <si>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</si>
  <si>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</si>
  <si>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</si>
  <si>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</si>
  <si>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</si>
  <si>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</si>
  <si>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</si>
  <si>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</si>
  <si>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</si>
  <si>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</si>
  <si>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</si>
  <si>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</si>
  <si>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</si>
  <si>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</si>
  <si>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</si>
  <si>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</si>
  <si>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</si>
  <si>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</si>
  <si>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</si>
  <si>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</si>
  <si>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</si>
  <si>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</si>
  <si>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</si>
  <si>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</si>
  <si>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</si>
  <si>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</si>
  <si>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</si>
  <si>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</si>
  <si>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</si>
  <si>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</si>
  <si>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</si>
  <si>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</si>
  <si>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</si>
  <si>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</si>
  <si>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</si>
  <si>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</si>
  <si>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</si>
  <si>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</si>
  <si>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</si>
  <si>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</si>
  <si>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</si>
  <si>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</si>
  <si>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</si>
  <si>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</si>
  <si>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</si>
  <si>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</si>
  <si>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</si>
  <si>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</si>
  <si>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</si>
  <si>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</si>
  <si>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</si>
  <si>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</si>
  <si>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</si>
  <si>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</si>
  <si>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</si>
  <si>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</si>
  <si>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</si>
  <si>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</si>
  <si>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</si>
  <si>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</si>
  <si>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</si>
  <si>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</si>
  <si>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</si>
  <si>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</si>
  <si>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</si>
  <si>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</si>
  <si>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</si>
  <si>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</si>
  <si>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</si>
  <si>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</si>
  <si>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</si>
  <si>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</si>
  <si>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</si>
  <si>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</si>
  <si>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</si>
  <si>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</si>
  <si>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</si>
  <si>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</si>
  <si>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</si>
  <si>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</si>
  <si>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</si>
  <si>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</si>
  <si>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</si>
  <si>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</si>
  <si>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</si>
  <si>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</si>
  <si>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</si>
  <si>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</si>
  <si>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</si>
  <si>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</si>
  <si>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</si>
  <si>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</si>
  <si>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</si>
  <si>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</si>
  <si>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</si>
  <si>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</si>
  <si>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</si>
  <si>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</si>
  <si>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</si>
  <si>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</si>
  <si>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</si>
  <si>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</si>
  <si>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</si>
  <si>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</si>
  <si>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</si>
  <si>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</si>
  <si>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</si>
  <si>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</si>
  <si>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</si>
  <si>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</si>
  <si>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</si>
  <si>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</si>
  <si>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</si>
  <si>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</si>
  <si>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</si>
  <si>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</si>
  <si>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</si>
  <si>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</si>
  <si>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</si>
  <si>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</si>
  <si>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</si>
  <si>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</si>
  <si>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</si>
  <si>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</si>
  <si>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</si>
  <si>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</si>
  <si>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</si>
  <si>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</si>
  <si>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</si>
  <si>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</si>
  <si>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</si>
  <si>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</si>
  <si>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</si>
  <si>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</si>
  <si>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</si>
  <si>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</si>
  <si>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</si>
  <si>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</si>
  <si>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</si>
  <si>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</si>
  <si>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</si>
  <si>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</si>
  <si>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</si>
  <si>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</si>
  <si>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</si>
  <si>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</si>
  <si>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</si>
  <si>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</si>
  <si>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</si>
  <si>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</si>
  <si>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</si>
  <si>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</si>
  <si>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</si>
  <si>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</si>
  <si>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</si>
  <si>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</si>
  <si>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</si>
  <si>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</si>
  <si>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</si>
  <si>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</si>
  <si>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</si>
  <si>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</si>
  <si>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</si>
  <si>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</si>
  <si>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</si>
  <si>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</si>
  <si>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</si>
  <si>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</si>
  <si>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</si>
  <si>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</si>
  <si>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</si>
  <si>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</si>
  <si>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</si>
  <si>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</si>
  <si>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</si>
  <si>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</si>
  <si>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</si>
  <si>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</si>
  <si>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</si>
  <si>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</si>
  <si>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</si>
  <si>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</si>
  <si>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</si>
  <si>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</si>
  <si>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</si>
  <si>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</si>
  <si>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</si>
  <si>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</si>
  <si>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</si>
  <si>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</si>
  <si>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</si>
  <si>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</si>
  <si>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</si>
  <si>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</si>
  <si>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</si>
  <si>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</si>
  <si>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</si>
  <si>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</si>
  <si>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</si>
  <si>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</si>
  <si>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</si>
  <si>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</si>
  <si>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</si>
  <si>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</si>
  <si>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</si>
  <si>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</si>
  <si>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</si>
  <si>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</si>
  <si>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</si>
  <si>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</si>
  <si>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</si>
  <si>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</si>
  <si>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</si>
  <si>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</si>
  <si>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</si>
  <si>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</si>
  <si>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</si>
  <si>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</si>
  <si>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</si>
  <si>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</si>
  <si>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</si>
  <si>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</si>
  <si>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</si>
  <si>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</si>
  <si>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</si>
  <si>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</si>
  <si>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</si>
  <si>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</si>
  <si>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</si>
  <si>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</si>
  <si>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</si>
  <si>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</si>
  <si>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</si>
  <si>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</si>
  <si>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</si>
  <si>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</si>
  <si>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</si>
  <si>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</si>
  <si>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</si>
  <si>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</si>
  <si>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</si>
  <si>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</si>
  <si>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</si>
  <si>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</si>
  <si>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</si>
  <si>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</si>
  <si>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</si>
  <si>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</si>
  <si>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</si>
  <si>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</si>
  <si>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</si>
  <si>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</si>
  <si>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</si>
  <si>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</si>
  <si>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</si>
  <si>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</si>
  <si>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</si>
  <si>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</si>
  <si>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</si>
  <si>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</si>
  <si>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</si>
  <si>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</si>
  <si>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</si>
  <si>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</si>
  <si>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</si>
  <si>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</si>
  <si>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</si>
  <si>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</si>
  <si>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</si>
  <si>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</si>
  <si>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</si>
  <si>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</si>
  <si>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</si>
  <si>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</si>
  <si>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</si>
  <si>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</si>
  <si>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</si>
  <si>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</si>
  <si>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</si>
  <si>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</si>
  <si>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</si>
  <si>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</si>
  <si>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</si>
  <si>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</si>
  <si>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</si>
  <si>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</si>
  <si>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</si>
  <si>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</si>
  <si>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</si>
  <si>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</si>
  <si>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</si>
  <si>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</si>
  <si>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</si>
  <si>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</si>
  <si>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</si>
  <si>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</si>
  <si>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</si>
  <si>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</si>
  <si>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</si>
  <si>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</si>
  <si>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</si>
  <si>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</si>
  <si>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</si>
  <si>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</si>
  <si>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</si>
  <si>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</si>
  <si>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</si>
  <si>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</si>
  <si>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</si>
  <si>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</si>
  <si>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</si>
  <si>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</si>
  <si>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</si>
  <si>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</si>
  <si>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</si>
  <si>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</si>
  <si>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</si>
  <si>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</si>
  <si>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</si>
  <si>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</si>
  <si>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</si>
  <si>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</si>
  <si>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</si>
  <si>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</si>
  <si>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</si>
  <si>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</si>
  <si>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</si>
  <si>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</si>
  <si>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</si>
  <si>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</si>
  <si>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</si>
  <si>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</si>
  <si>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</si>
  <si>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</si>
  <si>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</si>
  <si>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</si>
  <si>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</si>
  <si>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</si>
  <si>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</si>
  <si>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</si>
  <si>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</si>
  <si>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</si>
  <si>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</si>
  <si>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</si>
  <si>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</si>
  <si>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</si>
  <si>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</si>
  <si>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</si>
  <si>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</si>
  <si>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</si>
  <si>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</si>
  <si>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</si>
  <si>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</si>
  <si>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</si>
  <si>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</si>
  <si>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</si>
  <si>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</si>
  <si>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</si>
  <si>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</si>
  <si>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</si>
  <si>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</si>
  <si>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</si>
  <si>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</si>
  <si>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</si>
  <si>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</si>
  <si>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</si>
  <si>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</si>
  <si>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</si>
  <si>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</si>
  <si>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</si>
  <si>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</si>
  <si>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</si>
  <si>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</si>
  <si>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</si>
  <si>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</si>
  <si>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</si>
  <si>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</si>
  <si>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</si>
  <si>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</si>
  <si>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</si>
  <si>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</si>
  <si>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</si>
  <si>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</si>
  <si>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</si>
  <si>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</si>
  <si>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</si>
  <si>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</si>
  <si>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</si>
  <si>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</si>
  <si>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</si>
  <si>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</si>
  <si>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</si>
  <si>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</si>
  <si>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</si>
  <si>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</si>
  <si>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</si>
  <si>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</si>
  <si>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</si>
  <si>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</si>
  <si>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</si>
  <si>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</si>
  <si>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</si>
  <si>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</si>
  <si>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</si>
  <si>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</si>
  <si>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</si>
  <si>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</si>
  <si>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</si>
  <si>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</si>
  <si>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</si>
  <si>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</si>
  <si>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</si>
  <si>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</si>
  <si>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</si>
  <si>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</si>
  <si>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</si>
  <si>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</si>
  <si>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</si>
  <si>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</si>
  <si>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</si>
  <si>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</si>
  <si>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</si>
  <si>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</si>
  <si>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</si>
  <si>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</si>
  <si>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</si>
  <si>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</si>
  <si>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</si>
  <si>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</si>
  <si>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</si>
  <si>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</si>
  <si>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</si>
  <si>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</si>
  <si>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</si>
  <si>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</si>
  <si>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</si>
  <si>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</si>
  <si>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</si>
  <si>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</si>
  <si>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</si>
  <si>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</si>
  <si>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</si>
  <si>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</si>
  <si>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</si>
  <si>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</si>
  <si>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</si>
  <si>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</si>
  <si>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</si>
  <si>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</si>
  <si>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</si>
  <si>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</si>
  <si>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</si>
  <si>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</si>
  <si>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</si>
  <si>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</si>
  <si>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</si>
  <si>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</si>
  <si>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</si>
  <si>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</si>
  <si>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</si>
  <si>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</si>
  <si>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</si>
  <si>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</si>
  <si>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</si>
  <si>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</si>
  <si>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</si>
  <si>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</si>
  <si>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</si>
  <si>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</si>
  <si>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</si>
  <si>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</si>
  <si>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</si>
  <si>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</si>
  <si>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</si>
  <si>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</si>
  <si>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</si>
  <si>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</si>
  <si>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</si>
  <si>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</si>
  <si>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</si>
  <si>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</si>
  <si>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</si>
  <si>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</si>
  <si>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</si>
  <si>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</si>
  <si>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</si>
  <si>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</si>
  <si>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</si>
  <si>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</si>
  <si>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</si>
  <si>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</si>
  <si>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</si>
  <si>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</si>
  <si>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</si>
  <si>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</si>
  <si>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</si>
  <si>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</si>
  <si>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</si>
  <si>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</si>
  <si>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</si>
  <si>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</si>
  <si>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</si>
  <si>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</si>
  <si>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</si>
  <si>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</si>
  <si>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</si>
  <si>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</si>
  <si>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</si>
  <si>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</si>
  <si>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</si>
  <si>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</si>
  <si>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</si>
  <si>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</si>
  <si>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</si>
  <si>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</si>
  <si>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</si>
  <si>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</si>
  <si>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</si>
  <si>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</si>
  <si>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</si>
  <si>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</si>
  <si>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</si>
  <si>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</si>
  <si>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</si>
  <si>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</si>
  <si>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</si>
  <si>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</si>
  <si>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</si>
  <si>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</si>
  <si>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</si>
  <si>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</si>
  <si>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</si>
  <si>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</si>
  <si>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</si>
  <si>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</si>
  <si>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</si>
  <si>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</si>
  <si>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</si>
  <si>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</si>
  <si>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</si>
  <si>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</si>
  <si>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</si>
  <si>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</si>
  <si>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</si>
  <si>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</si>
  <si>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</si>
  <si>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</si>
  <si>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</si>
  <si>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</si>
  <si>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</si>
  <si>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</si>
  <si>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</si>
  <si>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</si>
  <si>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</si>
  <si>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</si>
  <si>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</si>
  <si>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</si>
  <si>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</si>
  <si>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</si>
  <si>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</si>
  <si>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</si>
  <si>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</si>
  <si>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</si>
  <si>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</si>
  <si>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</si>
  <si>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</si>
  <si>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</si>
  <si>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</si>
  <si>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</si>
  <si>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</si>
  <si>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</si>
  <si>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</si>
  <si>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</si>
  <si>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</si>
  <si>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</si>
  <si>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</si>
  <si>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</si>
  <si>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</si>
  <si>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</si>
  <si>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</si>
  <si>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</si>
  <si>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</si>
  <si>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</si>
  <si>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</si>
  <si>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</si>
  <si>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</si>
  <si>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</si>
  <si>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</si>
  <si>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</si>
  <si>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</si>
  <si>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</si>
  <si>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</si>
  <si>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</si>
  <si>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</si>
  <si>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</si>
  <si>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</si>
  <si>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</si>
  <si>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</si>
  <si>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</si>
  <si>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</si>
  <si>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</si>
  <si>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</si>
  <si>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</si>
  <si>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</si>
  <si>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</si>
  <si>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</si>
  <si>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</si>
  <si>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</si>
  <si>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</si>
  <si>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</si>
  <si>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</si>
  <si>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</si>
  <si>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</si>
  <si>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</si>
  <si>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</si>
  <si>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</si>
  <si>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</si>
  <si>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</si>
  <si>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</si>
  <si>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</si>
  <si>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</si>
  <si>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</si>
  <si>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</si>
  <si>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</si>
  <si>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</si>
  <si>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</si>
  <si>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</si>
  <si>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</si>
  <si>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</si>
  <si>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</si>
  <si>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</si>
  <si>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</si>
  <si>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</si>
  <si>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</si>
  <si>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</si>
  <si>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</si>
  <si>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</si>
  <si>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</si>
  <si>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</si>
  <si>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</si>
  <si>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</si>
  <si>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</si>
  <si>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</si>
  <si>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</si>
  <si>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</si>
  <si>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</si>
  <si>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</si>
  <si>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</si>
  <si>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</si>
  <si>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</si>
  <si>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</si>
  <si>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</si>
  <si>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</si>
  <si>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</si>
  <si>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</si>
  <si>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</si>
  <si>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</si>
  <si>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</si>
  <si>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</si>
  <si>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</si>
  <si>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</si>
  <si>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</si>
  <si>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</si>
  <si>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</si>
  <si>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</si>
  <si>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</si>
  <si>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</si>
  <si>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</si>
  <si>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</si>
  <si>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</si>
  <si>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</si>
  <si>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</si>
  <si>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</si>
  <si>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</si>
  <si>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</si>
  <si>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</si>
  <si>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</si>
  <si>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</si>
  <si>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</si>
  <si>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</si>
  <si>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</si>
  <si>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</si>
  <si>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</si>
  <si>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</si>
  <si>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</si>
  <si>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</si>
  <si>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</si>
  <si>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</si>
  <si>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</si>
  <si>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</si>
  <si>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</si>
  <si>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</si>
  <si>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</si>
  <si>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</si>
  <si>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</si>
  <si>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</si>
  <si>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</si>
  <si>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</si>
  <si>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</si>
  <si>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</si>
  <si>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</si>
  <si>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</si>
  <si>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</si>
  <si>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</si>
  <si>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</si>
  <si>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</si>
  <si>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</si>
  <si>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</si>
  <si>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</si>
  <si>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</si>
  <si>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</si>
  <si>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</si>
  <si>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</si>
  <si>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</si>
  <si>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</si>
  <si>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</si>
  <si>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</si>
  <si>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</si>
  <si>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</si>
  <si>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</si>
  <si>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</si>
  <si>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</si>
  <si>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</si>
  <si>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</si>
  <si>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</si>
  <si>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</si>
  <si>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</si>
  <si>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</si>
  <si>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</si>
  <si>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</si>
  <si>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</si>
  <si>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</si>
  <si>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</si>
  <si>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</si>
  <si>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</si>
  <si>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</si>
  <si>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</si>
  <si>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</si>
  <si>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</si>
  <si>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</si>
  <si>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</si>
  <si>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</si>
  <si>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</si>
  <si>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</si>
  <si>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</si>
  <si>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</si>
  <si>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</si>
  <si>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</si>
  <si>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</si>
  <si>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</si>
  <si>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</si>
  <si>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</si>
  <si>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</si>
  <si>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</si>
  <si>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</si>
  <si>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</si>
  <si>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</si>
  <si>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</si>
  <si>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</si>
  <si>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</si>
  <si>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</si>
  <si>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</si>
  <si>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</si>
  <si>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</si>
  <si>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</si>
  <si>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</si>
  <si>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</si>
  <si>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</si>
  <si>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</si>
  <si>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</si>
  <si>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</si>
  <si>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</si>
  <si>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</si>
  <si>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</si>
  <si>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</si>
  <si>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</si>
  <si>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</si>
  <si>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</si>
  <si>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</si>
  <si>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</si>
  <si>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</si>
  <si>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</si>
  <si>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</si>
  <si>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</si>
  <si>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</si>
  <si>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</si>
  <si>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</si>
  <si>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</si>
  <si>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</si>
  <si>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</si>
  <si>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</si>
  <si>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</si>
  <si>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</si>
  <si>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</si>
  <si>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</si>
  <si>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</si>
  <si>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</si>
  <si>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</si>
  <si>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</si>
  <si>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</si>
  <si>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</si>
  <si>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</si>
  <si>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</si>
  <si>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</si>
  <si>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</si>
  <si>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</si>
  <si>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</si>
  <si>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</si>
  <si>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</si>
  <si>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</si>
  <si>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</si>
  <si>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</si>
  <si>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</si>
  <si>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</si>
  <si>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</si>
  <si>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</si>
  <si>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</si>
  <si>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</si>
  <si>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</si>
  <si>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</si>
  <si>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</si>
  <si>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</si>
  <si>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</si>
  <si>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</si>
  <si>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</si>
  <si>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</si>
  <si>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</si>
  <si>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</si>
  <si>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</si>
  <si>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</si>
  <si>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</si>
  <si>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</si>
  <si>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</si>
  <si>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</si>
  <si>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</si>
  <si>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</si>
  <si>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</si>
  <si>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</si>
  <si>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</si>
  <si>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</si>
  <si>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</si>
  <si>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</si>
  <si>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</si>
  <si>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</si>
  <si>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</si>
  <si>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</si>
  <si>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</si>
  <si>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</si>
  <si>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</si>
  <si>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</si>
  <si>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</si>
  <si>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</si>
  <si>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</si>
  <si>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</si>
  <si>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</si>
  <si>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</si>
  <si>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</si>
  <si>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</si>
  <si>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</si>
  <si>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</si>
  <si>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</si>
  <si>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</si>
  <si>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</si>
  <si>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</si>
  <si>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</si>
  <si>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</si>
  <si>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</si>
  <si>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</si>
  <si>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</si>
  <si>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</si>
  <si>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</si>
  <si>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</si>
  <si>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</si>
  <si>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</si>
  <si>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</si>
  <si>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</si>
  <si>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</si>
  <si>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</si>
  <si>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</si>
  <si>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</si>
  <si>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</si>
  <si>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</si>
  <si>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</si>
  <si>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</si>
  <si>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</si>
  <si>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</si>
  <si>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</si>
  <si>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</si>
  <si>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</si>
  <si>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</si>
  <si>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</si>
  <si>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</si>
  <si>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</si>
  <si>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</si>
  <si>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</si>
  <si>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</si>
  <si>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</si>
  <si>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</si>
  <si>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</si>
  <si>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</si>
  <si>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</si>
  <si>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</si>
  <si>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</si>
  <si>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</si>
  <si>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</si>
  <si>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</si>
  <si>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</si>
  <si>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</si>
  <si>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</si>
  <si>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</si>
  <si>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</si>
  <si>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</si>
  <si>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</si>
  <si>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</si>
  <si>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</si>
  <si>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</si>
  <si>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</si>
  <si>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</si>
  <si>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</si>
  <si>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</si>
  <si>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</si>
  <si>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</si>
  <si>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</si>
  <si>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</si>
  <si>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</si>
  <si>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</si>
  <si>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</si>
  <si>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</si>
  <si>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</si>
  <si>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</si>
  <si>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</si>
  <si>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</si>
  <si>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</si>
  <si>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</si>
  <si>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</si>
  <si>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</si>
  <si>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</si>
  <si>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</si>
  <si>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</si>
  <si>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</si>
  <si>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</si>
  <si>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</si>
  <si>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</si>
  <si>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</si>
  <si>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</si>
  <si>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</si>
  <si>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</si>
  <si>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</si>
  <si>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</si>
  <si>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</si>
  <si>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</si>
  <si>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</si>
  <si>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</si>
  <si>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</si>
  <si>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</si>
  <si>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</si>
  <si>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</si>
  <si>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</si>
  <si>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</si>
  <si>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</si>
  <si>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</si>
  <si>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</si>
  <si>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</si>
  <si>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</si>
  <si>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</si>
  <si>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</si>
  <si>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</si>
  <si>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</si>
  <si>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</si>
  <si>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</si>
  <si>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</si>
  <si>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</si>
  <si>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</si>
  <si>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</si>
  <si>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</si>
  <si>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</si>
  <si>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</si>
  <si>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</si>
  <si>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</si>
  <si>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</si>
  <si>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</si>
  <si>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</si>
  <si>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</si>
  <si>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</si>
  <si>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</si>
  <si>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</si>
  <si>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</si>
  <si>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</si>
  <si>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</si>
  <si>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</si>
  <si>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</si>
  <si>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</si>
  <si>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</si>
  <si>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</si>
  <si>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</si>
  <si>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</si>
  <si>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</si>
  <si>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</si>
  <si>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</si>
  <si>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</si>
  <si>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</si>
  <si>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</si>
  <si>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</si>
  <si>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</si>
  <si>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</si>
  <si>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</si>
  <si>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</si>
  <si>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</si>
  <si>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</si>
  <si>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</si>
  <si>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</si>
  <si>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</si>
  <si>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</si>
  <si>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</si>
  <si>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</si>
  <si>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</si>
  <si>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</si>
  <si>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</si>
  <si>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</si>
  <si>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</si>
  <si>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</si>
  <si>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</si>
  <si>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</si>
  <si>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</si>
  <si>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</si>
  <si>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</si>
  <si>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</si>
  <si>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</si>
  <si>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</si>
  <si>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</si>
  <si>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</si>
  <si>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</si>
  <si>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</si>
  <si>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</si>
  <si>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</si>
  <si>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</si>
  <si>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</si>
  <si>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</si>
  <si>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</si>
  <si>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</si>
  <si>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</si>
  <si>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</si>
  <si>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</si>
  <si>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</si>
  <si>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</si>
  <si>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</si>
  <si>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</si>
  <si>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</si>
  <si>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</si>
  <si>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</si>
  <si>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</si>
  <si>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</si>
  <si>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</si>
  <si>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</si>
  <si>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</si>
  <si>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</si>
  <si>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</si>
  <si>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</si>
  <si>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</si>
  <si>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</si>
  <si>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</si>
  <si>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</si>
  <si>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</si>
  <si>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</si>
  <si>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</si>
  <si>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</si>
  <si>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</si>
  <si>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</si>
  <si>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</si>
  <si>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</si>
  <si>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</si>
  <si>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</si>
  <si>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</si>
  <si>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</si>
  <si>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</si>
  <si>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</si>
  <si>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</si>
  <si>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</si>
  <si>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</si>
  <si>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</si>
  <si>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</si>
  <si>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</si>
  <si>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</si>
  <si>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</si>
  <si>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</si>
  <si>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</si>
  <si>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</si>
  <si>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</si>
  <si>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</si>
  <si>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</si>
  <si>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</si>
  <si>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</si>
  <si>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</si>
  <si>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</si>
  <si>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</si>
  <si>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</si>
  <si>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</si>
  <si>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</si>
  <si>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</si>
  <si>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</si>
  <si>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</si>
  <si>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</si>
  <si>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</si>
  <si>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</si>
  <si>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</si>
  <si>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</si>
  <si>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</si>
  <si>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</si>
  <si>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</si>
  <si>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</si>
  <si>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</si>
  <si>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</si>
  <si>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</si>
  <si>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</si>
  <si>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</si>
  <si>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</si>
  <si>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</si>
  <si>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</si>
  <si>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</si>
  <si>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</si>
  <si>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</si>
  <si>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</si>
  <si>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</si>
  <si>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</si>
  <si>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</si>
  <si>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</si>
  <si>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</si>
  <si>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</si>
  <si>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</si>
  <si>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</si>
  <si>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</si>
  <si>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</si>
  <si>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</si>
  <si>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</si>
  <si>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</si>
  <si>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</si>
  <si>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*SEE SUPPLEMENTAL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</si>
</sst>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3" fontId="0" fillId="0" borderId="0" xfId="0" applyNumberFormat="1" applyProtection="1">
      <protection locked="0"/>
    </xf>
    <xf numFmtId="43" fontId="4" fillId="40" borderId="0" xfId="43" applyNumberForma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5" zoomScaleNormal="11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1275</v>
      </c>
      <c r="B2">
        <f>INDEX('School Tables'!$AH$3:$AH$209,MATCH('DOE25'!A2,'School Tables'!$AJ$3:$AJ$209,0))</f>
        <v>371</v>
      </c>
      <c r="C2">
        <f>INDEX('School Tables'!$AI$3:$AI$209,MATCH('DOE25'!A2,'School Tables'!$AJ$3:$AJ$209,0))</f>
        <v>371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c r="J9" s="13">
        <f>SUM(I440)</f>
        <v>2276471.7999999998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7597067.9400000004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1362144.74</v>
      </c>
      <c r="H12" s="18"/>
      <c r="I12" s="18"/>
      <c r="J12" s="13">
        <f>SUM(I442)</f>
        <v>37504.14</v>
      </c>
      <c r="K12" s="23" t="s">
        <v>288</v>
      </c>
      <c r="L12" s="23" t="s">
        <v>288</v>
      </c>
      <c r="M12" s="8"/>
      <c r="N12" s="165"/>
    </row>
    <row r="13" spans="1:14" s="3" customFormat="1" ht="12.2" customHeight="1" x14ac:dyDescent="0.15">
      <c r="A13" s="1" t="s">
        <v>604</v>
      </c>
      <c r="B13" s="2" t="s">
        <v>289</v>
      </c>
      <c r="C13" s="6">
        <v>5</v>
      </c>
      <c r="D13" s="2" t="s">
        <v>428</v>
      </c>
      <c r="E13" s="6">
        <v>140</v>
      </c>
      <c r="F13" s="18"/>
      <c r="G13" s="18">
        <v>549082.11</v>
      </c>
      <c r="H13" s="18">
        <v>8116273.2400000002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v>53388.53</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1911226.85</v>
      </c>
      <c r="H19" s="38">
        <f>SUM(H9:H18)</f>
        <v>8169661.7700000005</v>
      </c>
      <c r="I19" s="38">
        <f>SUM(I9:I18)</f>
        <v>0</v>
      </c>
      <c r="J19" s="38">
        <f>SUM(J9:J18)</f>
        <v>9911043.8800000008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3803554.09</v>
      </c>
      <c r="I22" s="18">
        <v>9109624.0700000003</v>
      </c>
      <c r="J22" s="13">
        <f>SUM(I449)</f>
        <v>218104.39</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v>14525.5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v>719.07</v>
      </c>
      <c r="H28" s="18">
        <v>753575.05</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10325</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719.07</v>
      </c>
      <c r="H32" s="38">
        <f>SUM(H22:H31)</f>
        <v>4581979.6399999997</v>
      </c>
      <c r="I32" s="38">
        <f>SUM(I22:I31)</f>
        <v>9109624.0700000003</v>
      </c>
      <c r="J32" s="38">
        <f>SUM(J22:J31)</f>
        <v>218104.39</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7115169.29</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401910.13</v>
      </c>
      <c r="K39" s="23" t="s">
        <v>288</v>
      </c>
      <c r="L39" s="23" t="s">
        <v>288</v>
      </c>
      <c r="M39" s="8"/>
      <c r="N39" s="165"/>
    </row>
    <row r="40" spans="1:14" s="3" customFormat="1" ht="12.2" customHeight="1" x14ac:dyDescent="0.15">
      <c r="A40" s="1" t="s">
        <v>859</v>
      </c>
      <c r="B40" s="6">
        <v>1</v>
      </c>
      <c r="C40" s="6">
        <v>27</v>
      </c>
      <c r="D40" s="2"/>
      <c r="E40" s="6"/>
      <c r="F40" s="23" t="s">
        <v>288</v>
      </c>
      <c r="G40" s="18">
        <v>1862094.96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-7926470.9800000004</v>
      </c>
      <c r="I48" s="18">
        <v>-28053776.190000001</v>
      </c>
      <c r="J48" s="13">
        <f>SUM(I460)</f>
        <v>2173400.7800000003</v>
      </c>
      <c r="K48" s="23" t="s">
        <v>288</v>
      </c>
      <c r="L48" s="23" t="s">
        <v>288</v>
      </c>
      <c r="M48" s="8"/>
      <c r="N48" s="165"/>
    </row>
    <row r="49" spans="1:14" s="3" customFormat="1" ht="12.2" customHeight="1" x14ac:dyDescent="0.15">
      <c r="A49" s="1" t="s">
        <v>858</v>
      </c>
      <c r="B49" s="2" t="s">
        <v>289</v>
      </c>
      <c r="C49" s="6">
        <v>34</v>
      </c>
      <c r="D49" s="2"/>
      <c r="E49" s="6">
        <v>753</v>
      </c>
      <c r="F49" s="18"/>
      <c r="G49" s="18">
        <v>48412.82</v>
      </c>
      <c r="H49" s="18">
        <v>11514153.109999999</v>
      </c>
      <c r="I49" s="18">
        <v>18944152.120000001</v>
      </c>
      <c r="J49" s="13">
        <f>I455</f>
        <v>2459.29</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0</v>
      </c>
      <c r="G51" s="38">
        <f>SUM(G35:G50)</f>
        <v>1910507.78</v>
      </c>
      <c r="H51" s="38">
        <f>SUM(H35:H50)</f>
        <v>3587682.129999999</v>
      </c>
      <c r="I51" s="38">
        <f>SUM(I35:I50)</f>
        <v>-9109624.0700000003</v>
      </c>
      <c r="J51" s="38">
        <f>SUM(J35:J50)</f>
        <v>9692939.4899999984</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1911226.85</v>
      </c>
      <c r="H52" s="38">
        <f>H51+H32</f>
        <v>8169661.7699999986</v>
      </c>
      <c r="I52" s="38">
        <f>I51+I32</f>
        <v>0</v>
      </c>
      <c r="J52" s="38">
        <f>J51+J32</f>
        <v>9911043.879999999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111651181.8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111651181.8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27909.32</v>
      </c>
      <c r="G63" s="23" t="s">
        <v>288</v>
      </c>
      <c r="H63" s="18">
        <v>90966.5</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v>7524.5</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f>-550+130262.53-450</f>
        <v>129262.53</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f>49172.03+2085.85</f>
        <v>51257.88</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f>86900+652054.51+213.3</f>
        <v>739167.81</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v>96630.63</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27909.32</v>
      </c>
      <c r="G79" s="42" t="s">
        <v>288</v>
      </c>
      <c r="H79" s="38">
        <f>SUM(H63:H78)</f>
        <v>1114809.8500000001</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69071.75</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69071.75</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f>18064.3+23309.66+207057.44+263643.9+143669.69</f>
        <v>655744.99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1602361.46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f>14083.26+59017+50336.65+170634.17</f>
        <v>294071.08</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v>158754.1</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v>73159.98</v>
      </c>
      <c r="H102" s="18"/>
      <c r="I102" s="18"/>
      <c r="J102" s="18">
        <f>296581.57+44717.32</f>
        <v>341298.89</v>
      </c>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85835.15+1391.28+1060+7225.95+25730</f>
        <v>121242.37999999999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121242.37999999999</v>
      </c>
      <c r="G111" s="38">
        <f>SUM(G96:G110)</f>
        <v>1675521.44</v>
      </c>
      <c r="H111" s="38">
        <f>SUM(H96:H110)</f>
        <v>452825.18000000005</v>
      </c>
      <c r="I111" s="38">
        <f>SUM(I96:I110)</f>
        <v>0</v>
      </c>
      <c r="J111" s="38">
        <f>SUM(J96:J110)</f>
        <v>997043.88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111869405.24999999</v>
      </c>
      <c r="G112" s="38">
        <f>G60+G111</f>
        <v>1675521.44</v>
      </c>
      <c r="H112" s="38">
        <f>H60+H79+H94+H111</f>
        <v>1567635.0300000003</v>
      </c>
      <c r="I112" s="38">
        <f>I60+I111</f>
        <v>0</v>
      </c>
      <c r="J112" s="38">
        <f>J60+J111</f>
        <v>997043.88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43859834.840000004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14985367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1147344.51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59992546.350000001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1255189.99</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1028996.8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218149.9</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4222.2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4342</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v>147758.13</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73990.84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163307</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2506558.89</v>
      </c>
      <c r="G136" s="38">
        <f>SUM(G123:G135)</f>
        <v>73990.84</v>
      </c>
      <c r="H136" s="38">
        <f>SUM(H123:H135)</f>
        <v>315407.13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62499105.240000002</v>
      </c>
      <c r="G140" s="38">
        <f>G121+SUM(G136:G137)</f>
        <v>73990.84</v>
      </c>
      <c r="H140" s="38">
        <f>H121+SUM(H136:H139)</f>
        <v>315407.13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4430702.12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2103737.92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438830.19</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3068517.84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3923547.07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1119095.51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48274.92+76643.7</f>
        <v>124918.62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20779518.489999998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1119095.51</v>
      </c>
      <c r="G163" s="38">
        <f>SUM(G150:G162)</f>
        <v>3068517.84</v>
      </c>
      <c r="H163" s="38">
        <f>SUM(H150:H162)</f>
        <v>31801254.409999996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1119095.51</v>
      </c>
      <c r="G170" s="38">
        <f>G147+G163+SUM(G164:G169)</f>
        <v>3068517.84</v>
      </c>
      <c r="H170" s="38">
        <f>H147+H163+SUM(H164:H169)</f>
        <v>31801254.409999996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35000000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35000000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100000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100000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100000</v>
      </c>
      <c r="G193" s="38">
        <f>G184+SUM(G189:G192)</f>
        <v>0</v>
      </c>
      <c r="H193" s="38">
        <f>+H184+SUM(H189:H192)</f>
        <v>0</v>
      </c>
      <c r="I193" s="38">
        <f>I178+I184+SUM(I189:I192)</f>
        <v>35000000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175587605.99999997</v>
      </c>
      <c r="G194" s="38">
        <f>G112+G140+G170+G193</f>
        <v>4818030.12</v>
      </c>
      <c r="H194" s="38">
        <f>H112+H140+H170+H193</f>
        <v>33684296.569999993</v>
      </c>
      <c r="I194" s="38">
        <f>I112+I140+I170+I193</f>
        <v>35000000</v>
      </c>
      <c r="J194" s="38">
        <f>J112+J140+J193</f>
        <v>997043.88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20120649.970559999</v>
      </c>
      <c r="G198" s="18">
        <v>10148334.778160002</v>
      </c>
      <c r="H198" s="18">
        <v>717091.99920000019</v>
      </c>
      <c r="I198" s="18">
        <v>257890.01</v>
      </c>
      <c r="J198" s="18">
        <v>70277.14</v>
      </c>
      <c r="K198" s="18">
        <v>0</v>
      </c>
      <c r="L198" s="13">
        <f>SUM(F198:K198)</f>
        <v>31314243.897920005</v>
      </c>
      <c r="M198" s="8"/>
      <c r="N198" s="165"/>
    </row>
    <row r="199" spans="1:14" s="3" customFormat="1" ht="12.2" customHeight="1" x14ac:dyDescent="0.15">
      <c r="A199" s="1" t="s">
        <v>439</v>
      </c>
      <c r="B199" s="2" t="s">
        <v>341</v>
      </c>
      <c r="C199" s="2" t="s">
        <v>291</v>
      </c>
      <c r="D199" s="2" t="s">
        <v>431</v>
      </c>
      <c r="E199" s="6">
        <v>1200</v>
      </c>
      <c r="F199" s="18">
        <v>10264197.048159998</v>
      </c>
      <c r="G199" s="18">
        <v>3735240.7681600004</v>
      </c>
      <c r="H199" s="18">
        <v>2900495.2895199996</v>
      </c>
      <c r="I199" s="18">
        <v>44070.12328</v>
      </c>
      <c r="J199" s="18">
        <v>3321.1639999999998</v>
      </c>
      <c r="K199" s="18">
        <v>0</v>
      </c>
      <c r="L199" s="13">
        <f>SUM(F199:K199)</f>
        <v>16947324.393119998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78436.003040000011</v>
      </c>
      <c r="G201" s="18">
        <v>22306.702559999998</v>
      </c>
      <c r="H201" s="18">
        <v>30953.439999999999</v>
      </c>
      <c r="I201" s="18">
        <v>6573.6503999999986</v>
      </c>
      <c r="J201" s="18">
        <v>0</v>
      </c>
      <c r="K201" s="18">
        <v>0</v>
      </c>
      <c r="L201" s="13">
        <f>SUM(F201:K201)</f>
        <v>138269.79600000003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3934077.3931200001</v>
      </c>
      <c r="G203" s="18">
        <v>1989365.2731999997</v>
      </c>
      <c r="H203" s="18">
        <v>612155.55727999995</v>
      </c>
      <c r="I203" s="18">
        <v>23610.458639999993</v>
      </c>
      <c r="J203" s="18">
        <v>5510.1577600000001</v>
      </c>
      <c r="K203" s="18">
        <v>0</v>
      </c>
      <c r="L203" s="13">
        <f t="shared" ref="L203:L209" si="0">SUM(F203:K203)</f>
        <v>6564718.8399999999</v>
      </c>
      <c r="M203" s="8"/>
      <c r="N203" s="165"/>
    </row>
    <row r="204" spans="1:14" s="3" customFormat="1" ht="12.2" customHeight="1" x14ac:dyDescent="0.15">
      <c r="A204" s="1" t="s">
        <v>443</v>
      </c>
      <c r="B204" s="2" t="s">
        <v>341</v>
      </c>
      <c r="C204" s="2" t="s">
        <v>295</v>
      </c>
      <c r="D204" s="2" t="s">
        <v>431</v>
      </c>
      <c r="E204" s="6">
        <v>2200</v>
      </c>
      <c r="F204" s="18">
        <v>1628154.4790400001</v>
      </c>
      <c r="G204" s="18">
        <v>748619.95615999994</v>
      </c>
      <c r="H204" s="18">
        <v>144898.88048000002</v>
      </c>
      <c r="I204" s="18">
        <v>340735.09127999994</v>
      </c>
      <c r="J204" s="18">
        <v>508529.30047999992</v>
      </c>
      <c r="K204" s="18">
        <v>0</v>
      </c>
      <c r="L204" s="13">
        <f t="shared" si="0"/>
        <v>3370937.7074399996</v>
      </c>
      <c r="M204" s="8"/>
      <c r="N204" s="165"/>
    </row>
    <row r="205" spans="1:14" s="3" customFormat="1" ht="12.2" customHeight="1" x14ac:dyDescent="0.15">
      <c r="A205" s="1" t="s">
        <v>444</v>
      </c>
      <c r="B205" s="2" t="s">
        <v>341</v>
      </c>
      <c r="C205" s="2" t="s">
        <v>296</v>
      </c>
      <c r="D205" s="2" t="s">
        <v>431</v>
      </c>
      <c r="E205" s="6">
        <v>2300</v>
      </c>
      <c r="F205" s="18">
        <v>878072.01775999984</v>
      </c>
      <c r="G205" s="18">
        <v>382469.18191999994</v>
      </c>
      <c r="H205" s="18">
        <v>308614.55711999995</v>
      </c>
      <c r="I205" s="18">
        <v>14032.417919999998</v>
      </c>
      <c r="J205" s="18">
        <v>797.39328000000012</v>
      </c>
      <c r="K205" s="18">
        <v>262397.56800000003</v>
      </c>
      <c r="L205" s="13">
        <f t="shared" si="0"/>
        <v>1846383.1359999997</v>
      </c>
      <c r="M205" s="8"/>
      <c r="N205" s="165"/>
    </row>
    <row r="206" spans="1:14" s="3" customFormat="1" ht="12.2" customHeight="1" x14ac:dyDescent="0.15">
      <c r="A206" s="1" t="s">
        <v>445</v>
      </c>
      <c r="B206" s="2" t="s">
        <v>341</v>
      </c>
      <c r="C206" s="2" t="s">
        <v>297</v>
      </c>
      <c r="D206" s="2" t="s">
        <v>431</v>
      </c>
      <c r="E206" s="6">
        <v>2400</v>
      </c>
      <c r="F206" s="18">
        <v>3040048.0832000002</v>
      </c>
      <c r="G206" s="18">
        <v>1630009.1301600002</v>
      </c>
      <c r="H206" s="18">
        <v>8814</v>
      </c>
      <c r="I206" s="18">
        <v>13797.45</v>
      </c>
      <c r="J206" s="18">
        <v>0</v>
      </c>
      <c r="K206" s="18">
        <v>0</v>
      </c>
      <c r="L206" s="13">
        <f t="shared" si="0"/>
        <v>4692668.6633600006</v>
      </c>
      <c r="M206" s="8"/>
      <c r="N206" s="165"/>
    </row>
    <row r="207" spans="1:14" s="3" customFormat="1" ht="12.2" customHeight="1" x14ac:dyDescent="0.15">
      <c r="A207" s="1" t="s">
        <v>446</v>
      </c>
      <c r="B207" s="2" t="s">
        <v>341</v>
      </c>
      <c r="C207" s="2" t="s">
        <v>298</v>
      </c>
      <c r="D207" s="2" t="s">
        <v>431</v>
      </c>
      <c r="E207" s="6">
        <v>2500</v>
      </c>
      <c r="F207" s="18">
        <v>658341.54191999999</v>
      </c>
      <c r="G207" s="18">
        <v>132079.21007999999</v>
      </c>
      <c r="H207" s="18">
        <v>7646.72</v>
      </c>
      <c r="I207" s="18">
        <v>0</v>
      </c>
      <c r="J207" s="18">
        <v>0</v>
      </c>
      <c r="K207" s="18">
        <v>-326992.39999999997</v>
      </c>
      <c r="L207" s="13">
        <f t="shared" si="0"/>
        <v>471075.07199999999</v>
      </c>
      <c r="M207" s="8"/>
      <c r="N207" s="165"/>
    </row>
    <row r="208" spans="1:14" s="3" customFormat="1" ht="12.2" customHeight="1" x14ac:dyDescent="0.15">
      <c r="A208" s="1" t="s">
        <v>447</v>
      </c>
      <c r="B208" s="2" t="s">
        <v>341</v>
      </c>
      <c r="C208" s="2" t="s">
        <v>299</v>
      </c>
      <c r="D208" s="2" t="s">
        <v>431</v>
      </c>
      <c r="E208" s="6">
        <v>2600</v>
      </c>
      <c r="F208" s="18">
        <v>2505583.4081600001</v>
      </c>
      <c r="G208" s="18">
        <v>1201541.37696</v>
      </c>
      <c r="H208" s="18">
        <v>2945481.0944000012</v>
      </c>
      <c r="I208" s="18">
        <v>399712.57263999997</v>
      </c>
      <c r="J208" s="18">
        <v>48570.415679999998</v>
      </c>
      <c r="K208" s="18">
        <v>0</v>
      </c>
      <c r="L208" s="13">
        <f t="shared" si="0"/>
        <v>7100888.8678400004</v>
      </c>
      <c r="M208" s="8"/>
      <c r="N208" s="165"/>
    </row>
    <row r="209" spans="1:14" s="3" customFormat="1" ht="12.2" customHeight="1" x14ac:dyDescent="0.15">
      <c r="A209" s="1" t="s">
        <v>448</v>
      </c>
      <c r="B209" s="2" t="s">
        <v>341</v>
      </c>
      <c r="C209" s="2" t="s">
        <v>300</v>
      </c>
      <c r="D209" s="2" t="s">
        <v>431</v>
      </c>
      <c r="E209" s="6">
        <v>2700</v>
      </c>
      <c r="F209" s="18">
        <v>42390.60848000001</v>
      </c>
      <c r="G209" s="18">
        <v>16699.438879999998</v>
      </c>
      <c r="H209" s="18">
        <v>3724940.9831999997</v>
      </c>
      <c r="I209" s="18">
        <v>0</v>
      </c>
      <c r="J209" s="18">
        <v>0</v>
      </c>
      <c r="K209" s="18">
        <v>0</v>
      </c>
      <c r="L209" s="13">
        <f t="shared" si="0"/>
        <v>3784031.0305599999</v>
      </c>
      <c r="M209" s="8"/>
      <c r="N209" s="165"/>
    </row>
    <row r="210" spans="1:14" s="3" customFormat="1" ht="12.2" customHeight="1" x14ac:dyDescent="0.15">
      <c r="A210" s="1" t="s">
        <v>449</v>
      </c>
      <c r="B210" s="2" t="s">
        <v>341</v>
      </c>
      <c r="C210" s="2" t="s">
        <v>343</v>
      </c>
      <c r="D210" s="2" t="s">
        <v>431</v>
      </c>
      <c r="E210" s="6">
        <v>2800</v>
      </c>
      <c r="F210" s="18">
        <v>141484.56895999998</v>
      </c>
      <c r="G210" s="18">
        <v>103130.85327999998</v>
      </c>
      <c r="H210" s="18">
        <v>113432.03376000001</v>
      </c>
      <c r="I210" s="18">
        <v>0</v>
      </c>
      <c r="J210" s="18">
        <v>0</v>
      </c>
      <c r="K210" s="18">
        <v>0</v>
      </c>
      <c r="L210" s="13">
        <f>SUM(F210:K210)</f>
        <v>358047.45599999995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43291435.122400001</v>
      </c>
      <c r="G212" s="38">
        <f t="shared" si="1"/>
        <v>20109796.669520002</v>
      </c>
      <c r="H212" s="38">
        <f t="shared" si="1"/>
        <v>11514524.554960001</v>
      </c>
      <c r="I212" s="38">
        <f t="shared" si="1"/>
        <v>1100421.7741599998</v>
      </c>
      <c r="J212" s="38">
        <f t="shared" si="1"/>
        <v>637005.57119999989</v>
      </c>
      <c r="K212" s="38">
        <f t="shared" si="1"/>
        <v>-64594.831999999937</v>
      </c>
      <c r="L212" s="38">
        <f t="shared" si="1"/>
        <v>76588588.860239998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10162064.07408</v>
      </c>
      <c r="G216" s="18">
        <v>5087107.5533800004</v>
      </c>
      <c r="H216" s="18">
        <v>316583.70059999998</v>
      </c>
      <c r="I216" s="18">
        <v>144953.30000000002</v>
      </c>
      <c r="J216" s="18">
        <v>45239.25</v>
      </c>
      <c r="K216" s="18">
        <v>0</v>
      </c>
      <c r="L216" s="13">
        <f>SUM(F216:K216)</f>
        <v>15755947.87806</v>
      </c>
      <c r="M216" s="8"/>
      <c r="N216" s="165"/>
    </row>
    <row r="217" spans="1:14" s="3" customFormat="1" ht="12.2" customHeight="1" x14ac:dyDescent="0.15">
      <c r="A217" s="1" t="s">
        <v>439</v>
      </c>
      <c r="B217" s="2" t="s">
        <v>346</v>
      </c>
      <c r="C217" s="2" t="s">
        <v>291</v>
      </c>
      <c r="D217" s="2" t="s">
        <v>431</v>
      </c>
      <c r="E217" s="6">
        <v>1200</v>
      </c>
      <c r="F217" s="18">
        <v>3151090.2508799993</v>
      </c>
      <c r="G217" s="18">
        <v>1314175.1833800003</v>
      </c>
      <c r="H217" s="18">
        <v>1262594.0168599999</v>
      </c>
      <c r="I217" s="18">
        <v>19818.856040000002</v>
      </c>
      <c r="J217" s="18">
        <v>179.982</v>
      </c>
      <c r="K217" s="18">
        <v>0</v>
      </c>
      <c r="L217" s="13">
        <f>SUM(F217:K217)</f>
        <v>5747858.2891599992</v>
      </c>
      <c r="M217" s="8"/>
      <c r="N217" s="165"/>
    </row>
    <row r="218" spans="1:14" s="3" customFormat="1" ht="12.2" customHeight="1" x14ac:dyDescent="0.15">
      <c r="A218" s="1" t="s">
        <v>440</v>
      </c>
      <c r="B218" s="2" t="s">
        <v>346</v>
      </c>
      <c r="C218" s="2" t="s">
        <v>292</v>
      </c>
      <c r="D218" s="2" t="s">
        <v>431</v>
      </c>
      <c r="E218" s="6">
        <v>1300</v>
      </c>
      <c r="F218" s="18">
        <v>732828.02</v>
      </c>
      <c r="G218" s="18">
        <v>364417.81000000006</v>
      </c>
      <c r="H218" s="18">
        <v>1497.05</v>
      </c>
      <c r="I218" s="18">
        <v>33282.080000000002</v>
      </c>
      <c r="J218" s="18">
        <v>496.79</v>
      </c>
      <c r="K218" s="18">
        <v>0</v>
      </c>
      <c r="L218" s="13">
        <f>SUM(F218:K218)</f>
        <v>1132521.7500000002</v>
      </c>
      <c r="M218" s="8"/>
      <c r="N218" s="165"/>
    </row>
    <row r="219" spans="1:14" s="3" customFormat="1" ht="12.2" customHeight="1" x14ac:dyDescent="0.15">
      <c r="A219" s="1" t="s">
        <v>441</v>
      </c>
      <c r="B219" s="2" t="s">
        <v>346</v>
      </c>
      <c r="C219" s="2" t="s">
        <v>293</v>
      </c>
      <c r="D219" s="2" t="s">
        <v>431</v>
      </c>
      <c r="E219" s="6">
        <v>1400</v>
      </c>
      <c r="F219" s="18">
        <v>112595.88821999999</v>
      </c>
      <c r="G219" s="18">
        <v>10778.787579999997</v>
      </c>
      <c r="H219" s="18">
        <v>62006.92</v>
      </c>
      <c r="I219" s="18">
        <v>2861.8047000000001</v>
      </c>
      <c r="J219" s="18">
        <v>6000.04</v>
      </c>
      <c r="K219" s="18">
        <v>0</v>
      </c>
      <c r="L219" s="13">
        <f>SUM(F219:K219)</f>
        <v>194243.44050000003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2306815.87916</v>
      </c>
      <c r="G221" s="18">
        <v>1216255.7950999998</v>
      </c>
      <c r="H221" s="18">
        <v>266678.75554000004</v>
      </c>
      <c r="I221" s="18">
        <v>7405.5015200000007</v>
      </c>
      <c r="J221" s="18">
        <v>2398.8186800000003</v>
      </c>
      <c r="K221" s="18">
        <v>0</v>
      </c>
      <c r="L221" s="13">
        <f t="shared" ref="L221:L227" si="2">SUM(F221:K221)</f>
        <v>3799554.75</v>
      </c>
      <c r="M221" s="8"/>
      <c r="N221" s="165"/>
    </row>
    <row r="222" spans="1:14" s="3" customFormat="1" ht="12.2" customHeight="1" x14ac:dyDescent="0.15">
      <c r="A222" s="1" t="s">
        <v>443</v>
      </c>
      <c r="B222" s="2" t="s">
        <v>346</v>
      </c>
      <c r="C222" s="2" t="s">
        <v>295</v>
      </c>
      <c r="D222" s="2" t="s">
        <v>431</v>
      </c>
      <c r="E222" s="6">
        <v>2200</v>
      </c>
      <c r="F222" s="18">
        <v>442746.19121999992</v>
      </c>
      <c r="G222" s="18">
        <v>221966.74488000001</v>
      </c>
      <c r="H222" s="18">
        <v>63080.978140000007</v>
      </c>
      <c r="I222" s="18">
        <v>147386.17754</v>
      </c>
      <c r="J222" s="18">
        <v>221385.60063999996</v>
      </c>
      <c r="K222" s="18">
        <v>0</v>
      </c>
      <c r="L222" s="13">
        <f t="shared" si="2"/>
        <v>1096565.6924199997</v>
      </c>
      <c r="M222" s="8"/>
      <c r="N222" s="165"/>
    </row>
    <row r="223" spans="1:14" s="3" customFormat="1" ht="12.2" customHeight="1" x14ac:dyDescent="0.15">
      <c r="A223" s="1" t="s">
        <v>444</v>
      </c>
      <c r="B223" s="2" t="s">
        <v>346</v>
      </c>
      <c r="C223" s="2" t="s">
        <v>296</v>
      </c>
      <c r="D223" s="2" t="s">
        <v>431</v>
      </c>
      <c r="E223" s="6">
        <v>2300</v>
      </c>
      <c r="F223" s="18">
        <v>382264.11117999989</v>
      </c>
      <c r="G223" s="18">
        <v>166505.98005999997</v>
      </c>
      <c r="H223" s="18">
        <v>134353.75115999999</v>
      </c>
      <c r="I223" s="18">
        <v>6108.9405600000009</v>
      </c>
      <c r="J223" s="18">
        <v>347.14104000000003</v>
      </c>
      <c r="K223" s="18">
        <v>114233.424</v>
      </c>
      <c r="L223" s="13">
        <f t="shared" si="2"/>
        <v>803813.34799999988</v>
      </c>
      <c r="M223" s="8"/>
      <c r="N223" s="165"/>
    </row>
    <row r="224" spans="1:14" s="3" customFormat="1" ht="12.2" customHeight="1" x14ac:dyDescent="0.15">
      <c r="A224" s="1" t="s">
        <v>445</v>
      </c>
      <c r="B224" s="2" t="s">
        <v>346</v>
      </c>
      <c r="C224" s="2" t="s">
        <v>297</v>
      </c>
      <c r="D224" s="2" t="s">
        <v>431</v>
      </c>
      <c r="E224" s="6">
        <v>2400</v>
      </c>
      <c r="F224" s="18">
        <v>989274.10510000004</v>
      </c>
      <c r="G224" s="18">
        <v>426340.75188</v>
      </c>
      <c r="H224" s="18">
        <v>1800</v>
      </c>
      <c r="I224" s="18">
        <v>5175.5200000000004</v>
      </c>
      <c r="J224" s="18">
        <v>0</v>
      </c>
      <c r="K224" s="18">
        <v>0</v>
      </c>
      <c r="L224" s="13">
        <f t="shared" si="2"/>
        <v>1422590.3769800002</v>
      </c>
      <c r="M224" s="8"/>
      <c r="N224" s="165"/>
    </row>
    <row r="225" spans="1:14" s="3" customFormat="1" ht="12.2" customHeight="1" x14ac:dyDescent="0.15">
      <c r="A225" s="1" t="s">
        <v>446</v>
      </c>
      <c r="B225" s="2" t="s">
        <v>346</v>
      </c>
      <c r="C225" s="2" t="s">
        <v>298</v>
      </c>
      <c r="D225" s="2" t="s">
        <v>431</v>
      </c>
      <c r="E225" s="6">
        <v>2500</v>
      </c>
      <c r="F225" s="18">
        <v>286605.58506000001</v>
      </c>
      <c r="G225" s="18">
        <v>57500.000939999998</v>
      </c>
      <c r="H225" s="18">
        <v>3328.96</v>
      </c>
      <c r="I225" s="18">
        <v>0</v>
      </c>
      <c r="J225" s="18">
        <v>0</v>
      </c>
      <c r="K225" s="18">
        <v>-142354.45000000001</v>
      </c>
      <c r="L225" s="13">
        <f t="shared" si="2"/>
        <v>205080.09600000002</v>
      </c>
      <c r="M225" s="8"/>
      <c r="N225" s="165"/>
    </row>
    <row r="226" spans="1:14" s="3" customFormat="1" ht="12.2" customHeight="1" x14ac:dyDescent="0.15">
      <c r="A226" s="1" t="s">
        <v>447</v>
      </c>
      <c r="B226" s="2" t="s">
        <v>346</v>
      </c>
      <c r="C226" s="2" t="s">
        <v>299</v>
      </c>
      <c r="D226" s="2" t="s">
        <v>431</v>
      </c>
      <c r="E226" s="6">
        <v>2600</v>
      </c>
      <c r="F226" s="18">
        <v>1280140.66588</v>
      </c>
      <c r="G226" s="18">
        <v>592378.93677999999</v>
      </c>
      <c r="H226" s="18">
        <v>1282299.9591999999</v>
      </c>
      <c r="I226" s="18">
        <v>174012.80102000001</v>
      </c>
      <c r="J226" s="18">
        <v>21144.879240000002</v>
      </c>
      <c r="K226" s="18">
        <v>0</v>
      </c>
      <c r="L226" s="13">
        <f t="shared" si="2"/>
        <v>3349977.2421200001</v>
      </c>
      <c r="M226" s="8"/>
      <c r="N226" s="165"/>
    </row>
    <row r="227" spans="1:14" s="3" customFormat="1" ht="12.2" customHeight="1" x14ac:dyDescent="0.15">
      <c r="A227" s="1" t="s">
        <v>448</v>
      </c>
      <c r="B227" s="2" t="s">
        <v>346</v>
      </c>
      <c r="C227" s="2" t="s">
        <v>300</v>
      </c>
      <c r="D227" s="2" t="s">
        <v>431</v>
      </c>
      <c r="E227" s="6">
        <v>2700</v>
      </c>
      <c r="F227" s="18">
        <v>18454.532140000003</v>
      </c>
      <c r="G227" s="18">
        <v>7270.0143400000006</v>
      </c>
      <c r="H227" s="18">
        <v>1621633.7901000001</v>
      </c>
      <c r="I227" s="18">
        <v>0</v>
      </c>
      <c r="J227" s="18">
        <v>0</v>
      </c>
      <c r="K227" s="18">
        <v>0</v>
      </c>
      <c r="L227" s="13">
        <f t="shared" si="2"/>
        <v>1647358.3365800001</v>
      </c>
      <c r="M227" s="8"/>
      <c r="N227" s="165"/>
    </row>
    <row r="228" spans="1:14" s="3" customFormat="1" ht="12.2" customHeight="1" x14ac:dyDescent="0.15">
      <c r="A228" s="1" t="s">
        <v>449</v>
      </c>
      <c r="B228" s="2" t="s">
        <v>346</v>
      </c>
      <c r="C228" s="2" t="s">
        <v>343</v>
      </c>
      <c r="D228" s="2" t="s">
        <v>431</v>
      </c>
      <c r="E228" s="6">
        <v>2800</v>
      </c>
      <c r="F228" s="18">
        <v>61594.575279999997</v>
      </c>
      <c r="G228" s="18">
        <v>44897.483539999994</v>
      </c>
      <c r="H228" s="18">
        <v>49382.049179999995</v>
      </c>
      <c r="I228" s="18">
        <v>0</v>
      </c>
      <c r="J228" s="18">
        <v>0</v>
      </c>
      <c r="K228" s="18">
        <v>0</v>
      </c>
      <c r="L228" s="13">
        <f>SUM(F228:K228)</f>
        <v>155874.10799999998</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19926473.878199995</v>
      </c>
      <c r="G230" s="38">
        <f>SUM(G216:G229)</f>
        <v>9509595.0418600012</v>
      </c>
      <c r="H230" s="38">
        <f>SUM(H216:H229)</f>
        <v>5065239.9307800001</v>
      </c>
      <c r="I230" s="38">
        <f>SUM(I216:I229)</f>
        <v>541004.98138000013</v>
      </c>
      <c r="J230" s="38">
        <f>SUM(J216:J229)</f>
        <v>297192.50159999996</v>
      </c>
      <c r="K230" s="38">
        <f t="shared" si="3"/>
        <v>-28121.026000000013</v>
      </c>
      <c r="L230" s="38">
        <f t="shared" si="3"/>
        <v>35311385.30782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12272422.57536</v>
      </c>
      <c r="G234" s="18">
        <v>6366419.9484599996</v>
      </c>
      <c r="H234" s="18">
        <v>662244.46020000009</v>
      </c>
      <c r="I234" s="18">
        <v>182779.74</v>
      </c>
      <c r="J234" s="18">
        <v>72011.570000000007</v>
      </c>
      <c r="K234" s="18">
        <v>0</v>
      </c>
      <c r="L234" s="13">
        <f>SUM(F234:K234)</f>
        <v>19555878.294019997</v>
      </c>
      <c r="M234" s="8"/>
      <c r="N234" s="165"/>
    </row>
    <row r="235" spans="1:14" s="3" customFormat="1" ht="12.2" customHeight="1" x14ac:dyDescent="0.15">
      <c r="A235" s="1" t="s">
        <v>439</v>
      </c>
      <c r="B235" s="2" t="s">
        <v>350</v>
      </c>
      <c r="C235" s="2" t="s">
        <v>291</v>
      </c>
      <c r="D235" s="2" t="s">
        <v>431</v>
      </c>
      <c r="E235" s="6">
        <v>1200</v>
      </c>
      <c r="F235" s="18">
        <v>3322935.8109599994</v>
      </c>
      <c r="G235" s="18">
        <v>1393436.0084599999</v>
      </c>
      <c r="H235" s="18">
        <v>2087655.4536199998</v>
      </c>
      <c r="I235" s="18">
        <v>18218.410680000001</v>
      </c>
      <c r="J235" s="18">
        <v>297.59399999999999</v>
      </c>
      <c r="K235" s="18">
        <v>0</v>
      </c>
      <c r="L235" s="13">
        <f>SUM(F235:K235)</f>
        <v>6822543.2777199987</v>
      </c>
      <c r="M235" s="8"/>
      <c r="N235" s="165"/>
    </row>
    <row r="236" spans="1:14" s="3" customFormat="1" ht="12.2" customHeight="1" x14ac:dyDescent="0.15">
      <c r="A236" s="1" t="s">
        <v>440</v>
      </c>
      <c r="B236" s="2" t="s">
        <v>350</v>
      </c>
      <c r="C236" s="2" t="s">
        <v>292</v>
      </c>
      <c r="D236" s="2" t="s">
        <v>431</v>
      </c>
      <c r="E236" s="6">
        <v>1300</v>
      </c>
      <c r="F236" s="18">
        <v>2822762.6399999997</v>
      </c>
      <c r="G236" s="18">
        <v>1506560.8</v>
      </c>
      <c r="H236" s="18">
        <v>21253.620000000003</v>
      </c>
      <c r="I236" s="18">
        <v>164031.97</v>
      </c>
      <c r="J236" s="18">
        <v>15568.25</v>
      </c>
      <c r="K236" s="18">
        <v>0</v>
      </c>
      <c r="L236" s="13">
        <f>SUM(F236:K236)</f>
        <v>4530177.2799999993</v>
      </c>
      <c r="M236" s="8"/>
      <c r="N236" s="165"/>
    </row>
    <row r="237" spans="1:14" s="3" customFormat="1" ht="12.2" customHeight="1" x14ac:dyDescent="0.15">
      <c r="A237" s="1" t="s">
        <v>441</v>
      </c>
      <c r="B237" s="2" t="s">
        <v>350</v>
      </c>
      <c r="C237" s="2" t="s">
        <v>293</v>
      </c>
      <c r="D237" s="2" t="s">
        <v>431</v>
      </c>
      <c r="E237" s="6">
        <v>1400</v>
      </c>
      <c r="F237" s="18">
        <v>463704.86874000001</v>
      </c>
      <c r="G237" s="18">
        <v>34630.689859999991</v>
      </c>
      <c r="H237" s="18">
        <v>442776.28</v>
      </c>
      <c r="I237" s="18">
        <v>17614.334900000002</v>
      </c>
      <c r="J237" s="18">
        <v>58940.600000000006</v>
      </c>
      <c r="K237" s="18">
        <v>-189046</v>
      </c>
      <c r="L237" s="13">
        <f>SUM(F237:K237)</f>
        <v>828620.77350000001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4034882.4977200003</v>
      </c>
      <c r="G239" s="18">
        <v>2085547.8417000002</v>
      </c>
      <c r="H239" s="18">
        <v>469588.45718000003</v>
      </c>
      <c r="I239" s="18">
        <v>12149.589840000001</v>
      </c>
      <c r="J239" s="18">
        <v>3966.3635599999998</v>
      </c>
      <c r="K239" s="18">
        <v>0</v>
      </c>
      <c r="L239" s="13">
        <f t="shared" ref="L239:L245" si="4">SUM(F239:K239)</f>
        <v>6606134.75</v>
      </c>
      <c r="M239" s="8"/>
      <c r="N239" s="165"/>
    </row>
    <row r="240" spans="1:14" s="3" customFormat="1" ht="12.2" customHeight="1" x14ac:dyDescent="0.15">
      <c r="A240" s="1" t="s">
        <v>443</v>
      </c>
      <c r="B240" s="2" t="s">
        <v>350</v>
      </c>
      <c r="C240" s="2" t="s">
        <v>295</v>
      </c>
      <c r="D240" s="2" t="s">
        <v>431</v>
      </c>
      <c r="E240" s="6">
        <v>2200</v>
      </c>
      <c r="F240" s="18">
        <v>732494.0197399999</v>
      </c>
      <c r="G240" s="18">
        <v>313062.32896000001</v>
      </c>
      <c r="H240" s="18">
        <v>104302.21137999999</v>
      </c>
      <c r="I240" s="18">
        <v>254790.71117999998</v>
      </c>
      <c r="J240" s="18">
        <v>366053.4188799999</v>
      </c>
      <c r="K240" s="18">
        <v>0</v>
      </c>
      <c r="L240" s="13">
        <f t="shared" si="4"/>
        <v>1770702.6901399996</v>
      </c>
      <c r="M240" s="8"/>
      <c r="N240" s="165"/>
    </row>
    <row r="241" spans="1:14" s="3" customFormat="1" ht="12.2" customHeight="1" x14ac:dyDescent="0.15">
      <c r="A241" s="1" t="s">
        <v>444</v>
      </c>
      <c r="B241" s="2" t="s">
        <v>350</v>
      </c>
      <c r="C241" s="2" t="s">
        <v>296</v>
      </c>
      <c r="D241" s="2" t="s">
        <v>431</v>
      </c>
      <c r="E241" s="6">
        <v>2300</v>
      </c>
      <c r="F241" s="18">
        <v>632060.46105999989</v>
      </c>
      <c r="G241" s="18">
        <v>275311.86801999994</v>
      </c>
      <c r="H241" s="18">
        <v>222149.27171999999</v>
      </c>
      <c r="I241" s="18">
        <v>10100.92152</v>
      </c>
      <c r="J241" s="18">
        <v>573.98568</v>
      </c>
      <c r="K241" s="18">
        <v>188881.00799999997</v>
      </c>
      <c r="L241" s="13">
        <f t="shared" si="4"/>
        <v>1329077.5159999998</v>
      </c>
      <c r="M241" s="8"/>
      <c r="N241" s="165"/>
    </row>
    <row r="242" spans="1:14" s="3" customFormat="1" ht="12.2" customHeight="1" x14ac:dyDescent="0.15">
      <c r="A242" s="1" t="s">
        <v>445</v>
      </c>
      <c r="B242" s="2" t="s">
        <v>350</v>
      </c>
      <c r="C242" s="2" t="s">
        <v>297</v>
      </c>
      <c r="D242" s="2" t="s">
        <v>431</v>
      </c>
      <c r="E242" s="6">
        <v>2400</v>
      </c>
      <c r="F242" s="18">
        <v>1356915.8217</v>
      </c>
      <c r="G242" s="18">
        <v>663085.82795999991</v>
      </c>
      <c r="H242" s="18">
        <v>3760</v>
      </c>
      <c r="I242" s="18">
        <v>0</v>
      </c>
      <c r="J242" s="18">
        <v>0</v>
      </c>
      <c r="K242" s="18">
        <v>0</v>
      </c>
      <c r="L242" s="13">
        <f t="shared" si="4"/>
        <v>2023761.6496599999</v>
      </c>
      <c r="M242" s="8"/>
      <c r="N242" s="165"/>
    </row>
    <row r="243" spans="1:14" s="3" customFormat="1" ht="12.2" customHeight="1" x14ac:dyDescent="0.15">
      <c r="A243" s="1" t="s">
        <v>446</v>
      </c>
      <c r="B243" s="2" t="s">
        <v>350</v>
      </c>
      <c r="C243" s="2" t="s">
        <v>298</v>
      </c>
      <c r="D243" s="2" t="s">
        <v>431</v>
      </c>
      <c r="E243" s="6">
        <v>2500</v>
      </c>
      <c r="F243" s="18">
        <v>473892.40301999997</v>
      </c>
      <c r="G243" s="18">
        <v>95074.258979999984</v>
      </c>
      <c r="H243" s="18">
        <v>5504.32</v>
      </c>
      <c r="I243" s="18">
        <v>0</v>
      </c>
      <c r="J243" s="18">
        <v>0</v>
      </c>
      <c r="K243" s="18">
        <v>-235378.15</v>
      </c>
      <c r="L243" s="13">
        <f t="shared" si="4"/>
        <v>339092.83199999994</v>
      </c>
      <c r="M243" s="8"/>
      <c r="N243" s="165"/>
    </row>
    <row r="244" spans="1:14" s="3" customFormat="1" ht="12.2" customHeight="1" x14ac:dyDescent="0.15">
      <c r="A244" s="1" t="s">
        <v>447</v>
      </c>
      <c r="B244" s="2" t="s">
        <v>350</v>
      </c>
      <c r="C244" s="2" t="s">
        <v>299</v>
      </c>
      <c r="D244" s="2" t="s">
        <v>431</v>
      </c>
      <c r="E244" s="6">
        <v>2600</v>
      </c>
      <c r="F244" s="18">
        <v>2404839.0859599998</v>
      </c>
      <c r="G244" s="18">
        <v>1135606.0162599999</v>
      </c>
      <c r="H244" s="18">
        <v>2120238.5464000003</v>
      </c>
      <c r="I244" s="18">
        <v>287724.13633999997</v>
      </c>
      <c r="J244" s="18">
        <v>175823.50508</v>
      </c>
      <c r="K244" s="18">
        <v>0</v>
      </c>
      <c r="L244" s="13">
        <f t="shared" si="4"/>
        <v>6124231.2900399994</v>
      </c>
      <c r="M244" s="8"/>
      <c r="N244" s="165"/>
    </row>
    <row r="245" spans="1:14" s="3" customFormat="1" ht="12.2" customHeight="1" x14ac:dyDescent="0.15">
      <c r="A245" s="1" t="s">
        <v>448</v>
      </c>
      <c r="B245" s="2" t="s">
        <v>350</v>
      </c>
      <c r="C245" s="2" t="s">
        <v>300</v>
      </c>
      <c r="D245" s="2" t="s">
        <v>431</v>
      </c>
      <c r="E245" s="6">
        <v>2700</v>
      </c>
      <c r="F245" s="18">
        <v>30513.929380000001</v>
      </c>
      <c r="G245" s="18">
        <v>12020.716779999999</v>
      </c>
      <c r="H245" s="18">
        <v>2681315.2766999998</v>
      </c>
      <c r="I245" s="18">
        <v>0</v>
      </c>
      <c r="J245" s="18">
        <v>0</v>
      </c>
      <c r="K245" s="18">
        <v>0</v>
      </c>
      <c r="L245" s="13">
        <f t="shared" si="4"/>
        <v>2723849.9228599998</v>
      </c>
      <c r="M245" s="8"/>
      <c r="N245" s="165"/>
    </row>
    <row r="246" spans="1:14" s="3" customFormat="1" ht="12.2" customHeight="1" x14ac:dyDescent="0.15">
      <c r="A246" s="1" t="s">
        <v>449</v>
      </c>
      <c r="B246" s="2" t="s">
        <v>350</v>
      </c>
      <c r="C246" s="2" t="s">
        <v>343</v>
      </c>
      <c r="D246" s="2" t="s">
        <v>431</v>
      </c>
      <c r="E246" s="6">
        <v>2800</v>
      </c>
      <c r="F246" s="18">
        <v>101844.49576000001</v>
      </c>
      <c r="G246" s="18">
        <v>74236.433180000007</v>
      </c>
      <c r="H246" s="18">
        <v>81651.507060000004</v>
      </c>
      <c r="I246" s="18">
        <v>0</v>
      </c>
      <c r="J246" s="18">
        <v>0</v>
      </c>
      <c r="K246" s="18">
        <v>0</v>
      </c>
      <c r="L246" s="13">
        <f>SUM(F246:K246)</f>
        <v>257732.43600000002</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28649268.609399997</v>
      </c>
      <c r="G248" s="38">
        <f t="shared" si="5"/>
        <v>13954992.73862</v>
      </c>
      <c r="H248" s="38">
        <f t="shared" si="5"/>
        <v>8902439.4042600002</v>
      </c>
      <c r="I248" s="38">
        <f t="shared" si="5"/>
        <v>947409.81445999991</v>
      </c>
      <c r="J248" s="38">
        <f t="shared" si="5"/>
        <v>693235.2871999999</v>
      </c>
      <c r="K248" s="38">
        <f t="shared" si="5"/>
        <v>-235543.14200000002</v>
      </c>
      <c r="L248" s="38">
        <f t="shared" si="5"/>
        <v>52911802.711939998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65127.219999999994</v>
      </c>
      <c r="G252" s="18">
        <v>12138.2</v>
      </c>
      <c r="H252" s="18">
        <v>0</v>
      </c>
      <c r="I252" s="18">
        <v>0</v>
      </c>
      <c r="J252" s="18">
        <v>0</v>
      </c>
      <c r="K252" s="18">
        <v>0</v>
      </c>
      <c r="L252" s="13">
        <f t="shared" si="6"/>
        <v>77265.42</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2410655.6999999997</v>
      </c>
      <c r="L256" s="13">
        <f t="shared" si="6"/>
        <v>2410655.6999999997</v>
      </c>
      <c r="M256" s="8"/>
      <c r="N256" s="165"/>
    </row>
    <row r="257" spans="1:14" s="3" customFormat="1" ht="12.2" customHeight="1" thickTop="1" thickBot="1" x14ac:dyDescent="0.2">
      <c r="A257" s="35" t="s">
        <v>461</v>
      </c>
      <c r="B257" s="37">
        <v>10</v>
      </c>
      <c r="C257" s="37">
        <v>7</v>
      </c>
      <c r="D257" s="36" t="s">
        <v>431</v>
      </c>
      <c r="E257" s="37"/>
      <c r="F257" s="38">
        <f t="shared" ref="F257:K257" si="7">SUM(F251:F256)</f>
        <v>65127.219999999994</v>
      </c>
      <c r="G257" s="38">
        <f t="shared" si="7"/>
        <v>12138.2</v>
      </c>
      <c r="H257" s="38">
        <f t="shared" si="7"/>
        <v>0</v>
      </c>
      <c r="I257" s="38">
        <f t="shared" si="7"/>
        <v>0</v>
      </c>
      <c r="J257" s="38">
        <f t="shared" si="7"/>
        <v>0</v>
      </c>
      <c r="K257" s="38">
        <f t="shared" si="7"/>
        <v>2410655.6999999997</v>
      </c>
      <c r="L257" s="38">
        <f>SUM(F257:K257)</f>
        <v>2487921.1199999996</v>
      </c>
      <c r="M257" s="8"/>
      <c r="N257" s="165"/>
    </row>
    <row r="258" spans="1:14" s="3" customFormat="1" ht="12.2" customHeight="1" thickTop="1" x14ac:dyDescent="0.15">
      <c r="A258" s="35" t="s">
        <v>462</v>
      </c>
      <c r="B258" s="37">
        <v>10</v>
      </c>
      <c r="C258" s="37">
        <v>8</v>
      </c>
      <c r="D258" s="36" t="s">
        <v>431</v>
      </c>
      <c r="E258" s="37"/>
      <c r="F258" s="38">
        <f t="shared" ref="F258:L258" si="8">F212+F230+F248+F257</f>
        <v>91932304.829999983</v>
      </c>
      <c r="G258" s="38">
        <f t="shared" si="8"/>
        <v>43586522.650000006</v>
      </c>
      <c r="H258" s="38">
        <f t="shared" si="8"/>
        <v>25482203.890000001</v>
      </c>
      <c r="I258" s="38">
        <f t="shared" si="8"/>
        <v>2588836.5699999998</v>
      </c>
      <c r="J258" s="38">
        <f t="shared" si="8"/>
        <v>1627433.3599999999</v>
      </c>
      <c r="K258" s="38">
        <f t="shared" si="8"/>
        <v>2082396.6999999997</v>
      </c>
      <c r="L258" s="38">
        <f t="shared" si="8"/>
        <v>167299698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4897000</v>
      </c>
      <c r="L261" s="13">
        <f>SUM(F261:K261)</f>
        <v>4897000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3390908</v>
      </c>
      <c r="L262" s="13">
        <f>SUM(F262:K262)</f>
        <v>3390908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8287908</v>
      </c>
      <c r="L271" s="38">
        <f t="shared" si="9"/>
        <v>8287908</v>
      </c>
      <c r="M271" s="8"/>
      <c r="N271" s="165"/>
    </row>
    <row r="272" spans="1:14" s="33" customFormat="1" ht="12.2" customHeight="1" thickTop="1" x14ac:dyDescent="0.2">
      <c r="A272" s="40" t="s">
        <v>464</v>
      </c>
      <c r="B272" s="37">
        <v>10</v>
      </c>
      <c r="C272" s="37">
        <v>18</v>
      </c>
      <c r="D272" s="36" t="s">
        <v>431</v>
      </c>
      <c r="E272" s="37"/>
      <c r="F272" s="39">
        <f t="shared" ref="F272:L272" si="11">F258+F271</f>
        <v>91932304.829999983</v>
      </c>
      <c r="G272" s="39">
        <f t="shared" si="11"/>
        <v>43586522.650000006</v>
      </c>
      <c r="H272" s="39">
        <f t="shared" si="11"/>
        <v>25482203.890000001</v>
      </c>
      <c r="I272" s="39">
        <f t="shared" si="11"/>
        <v>2588836.5699999998</v>
      </c>
      <c r="J272" s="39">
        <f t="shared" si="11"/>
        <v>1627433.3599999999</v>
      </c>
      <c r="K272" s="39">
        <f t="shared" si="11"/>
        <v>10370304.699999999</v>
      </c>
      <c r="L272" s="39">
        <f t="shared" si="11"/>
        <v>175587606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1351630.8920800001</v>
      </c>
      <c r="G277" s="18">
        <v>250908.67431999996</v>
      </c>
      <c r="H277" s="18">
        <v>702639.07551999995</v>
      </c>
      <c r="I277" s="18">
        <v>185486.39616000003</v>
      </c>
      <c r="J277" s="18">
        <v>206909.61</v>
      </c>
      <c r="K277" s="18">
        <v>0</v>
      </c>
      <c r="L277" s="13">
        <f>SUM(F277:K277)</f>
        <v>2697574.6480800002</v>
      </c>
      <c r="M277" s="8"/>
      <c r="N277" s="165"/>
    </row>
    <row r="278" spans="1:14" s="3" customFormat="1" ht="12.2" customHeight="1" x14ac:dyDescent="0.15">
      <c r="A278" s="1" t="s">
        <v>439</v>
      </c>
      <c r="B278" s="2" t="s">
        <v>357</v>
      </c>
      <c r="C278" s="2" t="s">
        <v>291</v>
      </c>
      <c r="D278" s="2" t="s">
        <v>431</v>
      </c>
      <c r="E278" s="6">
        <v>1200</v>
      </c>
      <c r="F278" s="18">
        <v>2010385.4367600002</v>
      </c>
      <c r="G278" s="18">
        <v>861637.75617999991</v>
      </c>
      <c r="H278" s="18">
        <v>848548.36512000009</v>
      </c>
      <c r="I278" s="18">
        <v>301128.82769999997</v>
      </c>
      <c r="J278" s="18">
        <v>143369.20189999999</v>
      </c>
      <c r="K278" s="18">
        <v>0</v>
      </c>
      <c r="L278" s="13">
        <f>SUM(F278:K278)</f>
        <v>4165069.5876599997</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517319.24</v>
      </c>
      <c r="G280" s="18">
        <v>104581.70999999999</v>
      </c>
      <c r="H280" s="18">
        <v>152202.18</v>
      </c>
      <c r="I280" s="18">
        <v>305809</v>
      </c>
      <c r="J280" s="18">
        <v>25909.200000000001</v>
      </c>
      <c r="K280" s="18">
        <v>0</v>
      </c>
      <c r="L280" s="13">
        <f>SUM(F280:K280)</f>
        <v>1105821.3299999998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395092.77854000003</v>
      </c>
      <c r="G282" s="18">
        <v>160331.23647</v>
      </c>
      <c r="H282" s="18">
        <v>774753.99587999994</v>
      </c>
      <c r="I282" s="18">
        <v>20077.189649999993</v>
      </c>
      <c r="J282" s="18">
        <v>34224.012000000002</v>
      </c>
      <c r="K282" s="18">
        <v>0</v>
      </c>
      <c r="L282" s="13">
        <f t="shared" ref="L282:L288" si="12">SUM(F282:K282)</f>
        <v>1384479.2125400002</v>
      </c>
      <c r="M282" s="8"/>
      <c r="N282" s="165"/>
    </row>
    <row r="283" spans="1:14" s="3" customFormat="1" ht="12.2" customHeight="1" x14ac:dyDescent="0.15">
      <c r="A283" s="1" t="s">
        <v>443</v>
      </c>
      <c r="B283" s="2" t="s">
        <v>357</v>
      </c>
      <c r="C283" s="2" t="s">
        <v>295</v>
      </c>
      <c r="D283" s="2" t="s">
        <v>431</v>
      </c>
      <c r="E283" s="6">
        <v>2200</v>
      </c>
      <c r="F283" s="18">
        <v>680449.35080000013</v>
      </c>
      <c r="G283" s="18">
        <v>237945.11096000002</v>
      </c>
      <c r="H283" s="18">
        <v>516054.48223999998</v>
      </c>
      <c r="I283" s="18">
        <v>566806.59288000001</v>
      </c>
      <c r="J283" s="18">
        <v>237418.30487999998</v>
      </c>
      <c r="K283" s="18">
        <v>0</v>
      </c>
      <c r="L283" s="13">
        <f t="shared" si="12"/>
        <v>2238673.8417600002</v>
      </c>
      <c r="M283" s="8"/>
      <c r="N283" s="165"/>
    </row>
    <row r="284" spans="1:14" s="3" customFormat="1" ht="12.2" customHeight="1" x14ac:dyDescent="0.15">
      <c r="A284" s="1" t="s">
        <v>444</v>
      </c>
      <c r="B284" s="2" t="s">
        <v>357</v>
      </c>
      <c r="C284" s="2" t="s">
        <v>296</v>
      </c>
      <c r="D284" s="2" t="s">
        <v>431</v>
      </c>
      <c r="E284" s="6">
        <v>2300</v>
      </c>
      <c r="F284" s="18">
        <v>57327.199999999997</v>
      </c>
      <c r="G284" s="18">
        <v>4126.4076800000003</v>
      </c>
      <c r="H284" s="18">
        <v>0</v>
      </c>
      <c r="I284" s="18">
        <v>0</v>
      </c>
      <c r="J284" s="18">
        <v>0</v>
      </c>
      <c r="K284" s="18">
        <v>0</v>
      </c>
      <c r="L284" s="13">
        <f t="shared" si="12"/>
        <v>61453.607680000001</v>
      </c>
      <c r="M284" s="8"/>
      <c r="N284" s="165"/>
    </row>
    <row r="285" spans="1:14" s="3" customFormat="1" ht="12.2" customHeight="1" x14ac:dyDescent="0.15">
      <c r="A285" s="1" t="s">
        <v>445</v>
      </c>
      <c r="B285" s="2" t="s">
        <v>357</v>
      </c>
      <c r="C285" s="2" t="s">
        <v>297</v>
      </c>
      <c r="D285" s="2" t="s">
        <v>431</v>
      </c>
      <c r="E285" s="6">
        <v>2400</v>
      </c>
      <c r="F285" s="18">
        <v>131873.18</v>
      </c>
      <c r="G285" s="18">
        <v>73164.849999999991</v>
      </c>
      <c r="H285" s="18">
        <v>1198971.8500000001</v>
      </c>
      <c r="I285" s="18">
        <v>1475.0400000000002</v>
      </c>
      <c r="J285" s="18">
        <v>60663.040000000001</v>
      </c>
      <c r="K285" s="18">
        <v>0</v>
      </c>
      <c r="L285" s="13">
        <f t="shared" si="12"/>
        <v>1466147.9600000002</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326992.55311999994</v>
      </c>
      <c r="L286" s="13">
        <f t="shared" si="12"/>
        <v>326992.55311999994</v>
      </c>
      <c r="M286" s="8"/>
      <c r="N286" s="165"/>
    </row>
    <row r="287" spans="1:14" s="3" customFormat="1" ht="12.2" customHeight="1" x14ac:dyDescent="0.15">
      <c r="A287" s="1" t="s">
        <v>447</v>
      </c>
      <c r="B287" s="2" t="s">
        <v>357</v>
      </c>
      <c r="C287" s="2" t="s">
        <v>299</v>
      </c>
      <c r="D287" s="2" t="s">
        <v>431</v>
      </c>
      <c r="E287" s="6">
        <v>2600</v>
      </c>
      <c r="F287" s="18">
        <v>0</v>
      </c>
      <c r="G287" s="18">
        <v>0</v>
      </c>
      <c r="H287" s="18">
        <v>1057.92</v>
      </c>
      <c r="I287" s="18">
        <v>31331.423679999993</v>
      </c>
      <c r="J287" s="18">
        <v>78032.852000000014</v>
      </c>
      <c r="K287" s="18">
        <v>0</v>
      </c>
      <c r="L287" s="13">
        <f t="shared" si="12"/>
        <v>110422.19568</v>
      </c>
      <c r="M287" s="8"/>
      <c r="N287" s="165"/>
    </row>
    <row r="288" spans="1:14" s="3" customFormat="1" ht="12.2" customHeight="1" x14ac:dyDescent="0.15">
      <c r="A288" s="1" t="s">
        <v>448</v>
      </c>
      <c r="B288" s="2" t="s">
        <v>357</v>
      </c>
      <c r="C288" s="2" t="s">
        <v>300</v>
      </c>
      <c r="D288" s="2" t="s">
        <v>431</v>
      </c>
      <c r="E288" s="6">
        <v>2700</v>
      </c>
      <c r="F288" s="18">
        <v>0</v>
      </c>
      <c r="G288" s="18">
        <v>0</v>
      </c>
      <c r="H288" s="18">
        <v>140289.13269</v>
      </c>
      <c r="I288" s="18">
        <v>0</v>
      </c>
      <c r="J288" s="18">
        <v>0</v>
      </c>
      <c r="K288" s="18">
        <v>0</v>
      </c>
      <c r="L288" s="13">
        <f t="shared" si="12"/>
        <v>140289.13269</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5144078.0781800011</v>
      </c>
      <c r="G291" s="39">
        <f t="shared" si="13"/>
        <v>1692695.7456099996</v>
      </c>
      <c r="H291" s="39">
        <f t="shared" si="13"/>
        <v>4334517.0014500003</v>
      </c>
      <c r="I291" s="39">
        <f t="shared" si="13"/>
        <v>1412114.47007</v>
      </c>
      <c r="J291" s="39">
        <f t="shared" si="13"/>
        <v>786526.22078000009</v>
      </c>
      <c r="K291" s="39">
        <f t="shared" si="13"/>
        <v>326992.55311999994</v>
      </c>
      <c r="L291" s="38">
        <f t="shared" si="13"/>
        <v>13696924.069210002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214089.32193999999</v>
      </c>
      <c r="G296" s="18">
        <v>58303.485759999996</v>
      </c>
      <c r="H296" s="18">
        <v>285865.48735999997</v>
      </c>
      <c r="I296" s="18">
        <v>20161.809880000001</v>
      </c>
      <c r="J296" s="18">
        <v>9000</v>
      </c>
      <c r="K296" s="18">
        <v>0</v>
      </c>
      <c r="L296" s="13">
        <f>SUM(F296:K296)</f>
        <v>587420.10493999987</v>
      </c>
      <c r="M296" s="8"/>
      <c r="N296" s="165"/>
    </row>
    <row r="297" spans="1:14" s="3" customFormat="1" ht="12.2" customHeight="1" x14ac:dyDescent="0.15">
      <c r="A297" s="1" t="s">
        <v>439</v>
      </c>
      <c r="B297" s="2" t="s">
        <v>358</v>
      </c>
      <c r="C297" s="2" t="s">
        <v>291</v>
      </c>
      <c r="D297" s="2" t="s">
        <v>431</v>
      </c>
      <c r="E297" s="6">
        <v>1200</v>
      </c>
      <c r="F297" s="18">
        <v>623903.27916000003</v>
      </c>
      <c r="G297" s="18">
        <v>215775.26437999995</v>
      </c>
      <c r="H297" s="18">
        <v>353162.31391999999</v>
      </c>
      <c r="I297" s="18">
        <v>110110.31069999999</v>
      </c>
      <c r="J297" s="18">
        <v>55752.752900000007</v>
      </c>
      <c r="K297" s="18">
        <v>0</v>
      </c>
      <c r="L297" s="13">
        <f>SUM(F297:K297)</f>
        <v>1358703.9210600001</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12691.2</v>
      </c>
      <c r="G299" s="18">
        <v>22543.08</v>
      </c>
      <c r="H299" s="18">
        <v>0</v>
      </c>
      <c r="I299" s="18">
        <v>0</v>
      </c>
      <c r="J299" s="18">
        <v>0</v>
      </c>
      <c r="K299" s="18">
        <v>0</v>
      </c>
      <c r="L299" s="13">
        <f>SUM(F299:K299)</f>
        <v>35234.28</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129459.02314</v>
      </c>
      <c r="G301" s="18">
        <v>32665.091769999999</v>
      </c>
      <c r="H301" s="18">
        <v>301866.43708000006</v>
      </c>
      <c r="I301" s="18">
        <v>8356.0431499999995</v>
      </c>
      <c r="J301" s="18">
        <v>14243.892</v>
      </c>
      <c r="K301" s="18">
        <v>0</v>
      </c>
      <c r="L301" s="13">
        <f t="shared" ref="L301:L307" si="14">SUM(F301:K301)</f>
        <v>486590.48714000004</v>
      </c>
      <c r="M301" s="8"/>
      <c r="N301" s="165"/>
    </row>
    <row r="302" spans="1:14" s="3" customFormat="1" ht="12.2" customHeight="1" x14ac:dyDescent="0.15">
      <c r="A302" s="1" t="s">
        <v>443</v>
      </c>
      <c r="B302" s="2" t="s">
        <v>358</v>
      </c>
      <c r="C302" s="2" t="s">
        <v>295</v>
      </c>
      <c r="D302" s="2" t="s">
        <v>431</v>
      </c>
      <c r="E302" s="6">
        <v>2200</v>
      </c>
      <c r="F302" s="18">
        <v>213148.06689999998</v>
      </c>
      <c r="G302" s="18">
        <v>70631.651279999991</v>
      </c>
      <c r="H302" s="18">
        <v>185589.45131999999</v>
      </c>
      <c r="I302" s="18">
        <v>242602.74133999998</v>
      </c>
      <c r="J302" s="18">
        <v>80364.017339999991</v>
      </c>
      <c r="K302" s="18">
        <v>0</v>
      </c>
      <c r="L302" s="13">
        <f t="shared" si="14"/>
        <v>792335.92817999993</v>
      </c>
      <c r="M302" s="8"/>
      <c r="N302" s="165"/>
    </row>
    <row r="303" spans="1:14" s="3" customFormat="1" ht="12.2" customHeight="1" x14ac:dyDescent="0.15">
      <c r="A303" s="1" t="s">
        <v>444</v>
      </c>
      <c r="B303" s="2" t="s">
        <v>358</v>
      </c>
      <c r="C303" s="2" t="s">
        <v>296</v>
      </c>
      <c r="D303" s="2" t="s">
        <v>431</v>
      </c>
      <c r="E303" s="6">
        <v>2300</v>
      </c>
      <c r="F303" s="18">
        <v>24957.1</v>
      </c>
      <c r="G303" s="18">
        <v>1796.4102400000002</v>
      </c>
      <c r="H303" s="18">
        <v>0</v>
      </c>
      <c r="I303" s="18">
        <v>0</v>
      </c>
      <c r="J303" s="18">
        <v>0</v>
      </c>
      <c r="K303" s="18">
        <v>0</v>
      </c>
      <c r="L303" s="13">
        <f t="shared" si="14"/>
        <v>26753.51024</v>
      </c>
      <c r="M303" s="8"/>
      <c r="N303" s="165"/>
    </row>
    <row r="304" spans="1:14" s="3" customFormat="1" ht="12.2" customHeight="1" x14ac:dyDescent="0.15">
      <c r="A304" s="1" t="s">
        <v>445</v>
      </c>
      <c r="B304" s="2" t="s">
        <v>358</v>
      </c>
      <c r="C304" s="2" t="s">
        <v>297</v>
      </c>
      <c r="D304" s="2" t="s">
        <v>431</v>
      </c>
      <c r="E304" s="6">
        <v>2400</v>
      </c>
      <c r="F304" s="18">
        <v>77197.87</v>
      </c>
      <c r="G304" s="18">
        <v>28013.850000000002</v>
      </c>
      <c r="H304" s="18">
        <v>0</v>
      </c>
      <c r="I304" s="18">
        <v>0</v>
      </c>
      <c r="J304" s="18">
        <v>0</v>
      </c>
      <c r="K304" s="18">
        <v>0</v>
      </c>
      <c r="L304" s="13">
        <f t="shared" si="14"/>
        <v>105211.72</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142354.51665999999</v>
      </c>
      <c r="L305" s="13">
        <f t="shared" si="14"/>
        <v>142354.51665999999</v>
      </c>
      <c r="M305" s="8"/>
      <c r="N305" s="165"/>
    </row>
    <row r="306" spans="1:14" s="3" customFormat="1" ht="12.2" customHeight="1" x14ac:dyDescent="0.15">
      <c r="A306" s="1" t="s">
        <v>447</v>
      </c>
      <c r="B306" s="2" t="s">
        <v>358</v>
      </c>
      <c r="C306" s="2" t="s">
        <v>299</v>
      </c>
      <c r="D306" s="2" t="s">
        <v>431</v>
      </c>
      <c r="E306" s="6">
        <v>2600</v>
      </c>
      <c r="F306" s="18">
        <v>0</v>
      </c>
      <c r="G306" s="18">
        <v>0</v>
      </c>
      <c r="H306" s="18">
        <v>460.56000000000006</v>
      </c>
      <c r="I306" s="18">
        <v>13639.973239999999</v>
      </c>
      <c r="J306" s="18">
        <v>33971.198499999999</v>
      </c>
      <c r="K306" s="18">
        <v>0</v>
      </c>
      <c r="L306" s="13">
        <f t="shared" si="14"/>
        <v>48071.731739999996</v>
      </c>
      <c r="M306" s="8"/>
      <c r="N306" s="165"/>
    </row>
    <row r="307" spans="1:14" s="3" customFormat="1" ht="12.2" customHeight="1" x14ac:dyDescent="0.15">
      <c r="A307" s="1" t="s">
        <v>448</v>
      </c>
      <c r="B307" s="2" t="s">
        <v>358</v>
      </c>
      <c r="C307" s="2" t="s">
        <v>300</v>
      </c>
      <c r="D307" s="2" t="s">
        <v>431</v>
      </c>
      <c r="E307" s="6">
        <v>2700</v>
      </c>
      <c r="F307" s="18">
        <v>0</v>
      </c>
      <c r="G307" s="18">
        <v>0</v>
      </c>
      <c r="H307" s="18">
        <v>58387.755789999996</v>
      </c>
      <c r="I307" s="18">
        <v>0</v>
      </c>
      <c r="J307" s="18">
        <v>0</v>
      </c>
      <c r="K307" s="18">
        <v>0</v>
      </c>
      <c r="L307" s="13">
        <f t="shared" si="14"/>
        <v>58387.755789999996</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1295445.8611400002</v>
      </c>
      <c r="G310" s="39">
        <f t="shared" si="15"/>
        <v>429728.83342999994</v>
      </c>
      <c r="H310" s="39">
        <f t="shared" si="15"/>
        <v>1185332.0054700002</v>
      </c>
      <c r="I310" s="39">
        <f t="shared" si="15"/>
        <v>394870.87831</v>
      </c>
      <c r="J310" s="39">
        <f t="shared" si="15"/>
        <v>193331.86074</v>
      </c>
      <c r="K310" s="39">
        <f t="shared" si="15"/>
        <v>142354.51665999999</v>
      </c>
      <c r="L310" s="38">
        <f t="shared" si="15"/>
        <v>3641063.9557500007</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786016.24597999989</v>
      </c>
      <c r="G315" s="18">
        <v>279393.59992000001</v>
      </c>
      <c r="H315" s="18">
        <v>472668.67711999995</v>
      </c>
      <c r="I315" s="18">
        <v>33336.85396</v>
      </c>
      <c r="J315" s="18">
        <v>128309.53</v>
      </c>
      <c r="K315" s="18">
        <v>0</v>
      </c>
      <c r="L315" s="13">
        <f>SUM(F315:K315)</f>
        <v>1699724.9069799997</v>
      </c>
      <c r="M315" s="8"/>
      <c r="N315" s="165"/>
    </row>
    <row r="316" spans="1:14" s="3" customFormat="1" ht="12.2" customHeight="1" x14ac:dyDescent="0.15">
      <c r="A316" s="1" t="s">
        <v>439</v>
      </c>
      <c r="B316" s="2" t="s">
        <v>359</v>
      </c>
      <c r="C316" s="2" t="s">
        <v>291</v>
      </c>
      <c r="D316" s="2" t="s">
        <v>431</v>
      </c>
      <c r="E316" s="6">
        <v>1200</v>
      </c>
      <c r="F316" s="18">
        <v>1012156.2640800001</v>
      </c>
      <c r="G316" s="18">
        <v>427124.21944000002</v>
      </c>
      <c r="H316" s="18">
        <v>397585.55096000002</v>
      </c>
      <c r="I316" s="18">
        <v>123562.70159999999</v>
      </c>
      <c r="J316" s="18">
        <v>62564.175199999998</v>
      </c>
      <c r="K316" s="18">
        <v>0</v>
      </c>
      <c r="L316" s="13">
        <f>SUM(F316:K316)</f>
        <v>2022992.9112800003</v>
      </c>
      <c r="M316" s="8"/>
      <c r="N316" s="165"/>
    </row>
    <row r="317" spans="1:14" s="3" customFormat="1" ht="12.2" customHeight="1" x14ac:dyDescent="0.15">
      <c r="A317" s="1" t="s">
        <v>440</v>
      </c>
      <c r="B317" s="2" t="s">
        <v>359</v>
      </c>
      <c r="C317" s="2" t="s">
        <v>292</v>
      </c>
      <c r="D317" s="2" t="s">
        <v>431</v>
      </c>
      <c r="E317" s="6">
        <v>1300</v>
      </c>
      <c r="F317" s="18">
        <v>35906.589999999997</v>
      </c>
      <c r="G317" s="18">
        <v>18622.98</v>
      </c>
      <c r="H317" s="18">
        <v>126468.31999999998</v>
      </c>
      <c r="I317" s="18">
        <v>106224.78</v>
      </c>
      <c r="J317" s="18">
        <v>190350.07</v>
      </c>
      <c r="K317" s="18">
        <v>0</v>
      </c>
      <c r="L317" s="13">
        <f>SUM(F317:K317)</f>
        <v>477572.73999999993</v>
      </c>
      <c r="M317" s="8"/>
      <c r="N317" s="165"/>
    </row>
    <row r="318" spans="1:14" s="3" customFormat="1" ht="12.2" customHeight="1" x14ac:dyDescent="0.15">
      <c r="A318" s="1" t="s">
        <v>441</v>
      </c>
      <c r="B318" s="2" t="s">
        <v>359</v>
      </c>
      <c r="C318" s="2" t="s">
        <v>293</v>
      </c>
      <c r="D318" s="2" t="s">
        <v>431</v>
      </c>
      <c r="E318" s="6">
        <v>1400</v>
      </c>
      <c r="F318" s="18">
        <v>305815.81000000006</v>
      </c>
      <c r="G318" s="18">
        <v>122941.21</v>
      </c>
      <c r="H318" s="18">
        <v>15953.630000000001</v>
      </c>
      <c r="I318" s="18">
        <v>3550.02</v>
      </c>
      <c r="J318" s="18">
        <v>0</v>
      </c>
      <c r="K318" s="18">
        <v>203479.16999999998</v>
      </c>
      <c r="L318" s="13">
        <f>SUM(F318:K318)</f>
        <v>651739.84000000008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330212.11832000001</v>
      </c>
      <c r="G320" s="18">
        <v>125475.48176000001</v>
      </c>
      <c r="H320" s="18">
        <v>342508.04704000009</v>
      </c>
      <c r="I320" s="18">
        <v>12672.717199999999</v>
      </c>
      <c r="J320" s="18">
        <v>19719.126</v>
      </c>
      <c r="K320" s="18">
        <v>0</v>
      </c>
      <c r="L320" s="13">
        <f t="shared" ref="L320:L326" si="16">SUM(F320:K320)</f>
        <v>830587.4903200001</v>
      </c>
      <c r="M320" s="8"/>
      <c r="N320" s="165"/>
    </row>
    <row r="321" spans="1:14" s="3" customFormat="1" ht="12.2" customHeight="1" x14ac:dyDescent="0.15">
      <c r="A321" s="1" t="s">
        <v>443</v>
      </c>
      <c r="B321" s="2" t="s">
        <v>359</v>
      </c>
      <c r="C321" s="2" t="s">
        <v>295</v>
      </c>
      <c r="D321" s="2" t="s">
        <v>431</v>
      </c>
      <c r="E321" s="6">
        <v>2200</v>
      </c>
      <c r="F321" s="18">
        <v>423809.99229999998</v>
      </c>
      <c r="G321" s="18">
        <v>145853.26775999996</v>
      </c>
      <c r="H321" s="18">
        <v>307440.44643999997</v>
      </c>
      <c r="I321" s="18">
        <v>401135.22577999998</v>
      </c>
      <c r="J321" s="18">
        <v>132879.11777999997</v>
      </c>
      <c r="K321" s="18">
        <v>0</v>
      </c>
      <c r="L321" s="13">
        <f t="shared" si="16"/>
        <v>1411118.0500599998</v>
      </c>
      <c r="M321" s="8"/>
      <c r="N321" s="165"/>
    </row>
    <row r="322" spans="1:14" s="3" customFormat="1" ht="12.2" customHeight="1" x14ac:dyDescent="0.15">
      <c r="A322" s="1" t="s">
        <v>444</v>
      </c>
      <c r="B322" s="2" t="s">
        <v>359</v>
      </c>
      <c r="C322" s="2" t="s">
        <v>296</v>
      </c>
      <c r="D322" s="2" t="s">
        <v>431</v>
      </c>
      <c r="E322" s="6">
        <v>2300</v>
      </c>
      <c r="F322" s="18">
        <v>41265.699999999997</v>
      </c>
      <c r="G322" s="18">
        <v>2970.3020800000004</v>
      </c>
      <c r="H322" s="18">
        <v>0</v>
      </c>
      <c r="I322" s="18">
        <v>0</v>
      </c>
      <c r="J322" s="18">
        <v>0</v>
      </c>
      <c r="K322" s="18">
        <v>0</v>
      </c>
      <c r="L322" s="13">
        <f t="shared" si="16"/>
        <v>44236.002079999998</v>
      </c>
      <c r="M322" s="8"/>
      <c r="N322" s="165"/>
    </row>
    <row r="323" spans="1:14" s="3" customFormat="1" ht="12.2" customHeight="1" x14ac:dyDescent="0.15">
      <c r="A323" s="1" t="s">
        <v>445</v>
      </c>
      <c r="B323" s="2" t="s">
        <v>359</v>
      </c>
      <c r="C323" s="2" t="s">
        <v>297</v>
      </c>
      <c r="D323" s="2" t="s">
        <v>431</v>
      </c>
      <c r="E323" s="6">
        <v>2400</v>
      </c>
      <c r="F323" s="18">
        <v>159896.53</v>
      </c>
      <c r="G323" s="18">
        <v>90624.82</v>
      </c>
      <c r="H323" s="18">
        <v>0</v>
      </c>
      <c r="I323" s="18">
        <v>0</v>
      </c>
      <c r="J323" s="18">
        <v>0</v>
      </c>
      <c r="K323" s="18">
        <v>0</v>
      </c>
      <c r="L323" s="13">
        <f t="shared" si="16"/>
        <v>250521.35</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235378.26021999997</v>
      </c>
      <c r="L324" s="13">
        <f t="shared" si="16"/>
        <v>235378.26021999997</v>
      </c>
      <c r="M324" s="8"/>
      <c r="N324" s="165"/>
    </row>
    <row r="325" spans="1:14" s="3" customFormat="1" ht="12.2" customHeight="1" x14ac:dyDescent="0.15">
      <c r="A325" s="1" t="s">
        <v>447</v>
      </c>
      <c r="B325" s="2" t="s">
        <v>359</v>
      </c>
      <c r="C325" s="2" t="s">
        <v>299</v>
      </c>
      <c r="D325" s="2" t="s">
        <v>431</v>
      </c>
      <c r="E325" s="6">
        <v>2600</v>
      </c>
      <c r="F325" s="18">
        <v>12622.96</v>
      </c>
      <c r="G325" s="18">
        <v>2506.8199999999997</v>
      </c>
      <c r="H325" s="18">
        <v>761.52</v>
      </c>
      <c r="I325" s="18">
        <v>22553.223079999996</v>
      </c>
      <c r="J325" s="18">
        <v>56170.199500000002</v>
      </c>
      <c r="K325" s="18">
        <v>0</v>
      </c>
      <c r="L325" s="13">
        <f t="shared" si="16"/>
        <v>94614.722580000001</v>
      </c>
      <c r="M325" s="8"/>
      <c r="N325" s="165"/>
    </row>
    <row r="326" spans="1:14" s="3" customFormat="1" ht="12.2" customHeight="1" x14ac:dyDescent="0.15">
      <c r="A326" s="1" t="s">
        <v>448</v>
      </c>
      <c r="B326" s="2" t="s">
        <v>359</v>
      </c>
      <c r="C326" s="2" t="s">
        <v>300</v>
      </c>
      <c r="D326" s="2" t="s">
        <v>431</v>
      </c>
      <c r="E326" s="6">
        <v>2700</v>
      </c>
      <c r="F326" s="18">
        <v>0</v>
      </c>
      <c r="G326" s="18">
        <v>0</v>
      </c>
      <c r="H326" s="18">
        <v>73131.26152</v>
      </c>
      <c r="I326" s="18">
        <v>0</v>
      </c>
      <c r="J326" s="18">
        <v>0</v>
      </c>
      <c r="K326" s="18">
        <v>0</v>
      </c>
      <c r="L326" s="13">
        <f t="shared" si="16"/>
        <v>73131.26152</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3107702.21068</v>
      </c>
      <c r="G329" s="39">
        <f t="shared" si="17"/>
        <v>1215512.7009600003</v>
      </c>
      <c r="H329" s="39">
        <f t="shared" si="17"/>
        <v>1736517.4530800001</v>
      </c>
      <c r="I329" s="39">
        <f t="shared" si="17"/>
        <v>703035.52162000001</v>
      </c>
      <c r="J329" s="39">
        <f t="shared" si="17"/>
        <v>589992.21847999992</v>
      </c>
      <c r="K329" s="39">
        <f t="shared" si="17"/>
        <v>438857.43021999998</v>
      </c>
      <c r="L329" s="38">
        <f t="shared" si="17"/>
        <v>7791617.5350399995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49051.09</v>
      </c>
      <c r="G333" s="18">
        <v>3932.83</v>
      </c>
      <c r="H333" s="18">
        <v>34638.97</v>
      </c>
      <c r="I333" s="18">
        <v>1710.17</v>
      </c>
      <c r="J333" s="18">
        <v>16004.03</v>
      </c>
      <c r="K333" s="18">
        <v>0</v>
      </c>
      <c r="L333" s="13">
        <f t="shared" ref="L333:L338" si="18">SUM(F333:K333)</f>
        <v>105337.09</v>
      </c>
      <c r="M333" s="8"/>
      <c r="N333" s="165"/>
    </row>
    <row r="334" spans="1:14" s="3" customFormat="1" ht="12.2" customHeight="1" x14ac:dyDescent="0.15">
      <c r="A334" s="1" t="s">
        <v>353</v>
      </c>
      <c r="B334" s="6">
        <v>14</v>
      </c>
      <c r="C334" s="2" t="s">
        <v>309</v>
      </c>
      <c r="D334" s="2" t="s">
        <v>431</v>
      </c>
      <c r="E334" s="6">
        <v>1600</v>
      </c>
      <c r="F334" s="18">
        <v>146840.1</v>
      </c>
      <c r="G334" s="18">
        <v>11769.08</v>
      </c>
      <c r="H334" s="18">
        <v>0</v>
      </c>
      <c r="I334" s="18">
        <v>7607.6900000000005</v>
      </c>
      <c r="J334" s="18">
        <v>318</v>
      </c>
      <c r="K334" s="18">
        <v>0</v>
      </c>
      <c r="L334" s="13">
        <f t="shared" si="18"/>
        <v>166534.87</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7333276.6699999999</v>
      </c>
      <c r="I337" s="18">
        <v>0</v>
      </c>
      <c r="J337" s="18">
        <v>0</v>
      </c>
      <c r="K337" s="18">
        <v>0</v>
      </c>
      <c r="L337" s="13">
        <f t="shared" si="18"/>
        <v>7333276.6699999999</v>
      </c>
      <c r="M337" s="8"/>
      <c r="N337" s="165"/>
    </row>
    <row r="338" spans="1:43" s="3" customFormat="1" ht="12.2" customHeight="1" thickTop="1" thickBot="1" x14ac:dyDescent="0.2">
      <c r="A338" s="46" t="s">
        <v>467</v>
      </c>
      <c r="B338" s="37">
        <v>14</v>
      </c>
      <c r="C338" s="47">
        <v>6</v>
      </c>
      <c r="D338" s="44" t="s">
        <v>431</v>
      </c>
      <c r="E338" s="47"/>
      <c r="F338" s="38">
        <f t="shared" ref="F338:K338" si="19">SUM(F333:F337)</f>
        <v>195891.19</v>
      </c>
      <c r="G338" s="38">
        <f t="shared" si="19"/>
        <v>15701.91</v>
      </c>
      <c r="H338" s="38">
        <f t="shared" si="19"/>
        <v>7367915.6399999997</v>
      </c>
      <c r="I338" s="38">
        <f t="shared" si="19"/>
        <v>9317.86</v>
      </c>
      <c r="J338" s="38">
        <f t="shared" si="19"/>
        <v>16322.03</v>
      </c>
      <c r="K338" s="38">
        <f t="shared" si="19"/>
        <v>0</v>
      </c>
      <c r="L338" s="38">
        <f t="shared" si="18"/>
        <v>7605148.6299999999</v>
      </c>
      <c r="M338" s="8"/>
      <c r="N338" s="165"/>
    </row>
    <row r="339" spans="1:43" s="3" customFormat="1" ht="12.2" customHeight="1" thickTop="1" x14ac:dyDescent="0.15">
      <c r="A339" s="35" t="s">
        <v>468</v>
      </c>
      <c r="B339" s="37">
        <v>14</v>
      </c>
      <c r="C339" s="37">
        <v>7</v>
      </c>
      <c r="D339" s="36" t="s">
        <v>431</v>
      </c>
      <c r="E339" s="37"/>
      <c r="F339" s="38">
        <f t="shared" ref="F339:L339" si="20">F291+F310+F329+F338</f>
        <v>9743117.3400000017</v>
      </c>
      <c r="G339" s="38">
        <f t="shared" si="20"/>
        <v>3353639.1900000004</v>
      </c>
      <c r="H339" s="38">
        <f t="shared" si="20"/>
        <v>14624282.100000001</v>
      </c>
      <c r="I339" s="38">
        <f t="shared" si="20"/>
        <v>2519338.73</v>
      </c>
      <c r="J339" s="38">
        <f t="shared" si="20"/>
        <v>1586172.33</v>
      </c>
      <c r="K339" s="38">
        <f t="shared" si="20"/>
        <v>908204.49999999988</v>
      </c>
      <c r="L339" s="38">
        <f t="shared" si="20"/>
        <v>32734754.190000001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9743117.3400000017</v>
      </c>
      <c r="G353" s="38">
        <f>G339</f>
        <v>3353639.1900000004</v>
      </c>
      <c r="H353" s="38">
        <f>H339</f>
        <v>14624282.100000001</v>
      </c>
      <c r="I353" s="38">
        <f>I339</f>
        <v>2519338.73</v>
      </c>
      <c r="J353" s="38">
        <f>J339</f>
        <v>1586172.33</v>
      </c>
      <c r="K353" s="38">
        <f>K339+K352</f>
        <v>908204.49999999988</v>
      </c>
      <c r="L353" s="38">
        <f>L339+L352</f>
        <v>32734754.190000001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778550.77807999996</v>
      </c>
      <c r="G359" s="18">
        <v>328386.04775999999</v>
      </c>
      <c r="H359" s="18">
        <v>127691.47896000004</v>
      </c>
      <c r="I359" s="18">
        <v>1188877.5500800002</v>
      </c>
      <c r="J359" s="18">
        <v>10155.34936</v>
      </c>
      <c r="K359" s="18">
        <v>0</v>
      </c>
      <c r="L359" s="13">
        <f>SUM(F359:K359)</f>
        <v>2433661.2042400003</v>
      </c>
      <c r="M359" s="8"/>
      <c r="N359" s="165"/>
    </row>
    <row r="360" spans="1:22" s="3" customFormat="1" ht="12.2" customHeight="1" x14ac:dyDescent="0.15">
      <c r="A360" s="1" t="s">
        <v>542</v>
      </c>
      <c r="B360" s="2" t="s">
        <v>366</v>
      </c>
      <c r="C360" s="6">
        <v>2</v>
      </c>
      <c r="D360" s="2" t="s">
        <v>431</v>
      </c>
      <c r="E360" s="6"/>
      <c r="F360" s="18">
        <v>494628.88243999996</v>
      </c>
      <c r="G360" s="18">
        <v>132068.40617999999</v>
      </c>
      <c r="H360" s="18">
        <v>55593.207779999982</v>
      </c>
      <c r="I360" s="18">
        <v>478184.02344000002</v>
      </c>
      <c r="J360" s="18">
        <v>4146.62248</v>
      </c>
      <c r="K360" s="18">
        <v>0</v>
      </c>
      <c r="L360" s="13">
        <f>SUM(F360:K360)</f>
        <v>1164621.1423199999</v>
      </c>
      <c r="M360" s="8"/>
      <c r="N360" s="165"/>
    </row>
    <row r="361" spans="1:22" s="3" customFormat="1" ht="12.2" customHeight="1" x14ac:dyDescent="0.15">
      <c r="A361" s="3" t="s">
        <v>543</v>
      </c>
      <c r="B361" s="2" t="s">
        <v>366</v>
      </c>
      <c r="C361" s="6">
        <v>3</v>
      </c>
      <c r="D361" s="2" t="s">
        <v>431</v>
      </c>
      <c r="E361" s="6"/>
      <c r="F361" s="18">
        <v>450024.77948000003</v>
      </c>
      <c r="G361" s="18">
        <v>203597.24605999998</v>
      </c>
      <c r="H361" s="18">
        <v>90955.153260000006</v>
      </c>
      <c r="I361" s="18">
        <v>705532.05647999991</v>
      </c>
      <c r="J361" s="18">
        <v>3192.9981599999996</v>
      </c>
      <c r="K361" s="18">
        <v>0</v>
      </c>
      <c r="L361" s="13">
        <f>SUM(F361:K361)</f>
        <v>1453302.2334400001</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1723204.44</v>
      </c>
      <c r="G363" s="38">
        <f t="shared" si="22"/>
        <v>664051.69999999995</v>
      </c>
      <c r="H363" s="38">
        <f t="shared" si="22"/>
        <v>274239.84000000003</v>
      </c>
      <c r="I363" s="38">
        <f t="shared" si="22"/>
        <v>2372593.63</v>
      </c>
      <c r="J363" s="38">
        <f t="shared" si="22"/>
        <v>17494.97</v>
      </c>
      <c r="K363" s="38">
        <f t="shared" si="22"/>
        <v>0</v>
      </c>
      <c r="L363" s="38">
        <f t="shared" si="22"/>
        <v>5051584.58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1031974.9779200001</v>
      </c>
      <c r="G368" s="18">
        <v>408121.01556000003</v>
      </c>
      <c r="H368" s="18">
        <v>622739.05651999998</v>
      </c>
      <c r="I368" s="13">
        <f>SUM(F368:H368)</f>
        <v>2062835.0500000003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156902.57216000001</v>
      </c>
      <c r="G369" s="53">
        <v>70063.00787999999</v>
      </c>
      <c r="H369" s="53">
        <v>82792.999960000001</v>
      </c>
      <c r="I369" s="13">
        <f>SUM(F369:H369)</f>
        <v>309758.58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1188877.5500800002</v>
      </c>
      <c r="G370" s="38">
        <f>SUM(G368:G369)</f>
        <v>478184.02344000002</v>
      </c>
      <c r="H370" s="38">
        <f>SUM(H368:H369)</f>
        <v>705532.05648000003</v>
      </c>
      <c r="I370" s="38">
        <f>SUM(I368:I369)</f>
        <v>2372593.6300000004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f>52600136.97+1767635.88</f>
        <v>54367772.850000001</v>
      </c>
      <c r="L379" s="13">
        <f t="shared" si="23"/>
        <v>54367772.850000001</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54367772.850000001</v>
      </c>
      <c r="L383" s="38">
        <f t="shared" si="24"/>
        <v>54367772.850000001</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18064.3</v>
      </c>
      <c r="I393" s="18"/>
      <c r="J393" s="23" t="s">
        <v>288</v>
      </c>
      <c r="K393" s="23" t="s">
        <v>288</v>
      </c>
      <c r="L393" s="13">
        <f t="shared" si="25"/>
        <v>18064.3</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18064.3</v>
      </c>
      <c r="I394" s="54">
        <f>SUM(I388:I393)</f>
        <v>0</v>
      </c>
      <c r="J394" s="42" t="s">
        <v>288</v>
      </c>
      <c r="K394" s="42" t="s">
        <v>288</v>
      </c>
      <c r="L394" s="38">
        <f>SUM(L388:L393)</f>
        <v>18064.3</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23309.66</v>
      </c>
      <c r="I401" s="18">
        <v>296581.57</v>
      </c>
      <c r="J401" s="23" t="s">
        <v>288</v>
      </c>
      <c r="K401" s="23" t="s">
        <v>288</v>
      </c>
      <c r="L401" s="13">
        <f t="shared" si="26"/>
        <v>319891.23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23309.66</v>
      </c>
      <c r="I402" s="38">
        <f>SUM(I396:I401)</f>
        <v>296581.57</v>
      </c>
      <c r="J402" s="42" t="s">
        <v>288</v>
      </c>
      <c r="K402" s="42" t="s">
        <v>288</v>
      </c>
      <c r="L402" s="38">
        <f>SUM(L396:L401)</f>
        <v>319891.23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f>207057.44+263643.9+143669.69</f>
        <v>614371.03</v>
      </c>
      <c r="I404" s="18">
        <f>44629.31+88.01</f>
        <v>44717.32</v>
      </c>
      <c r="J404" s="23" t="s">
        <v>288</v>
      </c>
      <c r="K404" s="23" t="s">
        <v>288</v>
      </c>
      <c r="L404" s="13">
        <f>SUM(F404:K404)</f>
        <v>659088.35</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614371.03</v>
      </c>
      <c r="I408" s="38">
        <f>SUM(I404:I407)</f>
        <v>44717.32</v>
      </c>
      <c r="J408" s="45" t="s">
        <v>288</v>
      </c>
      <c r="K408" s="45" t="s">
        <v>288</v>
      </c>
      <c r="L408" s="38">
        <f>SUM(L404:L407)</f>
        <v>659088.35</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655744.99</v>
      </c>
      <c r="I409" s="38">
        <f>I394+I402+I408</f>
        <v>341298.89</v>
      </c>
      <c r="J409" s="23" t="s">
        <v>288</v>
      </c>
      <c r="K409" s="23" t="s">
        <v>288</v>
      </c>
      <c r="L409" s="38">
        <f>L394+L402+L408</f>
        <v>997043.87999999989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v>17253</v>
      </c>
      <c r="K419" s="18"/>
      <c r="L419" s="13">
        <f t="shared" si="27"/>
        <v>17253</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17253</v>
      </c>
      <c r="K420" s="97">
        <f t="shared" si="28"/>
        <v>0</v>
      </c>
      <c r="L420" s="38">
        <f t="shared" si="28"/>
        <v>17253</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v>1223.5</v>
      </c>
      <c r="H427" s="18">
        <f>43257.21+1034.82+385.84+456.25</f>
        <v>45134.119999999995</v>
      </c>
      <c r="I427" s="18">
        <f>27379.99+7336.5+332.22+2000</f>
        <v>37048.710000000006</v>
      </c>
      <c r="J427" s="18">
        <f>51893.11+4956.52</f>
        <v>56849.630000000005</v>
      </c>
      <c r="K427" s="18">
        <v>100000</v>
      </c>
      <c r="L427" s="13">
        <f t="shared" si="29"/>
        <v>240255.96000000002</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1223.5</v>
      </c>
      <c r="H428" s="38">
        <f t="shared" si="30"/>
        <v>45134.119999999995</v>
      </c>
      <c r="I428" s="38">
        <f t="shared" si="30"/>
        <v>37048.710000000006</v>
      </c>
      <c r="J428" s="38">
        <f t="shared" si="30"/>
        <v>56849.630000000005</v>
      </c>
      <c r="K428" s="38">
        <f t="shared" si="30"/>
        <v>100000</v>
      </c>
      <c r="L428" s="38">
        <f t="shared" si="30"/>
        <v>240255.96000000002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f>39208.61+222089.92</f>
        <v>261298.53000000003</v>
      </c>
      <c r="I430" s="18"/>
      <c r="J430" s="18"/>
      <c r="K430" s="18"/>
      <c r="L430" s="13">
        <f>SUM(F430:K430)</f>
        <v>261298.53000000003</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261298.53000000003</v>
      </c>
      <c r="I434" s="38">
        <f t="shared" si="31"/>
        <v>0</v>
      </c>
      <c r="J434" s="38">
        <f t="shared" si="31"/>
        <v>0</v>
      </c>
      <c r="K434" s="38">
        <f t="shared" si="31"/>
        <v>0</v>
      </c>
      <c r="L434" s="38">
        <f t="shared" si="31"/>
        <v>261298.53000000003</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1223.5</v>
      </c>
      <c r="H435" s="38">
        <f t="shared" si="32"/>
        <v>306432.65000000002</v>
      </c>
      <c r="I435" s="38">
        <f t="shared" si="32"/>
        <v>37048.710000000006</v>
      </c>
      <c r="J435" s="38">
        <f t="shared" si="32"/>
        <v>74102.63</v>
      </c>
      <c r="K435" s="38">
        <f t="shared" si="32"/>
        <v>100000</v>
      </c>
      <c r="L435" s="38">
        <f t="shared" si="32"/>
        <v>518807.49000000005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982499.95</v>
      </c>
      <c r="G440" s="18">
        <f>114024.26+1041831.72</f>
        <v>1155855.98</v>
      </c>
      <c r="H440" s="18">
        <v>138115.87</v>
      </c>
      <c r="I440" s="13">
        <f t="shared" ref="I440:I446" si="33">SUM(F440:H440)</f>
        <v>2276471.7999999998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f>540190.42+4322001.19+2734876.33</f>
        <v>7597067.9400000004</v>
      </c>
      <c r="I441" s="13">
        <f t="shared" si="33"/>
        <v>7597067.9400000004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37504.14</v>
      </c>
      <c r="H442" s="18"/>
      <c r="I442" s="13">
        <f t="shared" si="33"/>
        <v>37504.14</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982499.95</v>
      </c>
      <c r="G447" s="13">
        <f>SUM(G440:G446)</f>
        <v>1193360.1199999999</v>
      </c>
      <c r="H447" s="13">
        <f>SUM(H440:H446)</f>
        <v>7735183.8100000005</v>
      </c>
      <c r="I447" s="13">
        <f>SUM(I440:I446)</f>
        <v>9911043.8800000008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v>218104.39</v>
      </c>
      <c r="I449" s="13">
        <f>SUM(F449:H449)</f>
        <v>218104.39</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218104.39</v>
      </c>
      <c r="I453" s="57">
        <f>SUM(I449:I452)</f>
        <v>218104.39</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v>2459.29</v>
      </c>
      <c r="H455" s="18"/>
      <c r="I455" s="13">
        <f t="shared" ref="I455:I460" si="34">SUM(F455:H455)</f>
        <v>2459.29</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v>7115169.29</v>
      </c>
      <c r="I458" s="13">
        <f t="shared" si="34"/>
        <v>7115169.29</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f>4120.31+397789.82</f>
        <v>401910.13</v>
      </c>
      <c r="I459" s="13">
        <f t="shared" si="34"/>
        <v>401910.13</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981688.65+811.3</f>
        <v>982499.95000000007</v>
      </c>
      <c r="G460" s="18">
        <f>1111265.56+79635.27</f>
        <v>1190900.83</v>
      </c>
      <c r="H460" s="18"/>
      <c r="I460" s="13">
        <f t="shared" si="34"/>
        <v>2173400.7800000003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982499.95000000007</v>
      </c>
      <c r="G461" s="65">
        <f>SUM(G455:G460)</f>
        <v>1193360.1200000001</v>
      </c>
      <c r="H461" s="65">
        <f>SUM(H455:H460)</f>
        <v>7517079.4199999999</v>
      </c>
      <c r="I461" s="65">
        <f>SUM(I455:I460)</f>
        <v>9692939.4900000002</v>
      </c>
      <c r="J461" s="23" t="s">
        <v>288</v>
      </c>
      <c r="K461" s="23" t="s">
        <v>288</v>
      </c>
      <c r="L461" s="23" t="s">
        <v>288</v>
      </c>
      <c r="N461" s="131"/>
    </row>
    <row r="462" spans="1:86" ht="12.2" customHeight="1" thickTop="1" x14ac:dyDescent="0.2">
      <c r="A462" s="40" t="s">
        <v>424</v>
      </c>
      <c r="B462" s="41">
        <v>18</v>
      </c>
      <c r="C462" s="64">
        <v>21</v>
      </c>
      <c r="D462" s="114" t="s">
        <v>432</v>
      </c>
      <c r="E462" s="64"/>
      <c r="F462" s="39">
        <f>F453+F461</f>
        <v>982499.95000000007</v>
      </c>
      <c r="G462" s="39">
        <f>G453+G461</f>
        <v>1193360.1200000001</v>
      </c>
      <c r="H462" s="39">
        <f>H453+H461</f>
        <v>7735183.8099999996</v>
      </c>
      <c r="I462" s="39">
        <f>I453+I461</f>
        <v>9911043.8800000008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0</v>
      </c>
      <c r="G466" s="18">
        <v>2144062.2400000002</v>
      </c>
      <c r="H466" s="18">
        <v>2638139.75</v>
      </c>
      <c r="I466" s="18">
        <v>10258148.779999999</v>
      </c>
      <c r="J466" s="18">
        <v>9214703.0999999996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175587605.99999997</v>
      </c>
      <c r="G469" s="18">
        <f>G194</f>
        <v>4818030.12</v>
      </c>
      <c r="H469" s="18">
        <f>H194</f>
        <v>33684296.569999993</v>
      </c>
      <c r="I469" s="18">
        <f>I194</f>
        <v>35000000</v>
      </c>
      <c r="J469" s="18">
        <f>L409</f>
        <v>997043.87999999989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175587605.99999997</v>
      </c>
      <c r="G471" s="19">
        <f>SUM(G469:G470)</f>
        <v>4818030.12</v>
      </c>
      <c r="H471" s="19">
        <f>SUM(H469:H470)</f>
        <v>33684296.569999993</v>
      </c>
      <c r="I471" s="19">
        <f>SUM(I469:I470)</f>
        <v>35000000</v>
      </c>
      <c r="J471" s="19">
        <f>SUM(J469:J470)</f>
        <v>997043.87999999989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175587606</v>
      </c>
      <c r="G473" s="18">
        <v>5051584.58</v>
      </c>
      <c r="H473" s="18">
        <v>32734754.190000001</v>
      </c>
      <c r="I473" s="18">
        <f>52600136.97+1767635.88</f>
        <v>54367772.850000001</v>
      </c>
      <c r="J473" s="18">
        <f>L435</f>
        <v>518807.49000000005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175587606</v>
      </c>
      <c r="G475" s="19">
        <f>SUM(G473:G474)</f>
        <v>5051584.58</v>
      </c>
      <c r="H475" s="19">
        <f>SUM(H473:H474)</f>
        <v>32734754.190000001</v>
      </c>
      <c r="I475" s="19">
        <f>SUM(I473:I474)</f>
        <v>54367772.850000001</v>
      </c>
      <c r="J475" s="19">
        <f>SUM(J473:J474)</f>
        <v>518807.49000000005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0</v>
      </c>
      <c r="G477" s="19">
        <f>(G466+G471)- G475</f>
        <v>1910507.7800000003</v>
      </c>
      <c r="H477" s="19">
        <f>(H466+H471)- H475</f>
        <v>3587682.1299999915</v>
      </c>
      <c r="I477" s="19">
        <f>(I466+I471)- I475</f>
        <v>-9109624.0700000003</v>
      </c>
      <c r="J477" s="19">
        <f>(J466+J471)- J475</f>
        <v>9692939.4900000002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t="s">
        <v>1812</v>
      </c>
      <c r="G495" s="18"/>
      <c r="H495" s="18"/>
      <c r="I495" s="18"/>
      <c r="J495" s="18"/>
      <c r="K495" s="23" t="s">
        <v>288</v>
      </c>
      <c r="L495" s="23" t="s">
        <v>288</v>
      </c>
      <c r="N495" s="131"/>
    </row>
    <row r="496" spans="1:14" ht="12.2" customHeight="1" x14ac:dyDescent="0.2">
      <c r="A496" s="21" t="s">
        <v>619</v>
      </c>
      <c r="B496" s="22">
        <v>20</v>
      </c>
      <c r="C496" s="22">
        <v>6</v>
      </c>
      <c r="D496" s="2" t="s">
        <v>432</v>
      </c>
      <c r="E496" s="22"/>
      <c r="F496" s="18">
        <v>77908500</v>
      </c>
      <c r="G496" s="18"/>
      <c r="H496" s="18"/>
      <c r="I496" s="18"/>
      <c r="J496" s="18"/>
      <c r="K496" s="19">
        <f>SUM(F496:J496)</f>
        <v>77908500</v>
      </c>
      <c r="L496" s="23" t="s">
        <v>288</v>
      </c>
      <c r="N496" s="131"/>
    </row>
    <row r="497" spans="1:14" ht="12.2" customHeight="1" x14ac:dyDescent="0.2">
      <c r="A497" s="21" t="s">
        <v>620</v>
      </c>
      <c r="B497" s="22">
        <v>20</v>
      </c>
      <c r="C497" s="22">
        <v>7</v>
      </c>
      <c r="D497" s="2" t="s">
        <v>432</v>
      </c>
      <c r="E497" s="22"/>
      <c r="F497" s="18">
        <v>35000000</v>
      </c>
      <c r="G497" s="18"/>
      <c r="H497" s="18"/>
      <c r="I497" s="18"/>
      <c r="J497" s="18"/>
      <c r="K497" s="19">
        <f t="shared" ref="K497:K504" si="35">SUM(F497:J497)</f>
        <v>35000000</v>
      </c>
      <c r="L497" s="23" t="s">
        <v>288</v>
      </c>
      <c r="N497" s="131"/>
    </row>
    <row r="498" spans="1:14" ht="12.2" customHeight="1" x14ac:dyDescent="0.2">
      <c r="A498" s="21" t="s">
        <v>621</v>
      </c>
      <c r="B498" s="22">
        <v>20</v>
      </c>
      <c r="C498" s="22">
        <v>8</v>
      </c>
      <c r="D498" s="2" t="s">
        <v>432</v>
      </c>
      <c r="E498" s="22"/>
      <c r="F498" s="18">
        <v>4897000</v>
      </c>
      <c r="G498" s="18"/>
      <c r="H498" s="18"/>
      <c r="I498" s="18"/>
      <c r="J498" s="18"/>
      <c r="K498" s="19">
        <f t="shared" si="35"/>
        <v>4897000</v>
      </c>
      <c r="L498" s="23" t="s">
        <v>288</v>
      </c>
      <c r="N498" s="131"/>
    </row>
    <row r="499" spans="1:14" ht="12.2" customHeight="1" x14ac:dyDescent="0.2">
      <c r="A499" s="144" t="s">
        <v>622</v>
      </c>
      <c r="B499" s="145">
        <v>20</v>
      </c>
      <c r="C499" s="145">
        <v>9</v>
      </c>
      <c r="D499" s="146" t="s">
        <v>432</v>
      </c>
      <c r="E499" s="145"/>
      <c r="F499" s="147">
        <v>108011500</v>
      </c>
      <c r="G499" s="147"/>
      <c r="H499" s="147"/>
      <c r="I499" s="147"/>
      <c r="J499" s="147"/>
      <c r="K499" s="148">
        <f t="shared" si="35"/>
        <v>108011500</v>
      </c>
      <c r="L499" s="149" t="s">
        <v>288</v>
      </c>
      <c r="N499" s="131"/>
    </row>
    <row r="500" spans="1:14" ht="12.2" customHeight="1" thickBot="1" x14ac:dyDescent="0.25">
      <c r="A500" s="21" t="s">
        <v>623</v>
      </c>
      <c r="B500" s="22">
        <v>20</v>
      </c>
      <c r="C500" s="22">
        <v>10</v>
      </c>
      <c r="D500" s="2" t="s">
        <v>432</v>
      </c>
      <c r="E500" s="22"/>
      <c r="F500" s="18">
        <v>45607753</v>
      </c>
      <c r="G500" s="18"/>
      <c r="H500" s="18"/>
      <c r="I500" s="18"/>
      <c r="J500" s="18"/>
      <c r="K500" s="19">
        <f t="shared" si="35"/>
        <v>45607753</v>
      </c>
      <c r="L500" s="23" t="s">
        <v>288</v>
      </c>
      <c r="N500" s="131"/>
    </row>
    <row r="501" spans="1:14" ht="12.2" customHeight="1" thickTop="1" x14ac:dyDescent="0.2">
      <c r="A501" s="97" t="s">
        <v>624</v>
      </c>
      <c r="B501" s="41">
        <v>20</v>
      </c>
      <c r="C501" s="41">
        <v>11</v>
      </c>
      <c r="D501" s="36" t="s">
        <v>432</v>
      </c>
      <c r="E501" s="41"/>
      <c r="F501" s="39">
        <f>SUM(F499:F500)</f>
        <v>153619253</v>
      </c>
      <c r="G501" s="39">
        <f>SUM(G499:G500)</f>
        <v>0</v>
      </c>
      <c r="H501" s="39">
        <f>SUM(H499:H500)</f>
        <v>0</v>
      </c>
      <c r="I501" s="39">
        <f>SUM(I499:I500)</f>
        <v>0</v>
      </c>
      <c r="J501" s="39">
        <f>SUM(J499:J500)</f>
        <v>0</v>
      </c>
      <c r="K501" s="39">
        <f t="shared" si="35"/>
        <v>153619253</v>
      </c>
      <c r="L501" s="42" t="s">
        <v>288</v>
      </c>
      <c r="N501" s="131"/>
    </row>
    <row r="502" spans="1:14" ht="12.2" customHeight="1" x14ac:dyDescent="0.2">
      <c r="A502" s="144" t="s">
        <v>651</v>
      </c>
      <c r="B502" s="145">
        <v>20</v>
      </c>
      <c r="C502" s="145">
        <v>12</v>
      </c>
      <c r="D502" s="146" t="s">
        <v>432</v>
      </c>
      <c r="E502" s="145"/>
      <c r="F502" s="147">
        <v>4539500</v>
      </c>
      <c r="G502" s="147"/>
      <c r="H502" s="147"/>
      <c r="I502" s="147"/>
      <c r="J502" s="147"/>
      <c r="K502" s="148">
        <f t="shared" si="35"/>
        <v>4539500</v>
      </c>
      <c r="L502" s="149" t="s">
        <v>288</v>
      </c>
      <c r="N502" s="131"/>
    </row>
    <row r="503" spans="1:14" ht="12.2" customHeight="1" thickBot="1" x14ac:dyDescent="0.25">
      <c r="A503" s="21" t="s">
        <v>625</v>
      </c>
      <c r="B503" s="22">
        <v>20</v>
      </c>
      <c r="C503" s="22">
        <v>13</v>
      </c>
      <c r="D503" s="2" t="s">
        <v>432</v>
      </c>
      <c r="E503" s="22"/>
      <c r="F503" s="18">
        <v>4711198</v>
      </c>
      <c r="G503" s="18"/>
      <c r="H503" s="18"/>
      <c r="I503" s="18"/>
      <c r="J503" s="18"/>
      <c r="K503" s="19">
        <f t="shared" si="35"/>
        <v>4711198</v>
      </c>
      <c r="L503" s="23" t="s">
        <v>288</v>
      </c>
      <c r="N503" s="131"/>
    </row>
    <row r="504" spans="1:14" ht="12.2" customHeight="1" thickTop="1" x14ac:dyDescent="0.2">
      <c r="A504" s="97" t="s">
        <v>626</v>
      </c>
      <c r="B504" s="41">
        <v>20</v>
      </c>
      <c r="C504" s="41">
        <v>14</v>
      </c>
      <c r="D504" s="36" t="s">
        <v>432</v>
      </c>
      <c r="E504" s="41"/>
      <c r="F504" s="39">
        <f>SUM(F502:F503)</f>
        <v>9250698</v>
      </c>
      <c r="G504" s="39">
        <f>SUM(G502:G503)</f>
        <v>0</v>
      </c>
      <c r="H504" s="39">
        <f>SUM(H502:H503)</f>
        <v>0</v>
      </c>
      <c r="I504" s="39">
        <f>SUM(I502:I503)</f>
        <v>0</v>
      </c>
      <c r="J504" s="39">
        <f>SUM(J502:J503)</f>
        <v>0</v>
      </c>
      <c r="K504" s="39">
        <f t="shared" si="35"/>
        <v>9250698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9651155.6003946997</v>
      </c>
      <c r="G522" s="18">
        <v>3574404.7204405996</v>
      </c>
      <c r="H522" s="18">
        <v>4110030.2939559505</v>
      </c>
      <c r="I522" s="18">
        <v>215618.52302264998</v>
      </c>
      <c r="J522" s="18">
        <v>30954.646029800002</v>
      </c>
      <c r="K522" s="18">
        <v>0</v>
      </c>
      <c r="L522" s="69">
        <f>SUM(F522:K522)</f>
        <v>17582163.783843704</v>
      </c>
      <c r="N522" s="131"/>
    </row>
    <row r="523" spans="1:14" ht="12.2" customHeight="1" x14ac:dyDescent="0.2">
      <c r="A523" s="21" t="s">
        <v>634</v>
      </c>
      <c r="B523" s="22">
        <v>21</v>
      </c>
      <c r="C523" s="22">
        <v>2</v>
      </c>
      <c r="D523" s="2" t="s">
        <v>432</v>
      </c>
      <c r="E523" s="22"/>
      <c r="F523" s="18">
        <v>2882057.4645910403</v>
      </c>
      <c r="G523" s="18">
        <v>1196651.2839539198</v>
      </c>
      <c r="H523" s="18">
        <v>1691564.3111870401</v>
      </c>
      <c r="I523" s="18">
        <v>73910.948808479981</v>
      </c>
      <c r="J523" s="18">
        <v>11645.65884736</v>
      </c>
      <c r="K523" s="18">
        <v>0</v>
      </c>
      <c r="L523" s="69">
        <f>SUM(F523:K523)</f>
        <v>5855829.6673878403</v>
      </c>
      <c r="N523" s="131"/>
    </row>
    <row r="524" spans="1:14" ht="12.2" customHeight="1" thickBot="1" x14ac:dyDescent="0.25">
      <c r="A524" s="21" t="s">
        <v>635</v>
      </c>
      <c r="B524" s="22">
        <v>21</v>
      </c>
      <c r="C524" s="22">
        <v>3</v>
      </c>
      <c r="D524" s="2" t="s">
        <v>432</v>
      </c>
      <c r="E524" s="22"/>
      <c r="F524" s="18">
        <v>3258819.9950142596</v>
      </c>
      <c r="G524" s="18">
        <v>1396674.7856054802</v>
      </c>
      <c r="H524" s="18">
        <v>1891730.8148570098</v>
      </c>
      <c r="I524" s="18">
        <v>78891.008168870001</v>
      </c>
      <c r="J524" s="18">
        <v>13023.71512284</v>
      </c>
      <c r="K524" s="18">
        <v>0</v>
      </c>
      <c r="L524" s="69">
        <f>SUM(F524:K524)</f>
        <v>6639140.3187684594</v>
      </c>
      <c r="N524" s="131"/>
    </row>
    <row r="525" spans="1:14" ht="12.2" customHeight="1" thickTop="1" x14ac:dyDescent="0.2">
      <c r="A525" s="97" t="s">
        <v>63</v>
      </c>
      <c r="B525" s="41">
        <v>21</v>
      </c>
      <c r="C525" s="41">
        <v>4</v>
      </c>
      <c r="D525" s="115" t="s">
        <v>432</v>
      </c>
      <c r="E525" s="41"/>
      <c r="F525" s="81">
        <f>SUM(F522:F524)</f>
        <v>15792033.060000001</v>
      </c>
      <c r="G525" s="81">
        <f t="shared" ref="G525:L525" si="36">SUM(G522:G524)</f>
        <v>6167730.7899999991</v>
      </c>
      <c r="H525" s="81">
        <f t="shared" si="36"/>
        <v>7693325.4199999999</v>
      </c>
      <c r="I525" s="81">
        <f t="shared" si="36"/>
        <v>368420.48</v>
      </c>
      <c r="J525" s="81">
        <f t="shared" si="36"/>
        <v>55624.020000000004</v>
      </c>
      <c r="K525" s="81">
        <f t="shared" si="36"/>
        <v>0</v>
      </c>
      <c r="L525" s="70">
        <f t="shared" si="36"/>
        <v>30077133.770000003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2461843.6762999999</v>
      </c>
      <c r="G527" s="18">
        <v>1158096.9824400002</v>
      </c>
      <c r="H527" s="18">
        <v>1319668.7549760002</v>
      </c>
      <c r="I527" s="18">
        <v>13165.098448000001</v>
      </c>
      <c r="J527" s="18">
        <v>39293.314632000001</v>
      </c>
      <c r="K527" s="18">
        <v>0</v>
      </c>
      <c r="L527" s="69">
        <f>SUM(F527:K527)</f>
        <v>4992067.8267959999</v>
      </c>
      <c r="M527" s="8"/>
      <c r="N527" s="165"/>
    </row>
    <row r="528" spans="1:14" s="3" customFormat="1" ht="12.2" customHeight="1" x14ac:dyDescent="0.15">
      <c r="A528" s="21" t="s">
        <v>634</v>
      </c>
      <c r="B528" s="22">
        <v>21</v>
      </c>
      <c r="C528" s="22">
        <v>6</v>
      </c>
      <c r="D528" s="2" t="s">
        <v>432</v>
      </c>
      <c r="E528" s="22"/>
      <c r="F528" s="18">
        <v>1032570.63735</v>
      </c>
      <c r="G528" s="18">
        <v>485592.50717999996</v>
      </c>
      <c r="H528" s="18">
        <v>565499.08187200001</v>
      </c>
      <c r="I528" s="18">
        <v>5054.996056</v>
      </c>
      <c r="J528" s="18">
        <v>16837.811203999998</v>
      </c>
      <c r="K528" s="18">
        <v>0</v>
      </c>
      <c r="L528" s="69">
        <f>SUM(F528:K528)</f>
        <v>2105555.0336620002</v>
      </c>
      <c r="M528" s="8"/>
      <c r="N528" s="165"/>
    </row>
    <row r="529" spans="1:14" s="3" customFormat="1" ht="12.2" customHeight="1" thickBot="1" x14ac:dyDescent="0.2">
      <c r="A529" s="21" t="s">
        <v>635</v>
      </c>
      <c r="B529" s="22">
        <v>21</v>
      </c>
      <c r="C529" s="22">
        <v>7</v>
      </c>
      <c r="D529" s="2" t="s">
        <v>432</v>
      </c>
      <c r="E529" s="22"/>
      <c r="F529" s="18">
        <v>1308454.9263500001</v>
      </c>
      <c r="G529" s="18">
        <v>621453.86037999997</v>
      </c>
      <c r="H529" s="18">
        <v>678291.28315200005</v>
      </c>
      <c r="I529" s="18">
        <v>6063.2454959999995</v>
      </c>
      <c r="J529" s="18">
        <v>20196.214163999997</v>
      </c>
      <c r="K529" s="18">
        <v>0</v>
      </c>
      <c r="L529" s="69">
        <f>SUM(F529:K529)</f>
        <v>2634459.529542</v>
      </c>
      <c r="M529" s="8"/>
      <c r="N529" s="165"/>
    </row>
    <row r="530" spans="1:14" s="3" customFormat="1" ht="12.2" customHeight="1" thickTop="1" x14ac:dyDescent="0.15">
      <c r="A530" s="97" t="s">
        <v>65</v>
      </c>
      <c r="B530" s="41">
        <v>21</v>
      </c>
      <c r="C530" s="41">
        <v>8</v>
      </c>
      <c r="D530" s="115" t="s">
        <v>432</v>
      </c>
      <c r="E530" s="41"/>
      <c r="F530" s="70">
        <f>SUM(F527:F529)</f>
        <v>4802869.24</v>
      </c>
      <c r="G530" s="70">
        <f t="shared" ref="G530:L530" si="37">SUM(G527:G529)</f>
        <v>2265143.35</v>
      </c>
      <c r="H530" s="70">
        <f t="shared" si="37"/>
        <v>2563459.12</v>
      </c>
      <c r="I530" s="70">
        <f t="shared" si="37"/>
        <v>24283.34</v>
      </c>
      <c r="J530" s="70">
        <f t="shared" si="37"/>
        <v>76327.34</v>
      </c>
      <c r="K530" s="70">
        <f t="shared" si="37"/>
        <v>0</v>
      </c>
      <c r="L530" s="70">
        <f t="shared" si="37"/>
        <v>9732082.3900000006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293696.174772</v>
      </c>
      <c r="G532" s="18">
        <v>110020.30182000001</v>
      </c>
      <c r="H532" s="18">
        <v>39833.324388000001</v>
      </c>
      <c r="I532" s="18">
        <v>0</v>
      </c>
      <c r="J532" s="18">
        <v>0</v>
      </c>
      <c r="K532" s="18">
        <v>0</v>
      </c>
      <c r="L532" s="69">
        <f>SUM(F532:K532)</f>
        <v>443549.80098</v>
      </c>
      <c r="M532" s="8"/>
      <c r="N532" s="165"/>
    </row>
    <row r="533" spans="1:14" s="3" customFormat="1" ht="12.2" customHeight="1" x14ac:dyDescent="0.15">
      <c r="A533" s="21" t="s">
        <v>634</v>
      </c>
      <c r="B533" s="22">
        <v>21</v>
      </c>
      <c r="C533" s="22">
        <v>10</v>
      </c>
      <c r="D533" s="2" t="s">
        <v>432</v>
      </c>
      <c r="E533" s="22"/>
      <c r="F533" s="18">
        <v>125853.489034</v>
      </c>
      <c r="G533" s="18">
        <v>47145.451789999999</v>
      </c>
      <c r="H533" s="18">
        <v>17069.213985999999</v>
      </c>
      <c r="I533" s="18">
        <v>0</v>
      </c>
      <c r="J533" s="18">
        <v>0</v>
      </c>
      <c r="K533" s="18">
        <v>0</v>
      </c>
      <c r="L533" s="69">
        <f>SUM(F533:K533)</f>
        <v>190068.15480999998</v>
      </c>
      <c r="M533" s="8"/>
      <c r="N533" s="165"/>
    </row>
    <row r="534" spans="1:14" s="3" customFormat="1" ht="12.2" customHeight="1" thickBot="1" x14ac:dyDescent="0.2">
      <c r="A534" s="21" t="s">
        <v>635</v>
      </c>
      <c r="B534" s="22">
        <v>21</v>
      </c>
      <c r="C534" s="22">
        <v>11</v>
      </c>
      <c r="D534" s="2" t="s">
        <v>432</v>
      </c>
      <c r="E534" s="22"/>
      <c r="F534" s="18">
        <v>150955.72619400002</v>
      </c>
      <c r="G534" s="18">
        <v>56548.896390000002</v>
      </c>
      <c r="H534" s="18">
        <v>20473.771625999998</v>
      </c>
      <c r="I534" s="18">
        <v>0</v>
      </c>
      <c r="J534" s="18">
        <v>0</v>
      </c>
      <c r="K534" s="18">
        <v>0</v>
      </c>
      <c r="L534" s="69">
        <f>SUM(F534:K534)</f>
        <v>227978.39421000003</v>
      </c>
      <c r="M534" s="8"/>
      <c r="N534" s="165"/>
    </row>
    <row r="535" spans="1:14" s="3" customFormat="1" ht="12.2" customHeight="1" thickTop="1" x14ac:dyDescent="0.15">
      <c r="A535" s="97" t="s">
        <v>67</v>
      </c>
      <c r="B535" s="41">
        <v>21</v>
      </c>
      <c r="C535" s="41">
        <v>12</v>
      </c>
      <c r="D535" s="115" t="s">
        <v>432</v>
      </c>
      <c r="E535" s="41"/>
      <c r="F535" s="70">
        <f>SUM(F532:F534)</f>
        <v>570505.39</v>
      </c>
      <c r="G535" s="70">
        <f t="shared" ref="G535:L535" si="38">SUM(G532:G534)</f>
        <v>213714.65000000002</v>
      </c>
      <c r="H535" s="70">
        <f t="shared" si="38"/>
        <v>77376.31</v>
      </c>
      <c r="I535" s="70">
        <f t="shared" si="38"/>
        <v>0</v>
      </c>
      <c r="J535" s="70">
        <f t="shared" si="38"/>
        <v>0</v>
      </c>
      <c r="K535" s="70">
        <f t="shared" si="38"/>
        <v>0</v>
      </c>
      <c r="L535" s="70">
        <f t="shared" si="38"/>
        <v>861596.35000000009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2266348.3544660001</v>
      </c>
      <c r="I542" s="18"/>
      <c r="J542" s="18"/>
      <c r="K542" s="18"/>
      <c r="L542" s="69">
        <f>SUM(F542:K542)</f>
        <v>2266348.3544660001</v>
      </c>
      <c r="M542" s="8"/>
      <c r="N542" s="165"/>
    </row>
    <row r="543" spans="1:14" s="3" customFormat="1" ht="12.2" customHeight="1" x14ac:dyDescent="0.15">
      <c r="A543" s="21" t="s">
        <v>634</v>
      </c>
      <c r="B543" s="22">
        <v>21</v>
      </c>
      <c r="C543" s="22">
        <v>18</v>
      </c>
      <c r="D543" s="2" t="s">
        <v>432</v>
      </c>
      <c r="E543" s="22"/>
      <c r="F543" s="18"/>
      <c r="G543" s="18"/>
      <c r="H543" s="18">
        <v>661246.91698099999</v>
      </c>
      <c r="I543" s="18"/>
      <c r="J543" s="18"/>
      <c r="K543" s="18"/>
      <c r="L543" s="69">
        <f>SUM(F543:K543)</f>
        <v>661246.91698099999</v>
      </c>
      <c r="M543" s="8"/>
      <c r="N543" s="165"/>
    </row>
    <row r="544" spans="1:14" s="3" customFormat="1" ht="12.2" customHeight="1" thickBot="1" x14ac:dyDescent="0.2">
      <c r="A544" s="21" t="s">
        <v>635</v>
      </c>
      <c r="B544" s="22">
        <v>21</v>
      </c>
      <c r="C544" s="22">
        <v>19</v>
      </c>
      <c r="D544" s="2" t="s">
        <v>432</v>
      </c>
      <c r="E544" s="22"/>
      <c r="F544" s="18"/>
      <c r="G544" s="18"/>
      <c r="H544" s="18">
        <v>991674.39238999994</v>
      </c>
      <c r="I544" s="18"/>
      <c r="J544" s="18"/>
      <c r="K544" s="18"/>
      <c r="L544" s="69">
        <f>SUM(F544:K544)</f>
        <v>991674.39238999994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3919269.6638369998</v>
      </c>
      <c r="I545" s="141">
        <f t="shared" si="40"/>
        <v>0</v>
      </c>
      <c r="J545" s="141">
        <f t="shared" si="40"/>
        <v>0</v>
      </c>
      <c r="K545" s="141">
        <f t="shared" si="40"/>
        <v>0</v>
      </c>
      <c r="L545" s="141">
        <f t="shared" si="40"/>
        <v>3919269.6638369998</v>
      </c>
      <c r="M545" s="8"/>
      <c r="N545" s="165"/>
    </row>
    <row r="546" spans="1:14" s="3" customFormat="1" ht="12.2" customHeight="1" thickTop="1" x14ac:dyDescent="0.15">
      <c r="A546" s="75" t="s">
        <v>72</v>
      </c>
      <c r="B546" s="41">
        <v>21</v>
      </c>
      <c r="C546" s="41">
        <v>21</v>
      </c>
      <c r="D546" s="115" t="s">
        <v>432</v>
      </c>
      <c r="E546" s="41"/>
      <c r="F546" s="70">
        <f>F525+F530+F535+F540+F545</f>
        <v>21165407.690000001</v>
      </c>
      <c r="G546" s="70">
        <f t="shared" ref="G546:L546" si="41">G525+G530+G535+G540+G545</f>
        <v>8646588.7899999991</v>
      </c>
      <c r="H546" s="70">
        <f t="shared" si="41"/>
        <v>14253430.513836998</v>
      </c>
      <c r="I546" s="70">
        <f t="shared" si="41"/>
        <v>392703.82</v>
      </c>
      <c r="J546" s="70">
        <f t="shared" si="41"/>
        <v>131951.35999999999</v>
      </c>
      <c r="K546" s="70">
        <f t="shared" si="41"/>
        <v>0</v>
      </c>
      <c r="L546" s="70">
        <f t="shared" si="41"/>
        <v>44590082.173837006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17582163.783843704</v>
      </c>
      <c r="G550" s="69">
        <f>L527</f>
        <v>4992067.8267959999</v>
      </c>
      <c r="H550" s="69">
        <f>L532</f>
        <v>443549.80098</v>
      </c>
      <c r="I550" s="69">
        <f>L537</f>
        <v>0</v>
      </c>
      <c r="J550" s="69">
        <f>L542</f>
        <v>2266348.3544660001</v>
      </c>
      <c r="K550" s="69">
        <f>SUM(F550:J550)</f>
        <v>25284129.766085703</v>
      </c>
      <c r="L550" s="23" t="s">
        <v>288</v>
      </c>
      <c r="M550" s="8"/>
      <c r="N550" s="165"/>
    </row>
    <row r="551" spans="1:14" s="3" customFormat="1" ht="12.2" customHeight="1" x14ac:dyDescent="0.15">
      <c r="A551" s="21" t="s">
        <v>634</v>
      </c>
      <c r="B551" s="22">
        <v>21</v>
      </c>
      <c r="C551" s="22">
        <v>23</v>
      </c>
      <c r="D551" s="2" t="s">
        <v>432</v>
      </c>
      <c r="E551" s="22"/>
      <c r="F551" s="69">
        <f>L523</f>
        <v>5855829.6673878403</v>
      </c>
      <c r="G551" s="69">
        <f>L528</f>
        <v>2105555.0336620002</v>
      </c>
      <c r="H551" s="69">
        <f>L533</f>
        <v>190068.15480999998</v>
      </c>
      <c r="I551" s="69">
        <f>L538</f>
        <v>0</v>
      </c>
      <c r="J551" s="69">
        <f>L543</f>
        <v>661246.91698099999</v>
      </c>
      <c r="K551" s="69">
        <f>SUM(F551:J551)</f>
        <v>8812699.7728408407</v>
      </c>
      <c r="L551" s="23" t="s">
        <v>288</v>
      </c>
      <c r="M551" s="8"/>
      <c r="N551" s="165"/>
    </row>
    <row r="552" spans="1:14" s="3" customFormat="1" ht="12.2" customHeight="1" thickBot="1" x14ac:dyDescent="0.2">
      <c r="A552" s="21" t="s">
        <v>635</v>
      </c>
      <c r="B552" s="22">
        <v>21</v>
      </c>
      <c r="C552" s="22">
        <v>24</v>
      </c>
      <c r="D552" s="2" t="s">
        <v>432</v>
      </c>
      <c r="E552" s="22"/>
      <c r="F552" s="69">
        <f>L524</f>
        <v>6639140.3187684594</v>
      </c>
      <c r="G552" s="69">
        <f>L529</f>
        <v>2634459.529542</v>
      </c>
      <c r="H552" s="69">
        <f>L534</f>
        <v>227978.39421000003</v>
      </c>
      <c r="I552" s="69">
        <f>L539</f>
        <v>0</v>
      </c>
      <c r="J552" s="69">
        <f>L544</f>
        <v>991674.39238999994</v>
      </c>
      <c r="K552" s="69">
        <f>SUM(F552:J552)</f>
        <v>10493252.634910459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30077133.770000003</v>
      </c>
      <c r="G553" s="70">
        <f t="shared" si="42"/>
        <v>9732082.3900000006</v>
      </c>
      <c r="H553" s="70">
        <f t="shared" si="42"/>
        <v>861596.35000000009</v>
      </c>
      <c r="I553" s="70">
        <f t="shared" si="42"/>
        <v>0</v>
      </c>
      <c r="J553" s="70">
        <f t="shared" si="42"/>
        <v>3919269.6638369998</v>
      </c>
      <c r="K553" s="70">
        <f t="shared" si="42"/>
        <v>44590082.173836999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1999530.8792320001</v>
      </c>
      <c r="G563" s="18">
        <v>922428.66531800013</v>
      </c>
      <c r="H563" s="18">
        <v>36226.552772000003</v>
      </c>
      <c r="I563" s="18">
        <v>90036.310597999996</v>
      </c>
      <c r="J563" s="18">
        <v>96017.823212000003</v>
      </c>
      <c r="K563" s="18">
        <v>0</v>
      </c>
      <c r="L563" s="69">
        <f>SUM(F563:K563)</f>
        <v>3144240.2311320002</v>
      </c>
      <c r="M563" s="8"/>
      <c r="N563" s="165"/>
    </row>
    <row r="564" spans="1:14" s="3" customFormat="1" ht="12.2" customHeight="1" x14ac:dyDescent="0.15">
      <c r="A564" s="21" t="s">
        <v>634</v>
      </c>
      <c r="B564" s="22">
        <v>22</v>
      </c>
      <c r="C564" s="22">
        <v>6</v>
      </c>
      <c r="D564" s="2" t="s">
        <v>432</v>
      </c>
      <c r="E564" s="22"/>
      <c r="F564" s="18">
        <v>686392.026128</v>
      </c>
      <c r="G564" s="18">
        <v>295246.50332200003</v>
      </c>
      <c r="H564" s="18">
        <v>16477.381787999999</v>
      </c>
      <c r="I564" s="18">
        <v>39163.152441999999</v>
      </c>
      <c r="J564" s="18">
        <v>43673.002548000004</v>
      </c>
      <c r="K564" s="18">
        <v>0</v>
      </c>
      <c r="L564" s="69">
        <f>SUM(F564:K564)</f>
        <v>1080952.066228</v>
      </c>
      <c r="M564" s="8"/>
      <c r="N564" s="165"/>
    </row>
    <row r="565" spans="1:14" s="3" customFormat="1" ht="12.2" customHeight="1" thickBot="1" x14ac:dyDescent="0.2">
      <c r="A565" s="21" t="s">
        <v>635</v>
      </c>
      <c r="B565" s="22">
        <v>22</v>
      </c>
      <c r="C565" s="22">
        <v>7</v>
      </c>
      <c r="D565" s="2" t="s">
        <v>432</v>
      </c>
      <c r="E565" s="22"/>
      <c r="F565" s="18">
        <v>778504.50463999994</v>
      </c>
      <c r="G565" s="18">
        <v>379460.03136000002</v>
      </c>
      <c r="H565" s="18">
        <v>21318.44544</v>
      </c>
      <c r="I565" s="18">
        <v>47186.006959999992</v>
      </c>
      <c r="J565" s="18">
        <v>56504.154239999996</v>
      </c>
      <c r="K565" s="18">
        <v>0</v>
      </c>
      <c r="L565" s="69">
        <f>SUM(F565:K565)</f>
        <v>1282973.1426399997</v>
      </c>
      <c r="M565" s="8"/>
      <c r="N565" s="165"/>
    </row>
    <row r="566" spans="1:14" s="3" customFormat="1" ht="12.2" customHeight="1" thickTop="1" x14ac:dyDescent="0.15">
      <c r="A566" s="97" t="s">
        <v>65</v>
      </c>
      <c r="B566" s="41">
        <v>22</v>
      </c>
      <c r="C566" s="41">
        <v>8</v>
      </c>
      <c r="D566" s="115" t="s">
        <v>432</v>
      </c>
      <c r="E566" s="41"/>
      <c r="F566" s="70">
        <f t="shared" ref="F566:L566" si="44">SUM(F563:F565)</f>
        <v>3464427.41</v>
      </c>
      <c r="G566" s="70">
        <f t="shared" si="44"/>
        <v>1597135.2000000002</v>
      </c>
      <c r="H566" s="70">
        <f t="shared" si="44"/>
        <v>74022.38</v>
      </c>
      <c r="I566" s="70">
        <f t="shared" si="44"/>
        <v>176385.47</v>
      </c>
      <c r="J566" s="70">
        <f t="shared" si="44"/>
        <v>196194.98</v>
      </c>
      <c r="K566" s="70">
        <f t="shared" si="44"/>
        <v>0</v>
      </c>
      <c r="L566" s="70">
        <f t="shared" si="44"/>
        <v>5508165.4399999995</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3464427.41</v>
      </c>
      <c r="G572" s="70">
        <f t="shared" ref="G572:L572" si="46">G561+G566+G571</f>
        <v>1597135.2000000002</v>
      </c>
      <c r="H572" s="70">
        <f t="shared" si="46"/>
        <v>74022.38</v>
      </c>
      <c r="I572" s="70">
        <f t="shared" si="46"/>
        <v>176385.47</v>
      </c>
      <c r="J572" s="70">
        <f t="shared" si="46"/>
        <v>196194.98</v>
      </c>
      <c r="K572" s="70">
        <f t="shared" si="46"/>
        <v>0</v>
      </c>
      <c r="L572" s="70">
        <f t="shared" si="46"/>
        <v>5508165.4399999995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19270.87</v>
      </c>
      <c r="I580" s="69">
        <f t="shared" si="47"/>
        <v>19270.87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427556.11</v>
      </c>
      <c r="G583" s="18">
        <v>826869.07</v>
      </c>
      <c r="H583" s="18">
        <v>4456390.08</v>
      </c>
      <c r="I583" s="69">
        <f t="shared" si="47"/>
        <v>5710815.2599999998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1517682.676094</v>
      </c>
      <c r="I592" s="18">
        <v>957667.41959900002</v>
      </c>
      <c r="J592" s="18">
        <v>1549507.15047</v>
      </c>
      <c r="K592" s="80">
        <f t="shared" ref="K592:K598" si="48">SUM(H592:J592)</f>
        <v>4024857.2461630004</v>
      </c>
      <c r="L592" s="23" t="s">
        <v>288</v>
      </c>
      <c r="M592" s="8"/>
      <c r="N592" s="165"/>
    </row>
    <row r="593" spans="1:14" s="3" customFormat="1" ht="12.2" customHeight="1" x14ac:dyDescent="0.15">
      <c r="A593" s="3" t="s">
        <v>638</v>
      </c>
      <c r="B593" s="22">
        <v>23</v>
      </c>
      <c r="C593" s="22">
        <v>2</v>
      </c>
      <c r="D593" s="2" t="s">
        <v>432</v>
      </c>
      <c r="E593" s="22"/>
      <c r="F593" s="78">
        <v>2722</v>
      </c>
      <c r="G593" s="79" t="s">
        <v>97</v>
      </c>
      <c r="H593" s="18">
        <v>2266348.3544660001</v>
      </c>
      <c r="I593" s="18">
        <v>661246.91698099999</v>
      </c>
      <c r="J593" s="18">
        <v>991674.39238999994</v>
      </c>
      <c r="K593" s="80">
        <f t="shared" si="48"/>
        <v>3919269.6638369998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0</v>
      </c>
      <c r="K594" s="80">
        <f>SUM(H594:J594)</f>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28444</v>
      </c>
      <c r="J595" s="18">
        <v>174797.56000000003</v>
      </c>
      <c r="K595" s="80">
        <f t="shared" si="48"/>
        <v>203241.56000000003</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v>7870.82</v>
      </c>
      <c r="K596" s="80">
        <f t="shared" si="48"/>
        <v>7870.82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4"/>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3784031.0305599999</v>
      </c>
      <c r="I599" s="81">
        <f>SUM(I592:I598)</f>
        <v>1647358.3365799999</v>
      </c>
      <c r="J599" s="81">
        <f>SUM(J592:J598)</f>
        <v>2723849.9228599998</v>
      </c>
      <c r="K599" s="81">
        <f>SUM(K592:K598)</f>
        <v>8155239.29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1357515.8910600003</v>
      </c>
      <c r="I605" s="18">
        <v>505878.55726000009</v>
      </c>
      <c r="J605" s="18">
        <v>1350211.24168</v>
      </c>
      <c r="K605" s="80">
        <f>SUM(H605:J605)</f>
        <v>3213605.6900000004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1357515.8910600003</v>
      </c>
      <c r="I606" s="81">
        <f>SUM(I603:I605)</f>
        <v>505878.55726000009</v>
      </c>
      <c r="J606" s="81">
        <f>SUM(J603:J605)</f>
        <v>1350211.24168</v>
      </c>
      <c r="K606" s="81">
        <f>SUM(K603:K605)</f>
        <v>3213605.6900000004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88217.917319999993</v>
      </c>
      <c r="G612" s="18">
        <v>13180.45911</v>
      </c>
      <c r="H612" s="18">
        <v>112461.90000000001</v>
      </c>
      <c r="I612" s="18">
        <v>9188.783010000001</v>
      </c>
      <c r="J612" s="18">
        <v>0</v>
      </c>
      <c r="K612" s="18">
        <v>0</v>
      </c>
      <c r="L612" s="69">
        <f>SUM(F612:K612)</f>
        <v>223049.05944000001</v>
      </c>
      <c r="M612" s="8"/>
      <c r="N612" s="165"/>
    </row>
    <row r="613" spans="1:14" s="3" customFormat="1" ht="12.2" customHeight="1" x14ac:dyDescent="0.15">
      <c r="A613" s="21" t="s">
        <v>634</v>
      </c>
      <c r="B613" s="22">
        <v>23</v>
      </c>
      <c r="C613" s="22">
        <v>14</v>
      </c>
      <c r="D613" s="2" t="s">
        <v>432</v>
      </c>
      <c r="E613" s="22"/>
      <c r="F613" s="18">
        <v>17463.808959999998</v>
      </c>
      <c r="G613" s="18">
        <v>2609.2320800000002</v>
      </c>
      <c r="H613" s="18">
        <v>22263.200000000001</v>
      </c>
      <c r="I613" s="18">
        <v>1819.0312800000004</v>
      </c>
      <c r="J613" s="18">
        <v>0</v>
      </c>
      <c r="K613" s="18">
        <v>0</v>
      </c>
      <c r="L613" s="69">
        <f>SUM(F613:K613)</f>
        <v>44155.272320000004</v>
      </c>
      <c r="M613" s="8"/>
      <c r="N613" s="165"/>
    </row>
    <row r="614" spans="1:14" s="3" customFormat="1" ht="12.2" customHeight="1" thickBot="1" x14ac:dyDescent="0.2">
      <c r="A614" s="21" t="s">
        <v>645</v>
      </c>
      <c r="B614" s="22">
        <v>23</v>
      </c>
      <c r="C614" s="22">
        <v>15</v>
      </c>
      <c r="D614" s="2" t="s">
        <v>432</v>
      </c>
      <c r="E614" s="22"/>
      <c r="F614" s="18">
        <v>22728.633719999998</v>
      </c>
      <c r="G614" s="18">
        <v>3395.8388099999997</v>
      </c>
      <c r="H614" s="18">
        <v>28974.899999999998</v>
      </c>
      <c r="I614" s="18">
        <v>2367.4157100000002</v>
      </c>
      <c r="J614" s="18">
        <v>0</v>
      </c>
      <c r="K614" s="18">
        <v>0</v>
      </c>
      <c r="L614" s="69">
        <f>SUM(F614:K614)</f>
        <v>57466.788239999994</v>
      </c>
      <c r="M614" s="8"/>
      <c r="N614" s="165"/>
    </row>
    <row r="615" spans="1:14" s="3" customFormat="1" ht="12.2" customHeight="1" thickTop="1" x14ac:dyDescent="0.15">
      <c r="A615" s="75" t="s">
        <v>340</v>
      </c>
      <c r="B615" s="41">
        <v>23</v>
      </c>
      <c r="C615" s="41">
        <v>16</v>
      </c>
      <c r="D615" s="36" t="s">
        <v>432</v>
      </c>
      <c r="E615" s="41"/>
      <c r="F615" s="81">
        <f t="shared" ref="F615:L615" si="49">SUM(F612:F614)</f>
        <v>128410.35999999999</v>
      </c>
      <c r="G615" s="81">
        <f t="shared" si="49"/>
        <v>19185.53</v>
      </c>
      <c r="H615" s="81">
        <f t="shared" si="49"/>
        <v>163700</v>
      </c>
      <c r="I615" s="81">
        <f t="shared" si="49"/>
        <v>13375.230000000003</v>
      </c>
      <c r="J615" s="81">
        <f t="shared" si="49"/>
        <v>0</v>
      </c>
      <c r="K615" s="81">
        <f t="shared" si="49"/>
        <v>0</v>
      </c>
      <c r="L615" s="70">
        <f t="shared" si="49"/>
        <v>324671.12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1911226.85</v>
      </c>
      <c r="H619" s="80">
        <f>SUM(G52)</f>
        <v>1911226.85</v>
      </c>
      <c r="I619" s="87" t="s">
        <v>875</v>
      </c>
      <c r="J619" s="80">
        <f>G619-H619</f>
        <v>0</v>
      </c>
      <c r="K619" s="80"/>
      <c r="L619" s="80"/>
      <c r="M619" s="8"/>
    </row>
    <row r="620" spans="1:14" s="3" customFormat="1" ht="12.2" customHeight="1" x14ac:dyDescent="0.15">
      <c r="A620" s="74"/>
      <c r="B620" s="22"/>
      <c r="C620" s="22"/>
      <c r="D620" s="22"/>
      <c r="E620" s="22"/>
      <c r="F620" s="87" t="s">
        <v>685</v>
      </c>
      <c r="G620" s="80">
        <f>SUM(H19)</f>
        <v>8169661.7700000005</v>
      </c>
      <c r="H620" s="80">
        <f>SUM(H52)</f>
        <v>8169661.7699999986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9911043.8800000008</v>
      </c>
      <c r="H622" s="80">
        <f>SUM(J52)</f>
        <v>9911043.879999999</v>
      </c>
      <c r="I622" s="87" t="s">
        <v>878</v>
      </c>
      <c r="J622" s="80">
        <f>G622-H622</f>
        <v>0</v>
      </c>
      <c r="K622" s="80"/>
      <c r="L622" s="80"/>
      <c r="M622" s="8"/>
    </row>
    <row r="623" spans="1:14" s="3" customFormat="1" ht="12.2" customHeight="1" x14ac:dyDescent="0.15">
      <c r="A623" s="74"/>
      <c r="B623" s="22"/>
      <c r="C623" s="22"/>
      <c r="D623" s="22"/>
      <c r="E623" s="22"/>
      <c r="F623" s="87" t="s">
        <v>864</v>
      </c>
      <c r="G623" s="80">
        <f>F51</f>
        <v>0</v>
      </c>
      <c r="H623" s="80">
        <f>F477</f>
        <v>0</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1910507.78</v>
      </c>
      <c r="H624" s="80">
        <f>G477</f>
        <v>1910507.7800000003</v>
      </c>
      <c r="I624" s="87" t="s">
        <v>102</v>
      </c>
      <c r="J624" s="80">
        <f t="shared" si="50"/>
        <v>0</v>
      </c>
      <c r="K624" s="80"/>
      <c r="L624" s="80"/>
      <c r="M624" s="8"/>
    </row>
    <row r="625" spans="1:13" s="3" customFormat="1" ht="12.2" customHeight="1" x14ac:dyDescent="0.15">
      <c r="A625" s="74"/>
      <c r="B625" s="22"/>
      <c r="C625" s="22"/>
      <c r="D625" s="22"/>
      <c r="E625" s="22"/>
      <c r="F625" s="86" t="s">
        <v>866</v>
      </c>
      <c r="G625" s="80">
        <f>H51</f>
        <v>3587682.129999999</v>
      </c>
      <c r="H625" s="80">
        <f>H477</f>
        <v>3587682.1299999915</v>
      </c>
      <c r="I625" s="87" t="s">
        <v>103</v>
      </c>
      <c r="J625" s="80">
        <f t="shared" si="50"/>
        <v>7.4505805969238281E-9</v>
      </c>
      <c r="K625" s="80"/>
      <c r="L625" s="80"/>
      <c r="M625" s="8"/>
    </row>
    <row r="626" spans="1:13" s="3" customFormat="1" ht="12.2" customHeight="1" x14ac:dyDescent="0.15">
      <c r="A626" s="74"/>
      <c r="B626" s="22"/>
      <c r="C626" s="22"/>
      <c r="D626" s="22"/>
      <c r="E626" s="22"/>
      <c r="F626" s="86" t="s">
        <v>867</v>
      </c>
      <c r="G626" s="80">
        <f>I51</f>
        <v>-9109624.0700000003</v>
      </c>
      <c r="H626" s="80">
        <f>I477</f>
        <v>-9109624.0700000003</v>
      </c>
      <c r="I626" s="87" t="s">
        <v>104</v>
      </c>
      <c r="J626" s="80">
        <f t="shared" si="50"/>
        <v>0</v>
      </c>
      <c r="K626" s="80"/>
      <c r="L626" s="80"/>
      <c r="M626" s="8"/>
    </row>
    <row r="627" spans="1:13" s="3" customFormat="1" ht="12.2" customHeight="1" x14ac:dyDescent="0.15">
      <c r="A627" s="21"/>
      <c r="B627" s="22"/>
      <c r="C627" s="22"/>
      <c r="D627" s="22"/>
      <c r="E627" s="22"/>
      <c r="F627" s="86" t="s">
        <v>868</v>
      </c>
      <c r="G627" s="80">
        <f>J51</f>
        <v>9692939.4899999984</v>
      </c>
      <c r="H627" s="80">
        <f>J477</f>
        <v>9692939.4900000002</v>
      </c>
      <c r="I627" s="87" t="s">
        <v>105</v>
      </c>
      <c r="J627" s="80">
        <f t="shared" si="50"/>
        <v>0</v>
      </c>
      <c r="K627" s="67"/>
      <c r="L627" s="69"/>
      <c r="M627" s="8"/>
    </row>
    <row r="628" spans="1:13" s="3" customFormat="1" ht="12.2" customHeight="1" x14ac:dyDescent="0.15">
      <c r="A628" s="21"/>
      <c r="B628" s="22"/>
      <c r="C628" s="22"/>
      <c r="D628" s="22"/>
      <c r="E628" s="22"/>
      <c r="F628" s="86" t="s">
        <v>658</v>
      </c>
      <c r="G628" s="80">
        <f>F194</f>
        <v>175587605.99999997</v>
      </c>
      <c r="H628" s="80">
        <f>SUM(F469)</f>
        <v>175587605.99999997</v>
      </c>
      <c r="I628" s="87" t="s">
        <v>106</v>
      </c>
      <c r="J628" s="80">
        <f>G628-H628</f>
        <v>0</v>
      </c>
      <c r="K628" s="67"/>
      <c r="L628" s="69"/>
      <c r="M628" s="8"/>
    </row>
    <row r="629" spans="1:13" s="3" customFormat="1" ht="12.2" customHeight="1" x14ac:dyDescent="0.15">
      <c r="A629" s="21"/>
      <c r="B629" s="22"/>
      <c r="C629" s="22"/>
      <c r="D629" s="22"/>
      <c r="E629" s="22"/>
      <c r="F629" s="86" t="s">
        <v>659</v>
      </c>
      <c r="G629" s="80">
        <f>G194</f>
        <v>4818030.12</v>
      </c>
      <c r="H629" s="80">
        <f>SUM(G469)</f>
        <v>4818030.12</v>
      </c>
      <c r="I629" s="87" t="s">
        <v>107</v>
      </c>
      <c r="J629" s="80">
        <f>G629-H629</f>
        <v>0</v>
      </c>
      <c r="K629" s="67"/>
      <c r="L629" s="69"/>
      <c r="M629" s="8"/>
    </row>
    <row r="630" spans="1:13" s="3" customFormat="1" ht="12.2" customHeight="1" x14ac:dyDescent="0.15">
      <c r="A630" s="21"/>
      <c r="B630" s="22"/>
      <c r="C630" s="22"/>
      <c r="D630" s="22"/>
      <c r="E630" s="22"/>
      <c r="F630" s="86" t="s">
        <v>660</v>
      </c>
      <c r="G630" s="80">
        <f>H194</f>
        <v>33684296.569999993</v>
      </c>
      <c r="H630" s="80">
        <f>SUM(H469)</f>
        <v>33684296.569999993</v>
      </c>
      <c r="I630" s="87" t="s">
        <v>108</v>
      </c>
      <c r="J630" s="80">
        <f>G630-H630</f>
        <v>0</v>
      </c>
      <c r="K630" s="67"/>
      <c r="L630" s="69"/>
      <c r="M630" s="8"/>
    </row>
    <row r="631" spans="1:13" s="3" customFormat="1" ht="12.2" customHeight="1" x14ac:dyDescent="0.15">
      <c r="A631" s="21"/>
      <c r="B631" s="22"/>
      <c r="C631" s="22"/>
      <c r="D631" s="22"/>
      <c r="E631" s="22"/>
      <c r="F631" s="86" t="s">
        <v>661</v>
      </c>
      <c r="G631" s="80">
        <f>I194</f>
        <v>35000000</v>
      </c>
      <c r="H631" s="80">
        <f>SUM(I469)</f>
        <v>35000000</v>
      </c>
      <c r="I631" s="87" t="s">
        <v>109</v>
      </c>
      <c r="J631" s="80">
        <f>G631-H631</f>
        <v>0</v>
      </c>
      <c r="K631" s="67"/>
      <c r="L631" s="69"/>
      <c r="M631" s="8"/>
    </row>
    <row r="632" spans="1:13" s="3" customFormat="1" ht="12.2" customHeight="1" x14ac:dyDescent="0.15">
      <c r="A632" s="21"/>
      <c r="B632" s="22"/>
      <c r="C632" s="22"/>
      <c r="D632" s="22"/>
      <c r="E632" s="22"/>
      <c r="F632" s="86" t="s">
        <v>662</v>
      </c>
      <c r="G632" s="80">
        <f>J194</f>
        <v>997043.88</v>
      </c>
      <c r="H632" s="80">
        <f>SUM(J469)</f>
        <v>997043.87999999989</v>
      </c>
      <c r="I632" s="87" t="s">
        <v>110</v>
      </c>
      <c r="J632" s="80">
        <f>G632-H632</f>
        <v>0</v>
      </c>
      <c r="K632" s="67"/>
      <c r="L632" s="69"/>
      <c r="M632" s="8"/>
    </row>
    <row r="633" spans="1:13" s="3" customFormat="1" ht="12.2" customHeight="1" x14ac:dyDescent="0.15">
      <c r="A633" s="21"/>
      <c r="B633" s="22"/>
      <c r="C633" s="22"/>
      <c r="D633" s="22"/>
      <c r="E633" s="22"/>
      <c r="F633" s="86" t="s">
        <v>394</v>
      </c>
      <c r="G633" s="80">
        <f>SUM(L272)</f>
        <v>175587606</v>
      </c>
      <c r="H633" s="80">
        <f>SUM(F473)</f>
        <v>175587606</v>
      </c>
      <c r="I633" s="87" t="s">
        <v>111</v>
      </c>
      <c r="J633" s="80">
        <f t="shared" si="50"/>
        <v>0</v>
      </c>
      <c r="K633" s="67"/>
      <c r="L633" s="69"/>
      <c r="M633" s="8"/>
    </row>
    <row r="634" spans="1:13" s="3" customFormat="1" ht="12.2" customHeight="1" x14ac:dyDescent="0.15">
      <c r="A634" s="21"/>
      <c r="B634" s="22"/>
      <c r="C634" s="22"/>
      <c r="D634" s="22"/>
      <c r="E634" s="22"/>
      <c r="F634" s="86" t="s">
        <v>395</v>
      </c>
      <c r="G634" s="80">
        <f>SUM(L353)</f>
        <v>32734754.190000001</v>
      </c>
      <c r="H634" s="80">
        <f>SUM(H473)</f>
        <v>32734754.190000001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2372593.63</v>
      </c>
      <c r="H635" s="80">
        <f>I370</f>
        <v>2372593.6300000004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5051584.58</v>
      </c>
      <c r="H636" s="80">
        <f>SUM(G473)</f>
        <v>5051584.58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54367772.850000001</v>
      </c>
      <c r="H637" s="80">
        <f>SUM(I473)</f>
        <v>54367772.850000001</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997043.87999999989</v>
      </c>
      <c r="H638" s="108">
        <f>SUM(J469)</f>
        <v>997043.87999999989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518807.49000000005</v>
      </c>
      <c r="H639" s="108">
        <f>SUM(J473)</f>
        <v>518807.49000000005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982499.95</v>
      </c>
      <c r="H640" s="80">
        <f>SUM(F462)</f>
        <v>982499.95000000007</v>
      </c>
      <c r="I640" s="87" t="s">
        <v>840</v>
      </c>
      <c r="J640" s="80">
        <f t="shared" si="50"/>
        <v>0</v>
      </c>
      <c r="K640" s="67"/>
      <c r="L640" s="69"/>
      <c r="M640" s="8"/>
    </row>
    <row r="641" spans="1:13" s="3" customFormat="1" ht="12.2" customHeight="1" x14ac:dyDescent="0.15">
      <c r="A641" s="21"/>
      <c r="B641" s="22"/>
      <c r="C641" s="22"/>
      <c r="D641" s="22"/>
      <c r="E641" s="22"/>
      <c r="F641" s="86" t="s">
        <v>119</v>
      </c>
      <c r="G641" s="80">
        <f>SUM(G447)</f>
        <v>1193360.1199999999</v>
      </c>
      <c r="H641" s="80">
        <f>SUM(G462)</f>
        <v>1193360.1200000001</v>
      </c>
      <c r="I641" s="87" t="s">
        <v>841</v>
      </c>
      <c r="J641" s="80">
        <f t="shared" si="50"/>
        <v>0</v>
      </c>
      <c r="K641" s="67"/>
      <c r="L641" s="69"/>
      <c r="M641" s="8"/>
    </row>
    <row r="642" spans="1:13" s="3" customFormat="1" ht="12.2" customHeight="1" x14ac:dyDescent="0.15">
      <c r="A642" s="21"/>
      <c r="B642" s="22"/>
      <c r="C642" s="22"/>
      <c r="D642" s="22"/>
      <c r="E642" s="22"/>
      <c r="F642" s="86" t="s">
        <v>120</v>
      </c>
      <c r="G642" s="80">
        <f>SUM(H447)</f>
        <v>7735183.8100000005</v>
      </c>
      <c r="H642" s="80">
        <f>SUM(H462)</f>
        <v>7735183.8099999996</v>
      </c>
      <c r="I642" s="87" t="s">
        <v>842</v>
      </c>
      <c r="J642" s="80">
        <f t="shared" si="50"/>
        <v>0</v>
      </c>
      <c r="K642" s="67"/>
      <c r="L642" s="69"/>
      <c r="M642" s="8"/>
    </row>
    <row r="643" spans="1:13" s="3" customFormat="1" ht="12.2" customHeight="1" x14ac:dyDescent="0.15">
      <c r="A643" s="21"/>
      <c r="B643" s="22"/>
      <c r="C643" s="22"/>
      <c r="D643" s="22"/>
      <c r="E643" s="22"/>
      <c r="F643" s="86" t="s">
        <v>121</v>
      </c>
      <c r="G643" s="80">
        <f>SUM(I447)</f>
        <v>9911043.8800000008</v>
      </c>
      <c r="H643" s="80">
        <f>SUM(I462)</f>
        <v>9911043.8800000008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655744.99</v>
      </c>
      <c r="H645" s="80">
        <f>H409</f>
        <v>655744.99</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997043.88</v>
      </c>
      <c r="H647" s="80">
        <f>L409</f>
        <v>997043.87999999989</v>
      </c>
      <c r="I647" s="87" t="s">
        <v>477</v>
      </c>
      <c r="J647" s="80">
        <f t="shared" si="50"/>
        <v>0</v>
      </c>
      <c r="K647" s="67"/>
      <c r="L647" s="69"/>
      <c r="M647" s="8"/>
    </row>
    <row r="648" spans="1:13" s="3" customFormat="1" ht="12.2" customHeight="1" x14ac:dyDescent="0.15">
      <c r="A648" s="21"/>
      <c r="B648" s="22"/>
      <c r="C648" s="22"/>
      <c r="D648" s="22"/>
      <c r="E648" s="22"/>
      <c r="F648" s="86" t="s">
        <v>51</v>
      </c>
      <c r="G648" s="80">
        <f>K599</f>
        <v>8155239.29</v>
      </c>
      <c r="H648" s="80">
        <f>L209+L227+L245</f>
        <v>8155239.2899999991</v>
      </c>
      <c r="I648" s="87" t="s">
        <v>396</v>
      </c>
      <c r="J648" s="80">
        <f t="shared" si="50"/>
        <v>0</v>
      </c>
      <c r="K648" s="67"/>
      <c r="L648" s="69"/>
      <c r="M648" s="8"/>
    </row>
    <row r="649" spans="1:13" s="3" customFormat="1" ht="12.2" customHeight="1" x14ac:dyDescent="0.15">
      <c r="A649" s="21"/>
      <c r="B649" s="22"/>
      <c r="C649" s="22"/>
      <c r="D649" s="22"/>
      <c r="E649" s="22"/>
      <c r="F649" s="86" t="s">
        <v>52</v>
      </c>
      <c r="G649" s="80">
        <f>K606</f>
        <v>3213605.6900000004</v>
      </c>
      <c r="H649" s="80">
        <f>(J258+J339)-(J256+J337)</f>
        <v>3213605.69</v>
      </c>
      <c r="I649" s="87" t="s">
        <v>699</v>
      </c>
      <c r="J649" s="80">
        <f t="shared" si="50"/>
        <v>0</v>
      </c>
      <c r="K649" s="67"/>
      <c r="L649" s="69"/>
      <c r="M649" s="8"/>
    </row>
    <row r="650" spans="1:13" s="3" customFormat="1" ht="12.2" customHeight="1" x14ac:dyDescent="0.15">
      <c r="A650" s="21"/>
      <c r="B650" s="22"/>
      <c r="C650" s="22"/>
      <c r="D650" s="22"/>
      <c r="E650" s="22"/>
      <c r="F650" s="86" t="s">
        <v>387</v>
      </c>
      <c r="G650" s="80">
        <f>L209</f>
        <v>3784031.0305599999</v>
      </c>
      <c r="H650" s="80">
        <f>H599</f>
        <v>3784031.0305599999</v>
      </c>
      <c r="I650" s="87" t="s">
        <v>388</v>
      </c>
      <c r="J650" s="80">
        <f t="shared" si="50"/>
        <v>0</v>
      </c>
      <c r="K650" s="67"/>
      <c r="L650" s="69"/>
      <c r="M650" s="8"/>
    </row>
    <row r="651" spans="1:13" s="3" customFormat="1" ht="12.2" customHeight="1" x14ac:dyDescent="0.15">
      <c r="A651" s="21"/>
      <c r="B651" s="22"/>
      <c r="C651" s="22"/>
      <c r="D651" s="22"/>
      <c r="E651" s="22"/>
      <c r="F651" s="86" t="s">
        <v>392</v>
      </c>
      <c r="G651" s="80">
        <f>L227</f>
        <v>1647358.3365800001</v>
      </c>
      <c r="H651" s="80">
        <f>I599</f>
        <v>1647358.3365799999</v>
      </c>
      <c r="I651" s="87" t="s">
        <v>389</v>
      </c>
      <c r="J651" s="80">
        <f t="shared" si="50"/>
        <v>0</v>
      </c>
      <c r="K651" s="67"/>
      <c r="L651" s="69"/>
      <c r="M651" s="8"/>
    </row>
    <row r="652" spans="1:13" s="3" customFormat="1" ht="12.2" customHeight="1" x14ac:dyDescent="0.15">
      <c r="A652" s="21"/>
      <c r="B652" s="22"/>
      <c r="C652" s="22"/>
      <c r="D652" s="22"/>
      <c r="E652" s="22"/>
      <c r="F652" s="86" t="s">
        <v>393</v>
      </c>
      <c r="G652" s="80">
        <f>L245</f>
        <v>2723849.9228599998</v>
      </c>
      <c r="H652" s="80">
        <f>J599</f>
        <v>2723849.9228599998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92719174.13369</v>
      </c>
      <c r="G661" s="13">
        <f>(L230+L310+L360)</f>
        <v>40117070.405890003</v>
      </c>
      <c r="H661" s="13">
        <f>(L248+L329+L361)</f>
        <v>62156722.480419993</v>
      </c>
      <c r="I661" s="13">
        <f>SUM(F661:H661)</f>
        <v>194992967.01999998</v>
      </c>
      <c r="J661" s="13"/>
      <c r="K661" s="13"/>
      <c r="L661" s="13"/>
      <c r="M661" s="9"/>
    </row>
    <row r="662" spans="1:13" s="3" customFormat="1" ht="12.2" customHeight="1" x14ac:dyDescent="0.2">
      <c r="A662" s="1" t="s">
        <v>127</v>
      </c>
      <c r="F662" s="13">
        <f>(L359/IF(SUM(L359:L361)=0,1,SUM(L359:L361))*(SUM(G97:G110)))</f>
        <v>807202.46505312179</v>
      </c>
      <c r="G662" s="13">
        <f>(L360/IF(SUM(L359:L361)=0,1,SUM(L359:L361))*(SUM(G97:G110)))</f>
        <v>386284.27625662979</v>
      </c>
      <c r="H662" s="13">
        <f>(L361/IF(SUM(L359:L361)=0,1,SUM(L359:L361))*(SUM(G97:G110)))</f>
        <v>482034.69869024842</v>
      </c>
      <c r="I662" s="13">
        <f>SUM(F662:H662)</f>
        <v>1675521.44</v>
      </c>
      <c r="J662"/>
      <c r="K662" s="13"/>
      <c r="L662" s="13"/>
      <c r="M662" s="8"/>
    </row>
    <row r="663" spans="1:13" s="3" customFormat="1" ht="12.2" customHeight="1" x14ac:dyDescent="0.2">
      <c r="A663" s="1" t="s">
        <v>128</v>
      </c>
      <c r="F663" s="13">
        <f>(L209+L288)-(J209+J288)</f>
        <v>3924320.1632499998</v>
      </c>
      <c r="G663" s="13">
        <f>(L227+L307)-(J227+J307)</f>
        <v>1705746.0923700002</v>
      </c>
      <c r="H663" s="13">
        <f>(L245+L326)-(J245+J326)</f>
        <v>2796981.18438</v>
      </c>
      <c r="I663" s="13">
        <f>SUM(F663:H663)</f>
        <v>8427047.4399999995</v>
      </c>
      <c r="J663"/>
      <c r="K663" s="13"/>
      <c r="L663" s="13"/>
      <c r="M663" s="9"/>
    </row>
    <row r="664" spans="1:13" s="3" customFormat="1" ht="12.2" customHeight="1" x14ac:dyDescent="0.15">
      <c r="A664" s="142" t="s">
        <v>129</v>
      </c>
      <c r="B664" s="124"/>
      <c r="C664" s="124"/>
      <c r="D664" s="124"/>
      <c r="E664" s="124"/>
      <c r="F664" s="143">
        <f>SUM(F576:F588)+SUM(H603:H605)+SUM(L612)</f>
        <v>2008121.0605000001</v>
      </c>
      <c r="G664" s="143">
        <f>SUM(G576:G588)+SUM(I603:I605)+L613</f>
        <v>1376902.89958</v>
      </c>
      <c r="H664" s="143">
        <f>SUM(H576:H588)+SUM(J603:J605)+L614</f>
        <v>5883338.9799199998</v>
      </c>
      <c r="I664" s="13">
        <f>SUM(F664:H664)</f>
        <v>9268362.9399999995</v>
      </c>
      <c r="J664" s="13"/>
      <c r="K664" s="13"/>
      <c r="L664" s="13"/>
      <c r="M664" s="9"/>
    </row>
    <row r="665" spans="1:13" s="3" customFormat="1" ht="12.2" customHeight="1" x14ac:dyDescent="0.15">
      <c r="A665" s="1" t="s">
        <v>130</v>
      </c>
      <c r="F665" s="13">
        <f>F661-SUM(F662:F664)</f>
        <v>85979530.444886878</v>
      </c>
      <c r="G665" s="13">
        <f>G661-SUM(G662:G664)</f>
        <v>36648137.137683377</v>
      </c>
      <c r="H665" s="13">
        <f>H661-SUM(H662:H664)</f>
        <v>52994367.617429748</v>
      </c>
      <c r="I665" s="13">
        <f>I661-SUM(I662:I664)</f>
        <v>175622035.19999999</v>
      </c>
      <c r="J665" s="13"/>
      <c r="K665" s="13"/>
      <c r="L665" s="13"/>
      <c r="M665" s="8"/>
    </row>
    <row r="666" spans="1:13" s="3" customFormat="1" ht="12.2" customHeight="1" x14ac:dyDescent="0.2">
      <c r="A666" s="1" t="s">
        <v>131</v>
      </c>
      <c r="F666" s="183">
        <v>4403.32</v>
      </c>
      <c r="G666" s="183">
        <v>2003.95</v>
      </c>
      <c r="H666" s="184">
        <v>3272.05</v>
      </c>
      <c r="I666" s="13">
        <f>SUM(F666:H666)</f>
        <v>9679.32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19526.07</v>
      </c>
      <c r="G668" s="13">
        <f>ROUND(G665/G666,2)</f>
        <v>18287.95</v>
      </c>
      <c r="H668" s="13">
        <f>ROUND(H665/H666,2)</f>
        <v>16196.08</v>
      </c>
      <c r="I668" s="13">
        <f>ROUND(I665/I666,2)</f>
        <v>18144.05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19.72</v>
      </c>
      <c r="I671" s="13">
        <f>SUM(F671:H671)</f>
        <v>19.72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19526.07</v>
      </c>
      <c r="G673" s="13">
        <f>ROUND((G665+G670)/(G666+G671),2)</f>
        <v>18287.95</v>
      </c>
      <c r="H673" s="13">
        <f>ROUND((H665+H670)/(H666+H671),2)</f>
        <v>16099.05</v>
      </c>
      <c r="I673" s="13">
        <f>ROUND((I665+I670)/(I666+I671),2)</f>
        <v>18107.16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cl9REAnrRImcHO7jYTSIHAsJ3Cxi0QmpNAErTYcdyBEpCRov2DE1GN48b9MCYjxFX+QsTnipNzGHrfAK2Yzz0Q==" saltValue="lWiHl/ajB5TOCeMKJVvAD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2103737.92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315">
        <v>650839.05999999982</v>
      </c>
      <c r="F9" s="272" t="s">
        <v>1627</v>
      </c>
    </row>
    <row r="10" spans="2:8" x14ac:dyDescent="0.25">
      <c r="B10" s="271"/>
      <c r="C10" s="271"/>
      <c r="D10" s="271"/>
      <c r="E10" s="271"/>
      <c r="F10" s="271"/>
    </row>
    <row r="11" spans="2:8" x14ac:dyDescent="0.25">
      <c r="B11" s="271"/>
      <c r="C11" s="275" t="s">
        <v>1631</v>
      </c>
      <c r="D11" s="272" t="s">
        <v>1634</v>
      </c>
      <c r="E11" s="315">
        <v>233267.71999999997</v>
      </c>
      <c r="F11" s="272" t="s">
        <v>1628</v>
      </c>
    </row>
    <row r="12" spans="2:8" x14ac:dyDescent="0.25">
      <c r="B12" s="271"/>
      <c r="C12" s="271"/>
      <c r="D12" s="272"/>
      <c r="E12" s="271"/>
      <c r="F12" s="271"/>
    </row>
    <row r="13" spans="2:8" x14ac:dyDescent="0.25">
      <c r="B13" s="271"/>
      <c r="C13" s="272" t="s">
        <v>1621</v>
      </c>
      <c r="D13" s="272" t="s">
        <v>1635</v>
      </c>
      <c r="E13" s="315">
        <v>496876.37</v>
      </c>
      <c r="F13" s="272" t="s">
        <v>1629</v>
      </c>
    </row>
    <row r="14" spans="2:8" x14ac:dyDescent="0.25">
      <c r="B14" s="271"/>
      <c r="C14" s="271"/>
      <c r="D14" s="272"/>
      <c r="E14" s="271"/>
      <c r="F14" s="271"/>
    </row>
    <row r="15" spans="2:8" x14ac:dyDescent="0.25">
      <c r="B15" s="271"/>
      <c r="C15" s="272" t="s">
        <v>1623</v>
      </c>
      <c r="D15" s="272" t="s">
        <v>1636</v>
      </c>
      <c r="E15" s="315">
        <v>722754.77000000014</v>
      </c>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8" t="str">
        <f>'DOE25'!A2</f>
        <v>Nashua</v>
      </c>
      <c r="C5" s="319"/>
      <c r="D5" s="319"/>
      <c r="E5" s="319"/>
      <c r="F5" s="319"/>
    </row>
    <row r="8" spans="1:9" ht="18" x14ac:dyDescent="0.25">
      <c r="A8" s="240" t="s">
        <v>1560</v>
      </c>
      <c r="F8" s="247" t="s">
        <v>1578</v>
      </c>
    </row>
    <row r="9" spans="1:9" ht="15" x14ac:dyDescent="0.2">
      <c r="A9" s="238" t="s">
        <v>1561</v>
      </c>
      <c r="B9" s="241">
        <f>'DOE25'!G97</f>
        <v>1602361.46</v>
      </c>
      <c r="F9" s="238" t="s">
        <v>1574</v>
      </c>
    </row>
    <row r="10" spans="1:9" ht="15" x14ac:dyDescent="0.2">
      <c r="A10" s="238" t="s">
        <v>1562</v>
      </c>
      <c r="B10" s="241">
        <f>'DOE25'!G112-'DOE25'!G97</f>
        <v>73159.979999999981</v>
      </c>
      <c r="F10" s="238" t="s">
        <v>1575</v>
      </c>
    </row>
    <row r="11" spans="1:9" ht="15" x14ac:dyDescent="0.2">
      <c r="A11" s="238" t="s">
        <v>1563</v>
      </c>
      <c r="B11" s="241">
        <f>'DOE25'!G140</f>
        <v>73990.84</v>
      </c>
      <c r="F11" s="238" t="s">
        <v>1576</v>
      </c>
    </row>
    <row r="12" spans="1:9" ht="15" x14ac:dyDescent="0.2">
      <c r="A12" s="238" t="s">
        <v>1564</v>
      </c>
      <c r="B12" s="241">
        <f>'DOE25'!G170</f>
        <v>3068517.84</v>
      </c>
      <c r="F12" s="238" t="s">
        <v>1577</v>
      </c>
    </row>
    <row r="13" spans="1:9" ht="15" x14ac:dyDescent="0.2">
      <c r="A13" s="238" t="s">
        <v>1565</v>
      </c>
      <c r="B13" s="241">
        <f>'DOE25'!G193-'DOE25'!G180</f>
        <v>0</v>
      </c>
      <c r="F13" s="238" t="s">
        <v>1587</v>
      </c>
    </row>
    <row r="14" spans="1:9" ht="18" x14ac:dyDescent="0.25">
      <c r="A14" s="240" t="s">
        <v>732</v>
      </c>
      <c r="B14" s="242">
        <f>SUM(B9:B13)</f>
        <v>4818030.12</v>
      </c>
    </row>
    <row r="16" spans="1:9" ht="18" x14ac:dyDescent="0.25">
      <c r="A16" s="240" t="s">
        <v>786</v>
      </c>
      <c r="F16" s="247" t="s">
        <v>1579</v>
      </c>
    </row>
    <row r="17" spans="1:6" ht="15" x14ac:dyDescent="0.2">
      <c r="A17" s="238" t="s">
        <v>1566</v>
      </c>
      <c r="B17" s="241">
        <f>'DOE25'!L363-'DOE25'!L362</f>
        <v>5051584.58</v>
      </c>
      <c r="F17" s="238" t="s">
        <v>1580</v>
      </c>
    </row>
    <row r="18" spans="1:6" ht="15" x14ac:dyDescent="0.2">
      <c r="A18" s="238" t="s">
        <v>1567</v>
      </c>
      <c r="B18" s="251"/>
      <c r="F18" s="247" t="s">
        <v>1604</v>
      </c>
    </row>
    <row r="19" spans="1:6" ht="18" x14ac:dyDescent="0.25">
      <c r="A19" s="240" t="s">
        <v>725</v>
      </c>
      <c r="B19" s="242">
        <f>SUM(B17:B18)</f>
        <v>5051584.58</v>
      </c>
    </row>
    <row r="21" spans="1:6" ht="18.75" thickBot="1" x14ac:dyDescent="0.3">
      <c r="A21" s="240" t="s">
        <v>1568</v>
      </c>
    </row>
    <row r="22" spans="1:6" ht="18.75" thickTop="1" x14ac:dyDescent="0.25">
      <c r="A22" s="240" t="s">
        <v>1569</v>
      </c>
      <c r="B22" s="246">
        <f>B14-B19</f>
        <v>-233554.45999999996</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2144062.2400000002</v>
      </c>
      <c r="F31" s="238" t="s">
        <v>1584</v>
      </c>
    </row>
    <row r="33" spans="1:6" ht="15" x14ac:dyDescent="0.2">
      <c r="A33" s="238" t="s">
        <v>1798</v>
      </c>
      <c r="B33" s="241">
        <f>'DOE25'!G477</f>
        <v>1910507.7800000003</v>
      </c>
      <c r="F33" s="238" t="s">
        <v>1585</v>
      </c>
    </row>
    <row r="36" spans="1:6" ht="15" x14ac:dyDescent="0.2">
      <c r="A36" s="238" t="s">
        <v>1571</v>
      </c>
      <c r="B36" s="252">
        <v>353237.45999999996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Nashua</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44906873.079999998</v>
      </c>
      <c r="C9" s="167">
        <f>'DOE25'!G198+'DOE25'!G216+'DOE25'!G234+'DOE25'!G277+'DOE25'!G296+'DOE25'!G315</f>
        <v>22190468.040000003</v>
      </c>
    </row>
    <row r="10" spans="1:3" x14ac:dyDescent="0.2">
      <c r="A10" t="s">
        <v>775</v>
      </c>
      <c r="B10" s="177">
        <v>43294584.670000002</v>
      </c>
      <c r="C10" s="177">
        <v>21382673.710000001</v>
      </c>
    </row>
    <row r="11" spans="1:3" x14ac:dyDescent="0.2">
      <c r="A11" t="s">
        <v>776</v>
      </c>
      <c r="B11" s="177">
        <v>723400.81</v>
      </c>
      <c r="C11" s="177">
        <v>362440.78</v>
      </c>
    </row>
    <row r="12" spans="1:3" x14ac:dyDescent="0.2">
      <c r="A12" t="s">
        <v>777</v>
      </c>
      <c r="B12" s="177">
        <v>888887.6</v>
      </c>
      <c r="C12" s="177">
        <v>445353.55</v>
      </c>
    </row>
    <row r="13" spans="1:3" x14ac:dyDescent="0.2">
      <c r="A13" t="str">
        <f>IF(B9=B13,IF(C9=C13,"Check Total OK","Check Total Error"),"Check Total Error")</f>
        <v>Check Total OK</v>
      </c>
      <c r="B13" s="169">
        <f>SUM(B10:B12)</f>
        <v>44906873.080000006</v>
      </c>
      <c r="C13" s="169">
        <f>SUM(C10:C12)</f>
        <v>22190468.040000003</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20384668.089999996</v>
      </c>
      <c r="C18" s="167">
        <f>'DOE25'!G199+'DOE25'!G217+'DOE25'!G235+'DOE25'!G278+'DOE25'!G297+'DOE25'!G316</f>
        <v>7947389.2000000002</v>
      </c>
    </row>
    <row r="19" spans="1:3" x14ac:dyDescent="0.2">
      <c r="A19" t="s">
        <v>775</v>
      </c>
      <c r="B19" s="177">
        <v>11458682.4</v>
      </c>
      <c r="C19" s="177">
        <v>4438018.87</v>
      </c>
    </row>
    <row r="20" spans="1:3" x14ac:dyDescent="0.2">
      <c r="A20" t="s">
        <v>776</v>
      </c>
      <c r="B20" s="177">
        <v>7617989.5099999998</v>
      </c>
      <c r="C20" s="177">
        <v>2995114.19</v>
      </c>
    </row>
    <row r="21" spans="1:3" x14ac:dyDescent="0.2">
      <c r="A21" t="s">
        <v>777</v>
      </c>
      <c r="B21" s="177">
        <v>1307996.18</v>
      </c>
      <c r="C21" s="177">
        <v>514256.14</v>
      </c>
    </row>
    <row r="22" spans="1:3" x14ac:dyDescent="0.2">
      <c r="A22" t="str">
        <f>IF(B18=B22,IF(C18=C22,"Check Total OK","Check Total Error"),"Check Total Error")</f>
        <v>Check Total OK</v>
      </c>
      <c r="B22" s="169">
        <f>SUM(B19:B21)</f>
        <v>20384668.09</v>
      </c>
      <c r="C22" s="169">
        <f>SUM(C19:C21)</f>
        <v>7947389.2000000002</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3591497.2499999995</v>
      </c>
      <c r="C27" s="172">
        <f>'DOE25'!G200+'DOE25'!G218+'DOE25'!G236+'DOE25'!G279+'DOE25'!G298+'DOE25'!G317</f>
        <v>1889601.59</v>
      </c>
    </row>
    <row r="28" spans="1:3" x14ac:dyDescent="0.2">
      <c r="A28" t="s">
        <v>775</v>
      </c>
      <c r="B28" s="177">
        <v>3469200.85</v>
      </c>
      <c r="C28" s="177">
        <v>1824472.53</v>
      </c>
    </row>
    <row r="29" spans="1:3" x14ac:dyDescent="0.2">
      <c r="A29" t="s">
        <v>776</v>
      </c>
      <c r="B29" s="177">
        <v>20179.63</v>
      </c>
      <c r="C29" s="177">
        <v>10746.68</v>
      </c>
    </row>
    <row r="30" spans="1:3" x14ac:dyDescent="0.2">
      <c r="A30" t="s">
        <v>777</v>
      </c>
      <c r="B30" s="177">
        <v>102116.77</v>
      </c>
      <c r="C30" s="177">
        <v>54382.38</v>
      </c>
    </row>
    <row r="31" spans="1:3" x14ac:dyDescent="0.2">
      <c r="A31" t="str">
        <f>IF(B27=B31,IF(C27=C31,"Check Total OK","Check Total Error"),"Check Total Error")</f>
        <v>Check Total OK</v>
      </c>
      <c r="B31" s="169">
        <f>SUM(B28:B30)</f>
        <v>3591497.25</v>
      </c>
      <c r="C31" s="169">
        <f>SUM(C28:C30)</f>
        <v>1889601.5899999999</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1490563.01</v>
      </c>
      <c r="C36" s="173">
        <f>'DOE25'!G201+'DOE25'!G219+'DOE25'!G237+'DOE25'!G280+'DOE25'!G299+'DOE25'!G318</f>
        <v>317782.18</v>
      </c>
    </row>
    <row r="37" spans="1:3" x14ac:dyDescent="0.2">
      <c r="A37" t="s">
        <v>775</v>
      </c>
      <c r="B37" s="177">
        <v>605489.07999999996</v>
      </c>
      <c r="C37" s="177">
        <v>202684.89</v>
      </c>
    </row>
    <row r="38" spans="1:3" x14ac:dyDescent="0.2">
      <c r="A38" t="s">
        <v>776</v>
      </c>
      <c r="B38" s="177">
        <v>49325.87</v>
      </c>
      <c r="C38" s="177">
        <v>6414.46</v>
      </c>
    </row>
    <row r="39" spans="1:3" x14ac:dyDescent="0.2">
      <c r="A39" t="s">
        <v>777</v>
      </c>
      <c r="B39" s="177">
        <v>835748.06</v>
      </c>
      <c r="C39" s="177">
        <v>108682.83</v>
      </c>
    </row>
    <row r="40" spans="1:3" x14ac:dyDescent="0.2">
      <c r="A40" t="str">
        <f>IF(B36=B40,IF(C36=C40,"Check Total OK","Check Total Error"),"Check Total Error")</f>
        <v>Check Total OK</v>
      </c>
      <c r="B40" s="169">
        <f>SUM(B37:B39)</f>
        <v>1490563.01</v>
      </c>
      <c r="C40" s="169">
        <f>SUM(C37:C39)</f>
        <v>317782.18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14" sqref="F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2" t="s">
        <v>889</v>
      </c>
      <c r="B1" s="325"/>
      <c r="C1" s="325"/>
      <c r="D1" s="325"/>
      <c r="E1" s="325"/>
      <c r="F1" s="325"/>
      <c r="G1" s="325"/>
      <c r="H1" s="325"/>
      <c r="I1" s="131"/>
    </row>
    <row r="2" spans="1:9" x14ac:dyDescent="0.2">
      <c r="A2" s="32" t="s">
        <v>713</v>
      </c>
      <c r="B2" s="196" t="str">
        <f>'DOE25'!A2</f>
        <v>Nashua</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102967629.06999999</v>
      </c>
      <c r="D5" s="19">
        <f>SUM('DOE25'!L198:L201)+SUM('DOE25'!L216:L219)+SUM('DOE25'!L234:L237)-F5-G5-H5</f>
        <v>102164872.67</v>
      </c>
      <c r="E5" s="180"/>
      <c r="F5" s="181">
        <v>719470.0199999999</v>
      </c>
      <c r="G5" s="19">
        <f>SUM('DOE25'!J198:J201)+SUM('DOE25'!J216:J219)+SUM('DOE25'!J234:J237)</f>
        <v>272332.38</v>
      </c>
      <c r="H5" s="19">
        <f>SUM('DOE25'!K198:K201)+SUM('DOE25'!K216:K219)+SUM('DOE25'!K234:K237)</f>
        <v>-189046</v>
      </c>
      <c r="I5" s="192"/>
    </row>
    <row r="6" spans="1:9" x14ac:dyDescent="0.2">
      <c r="A6" s="31">
        <v>2100</v>
      </c>
      <c r="B6" t="s">
        <v>796</v>
      </c>
      <c r="C6" s="206">
        <f t="shared" si="0"/>
        <v>16970408.34</v>
      </c>
      <c r="D6" s="19">
        <f>'DOE25'!L203+'DOE25'!L221+'DOE25'!L239-F6-G6-H6</f>
        <v>15949441.5</v>
      </c>
      <c r="E6" s="180"/>
      <c r="F6" s="181">
        <v>1009091.5</v>
      </c>
      <c r="G6" s="19">
        <f>'DOE25'!J203+'DOE25'!J221+'DOE25'!J239</f>
        <v>11875.34</v>
      </c>
      <c r="H6" s="19">
        <f>'DOE25'!K203+'DOE25'!K221+'DOE25'!K239</f>
        <v>0</v>
      </c>
      <c r="I6" s="192"/>
    </row>
    <row r="7" spans="1:9" x14ac:dyDescent="0.2">
      <c r="A7" s="31">
        <v>2200</v>
      </c>
      <c r="B7" t="s">
        <v>820</v>
      </c>
      <c r="C7" s="206">
        <f t="shared" si="0"/>
        <v>6238206.0899999999</v>
      </c>
      <c r="D7" s="19">
        <f>'DOE25'!L204+'DOE25'!L222+'DOE25'!L240-F7-G7-H7</f>
        <v>4305901.26</v>
      </c>
      <c r="E7" s="180"/>
      <c r="F7" s="181">
        <v>836336.51000000013</v>
      </c>
      <c r="G7" s="19">
        <f>'DOE25'!J204+'DOE25'!J222+'DOE25'!J240</f>
        <v>1095968.3199999998</v>
      </c>
      <c r="H7" s="19">
        <f>'DOE25'!K204+'DOE25'!K222+'DOE25'!K240</f>
        <v>0</v>
      </c>
      <c r="I7" s="192"/>
    </row>
    <row r="8" spans="1:9" x14ac:dyDescent="0.2">
      <c r="A8" s="31">
        <v>2300</v>
      </c>
      <c r="B8" t="s">
        <v>797</v>
      </c>
      <c r="C8" s="206">
        <f t="shared" si="0"/>
        <v>2754273.1099999994</v>
      </c>
      <c r="D8" s="180"/>
      <c r="E8" s="19">
        <f>'DOE25'!L205+'DOE25'!L223+'DOE25'!L241-F8-G8-H8-D9-D11</f>
        <v>2104706.7699999996</v>
      </c>
      <c r="F8" s="181">
        <v>82335.820000000007</v>
      </c>
      <c r="G8" s="19">
        <f>'DOE25'!J205+'DOE25'!J223+'DOE25'!J241</f>
        <v>1718.5200000000002</v>
      </c>
      <c r="H8" s="19">
        <f>'DOE25'!K205+'DOE25'!K223+'DOE25'!K241</f>
        <v>565512</v>
      </c>
      <c r="I8" s="192"/>
    </row>
    <row r="9" spans="1:9" ht="14.25" x14ac:dyDescent="0.2">
      <c r="A9" s="31">
        <v>2310</v>
      </c>
      <c r="B9" s="71" t="s">
        <v>887</v>
      </c>
      <c r="C9" s="206">
        <f t="shared" si="0"/>
        <v>71775.14</v>
      </c>
      <c r="D9" s="181">
        <v>71775.14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1153225.75</v>
      </c>
      <c r="D11" s="181">
        <v>1153225.75</v>
      </c>
      <c r="E11" s="180"/>
      <c r="F11" s="180"/>
      <c r="G11" s="180"/>
      <c r="H11" s="180"/>
      <c r="I11" s="192"/>
    </row>
    <row r="12" spans="1:9" x14ac:dyDescent="0.2">
      <c r="A12" s="31">
        <v>2400</v>
      </c>
      <c r="B12" t="s">
        <v>711</v>
      </c>
      <c r="C12" s="206">
        <f t="shared" si="0"/>
        <v>8139020.6900000004</v>
      </c>
      <c r="D12" s="19">
        <f>'DOE25'!L206+'DOE25'!L224+'DOE25'!L242-F12-G12-H12</f>
        <v>8139020.6900000004</v>
      </c>
      <c r="E12" s="180"/>
      <c r="F12" s="181"/>
      <c r="G12" s="19">
        <f>'DOE25'!J206+'DOE25'!J224+'DOE25'!J242</f>
        <v>0</v>
      </c>
      <c r="H12" s="19">
        <f>'DOE25'!K206+'DOE25'!K224+'DOE25'!K242</f>
        <v>0</v>
      </c>
      <c r="I12" s="192"/>
    </row>
    <row r="13" spans="1:9" x14ac:dyDescent="0.2">
      <c r="A13" s="31">
        <v>2500</v>
      </c>
      <c r="B13" t="s">
        <v>798</v>
      </c>
      <c r="C13" s="206">
        <f t="shared" si="0"/>
        <v>1015248</v>
      </c>
      <c r="D13" s="180"/>
      <c r="E13" s="19">
        <f>'DOE25'!L207+'DOE25'!L225+'DOE25'!L243-F13-G13-H13</f>
        <v>1719973</v>
      </c>
      <c r="F13" s="181"/>
      <c r="G13" s="19">
        <f>'DOE25'!J207+'DOE25'!J225+'DOE25'!J243</f>
        <v>0</v>
      </c>
      <c r="H13" s="19">
        <f>'DOE25'!K207+'DOE25'!K225+'DOE25'!K243</f>
        <v>-704725</v>
      </c>
      <c r="I13" s="192"/>
    </row>
    <row r="14" spans="1:9" x14ac:dyDescent="0.2">
      <c r="A14" s="31">
        <v>2600</v>
      </c>
      <c r="B14" t="s">
        <v>818</v>
      </c>
      <c r="C14" s="206">
        <f t="shared" si="0"/>
        <v>16575097.4</v>
      </c>
      <c r="D14" s="19">
        <f>'DOE25'!L208+'DOE25'!L226+'DOE25'!L244-F14-G14-H14</f>
        <v>15791654.93</v>
      </c>
      <c r="E14" s="180"/>
      <c r="F14" s="181">
        <v>537903.67000000004</v>
      </c>
      <c r="G14" s="19">
        <f>'DOE25'!J208+'DOE25'!J226+'DOE25'!J244</f>
        <v>245538.8</v>
      </c>
      <c r="H14" s="19">
        <f>'DOE25'!K208+'DOE25'!K226+'DOE25'!K244</f>
        <v>0</v>
      </c>
      <c r="I14" s="192"/>
    </row>
    <row r="15" spans="1:9" x14ac:dyDescent="0.2">
      <c r="A15" s="31">
        <v>2700</v>
      </c>
      <c r="B15" t="s">
        <v>799</v>
      </c>
      <c r="C15" s="206">
        <f t="shared" si="0"/>
        <v>8155239.2899999991</v>
      </c>
      <c r="D15" s="19">
        <f>'DOE25'!L209+'DOE25'!L227+'DOE25'!L245-F15-G15-H15</f>
        <v>836738.37999999896</v>
      </c>
      <c r="E15" s="180"/>
      <c r="F15" s="181">
        <v>7318500.9100000001</v>
      </c>
      <c r="G15" s="19">
        <f>'DOE25'!J209+'DOE25'!J227+'DOE25'!J245</f>
        <v>0</v>
      </c>
      <c r="H15" s="19">
        <f>'DOE25'!K209+'DOE25'!K227+'DOE25'!K245</f>
        <v>0</v>
      </c>
      <c r="I15" s="192"/>
    </row>
    <row r="16" spans="1:9" x14ac:dyDescent="0.2">
      <c r="A16" s="31">
        <v>2800</v>
      </c>
      <c r="B16" t="s">
        <v>800</v>
      </c>
      <c r="C16" s="206">
        <f t="shared" si="0"/>
        <v>771653.99999999988</v>
      </c>
      <c r="D16" s="180"/>
      <c r="E16" s="19">
        <f>'DOE25'!L210+'DOE25'!L228+'DOE25'!L246-F16-G16-H16</f>
        <v>771653.99999999988</v>
      </c>
      <c r="F16" s="181"/>
      <c r="G16" s="19">
        <f>'DOE25'!J210+'DOE25'!J228+'DOE25'!J246</f>
        <v>0</v>
      </c>
      <c r="H16" s="19">
        <f>'DOE25'!K210+'DOE25'!K228+'DOE25'!K246</f>
        <v>0</v>
      </c>
      <c r="I16" s="192"/>
    </row>
    <row r="17" spans="1:9" x14ac:dyDescent="0.2">
      <c r="A17" s="31">
        <v>1600</v>
      </c>
      <c r="B17" t="s">
        <v>801</v>
      </c>
      <c r="C17" s="206">
        <f t="shared" si="0"/>
        <v>77265.42</v>
      </c>
      <c r="D17" s="19">
        <f>'DOE25'!L252-F17-G17-H17</f>
        <v>77265.42</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9743932.3699999992</v>
      </c>
      <c r="D22" s="180"/>
      <c r="E22" s="180"/>
      <c r="F22" s="180"/>
      <c r="G22" s="19">
        <f>'DOE25'!L256+'DOE25'!L337</f>
        <v>9743932.3699999992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8287908</v>
      </c>
      <c r="D25" s="180"/>
      <c r="E25" s="180"/>
      <c r="F25" s="191"/>
      <c r="G25" s="180"/>
      <c r="H25" s="180"/>
      <c r="I25" s="190">
        <f>'DOE25'!L261+'DOE25'!L262+'DOE25'!L342+'DOE25'!L343</f>
        <v>8287908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2988749.53</v>
      </c>
      <c r="D29" s="212">
        <f>'DOE25'!L359+'DOE25'!L360+'DOE25'!L361-'DOE25'!I368-F29-G29-H29-F39</f>
        <v>2971254.5599999996</v>
      </c>
      <c r="E29" s="180"/>
      <c r="F29" s="180"/>
      <c r="G29" s="19">
        <f>'DOE25'!J359+'DOE25'!J360+'DOE25'!J361</f>
        <v>17494.97</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25296140.430000003</v>
      </c>
      <c r="D31" s="19">
        <f>'DOE25'!L291+'DOE25'!L310+'DOE25'!L329+'DOE25'!L334+'DOE25'!L335+'DOE25'!L336-F31-G31-H31</f>
        <v>18900061.130000003</v>
      </c>
      <c r="E31" s="180"/>
      <c r="F31" s="181">
        <v>3917706.5</v>
      </c>
      <c r="G31" s="19">
        <f>'DOE25'!J291+'DOE25'!J310+'DOE25'!J329+'DOE25'!J334+'DOE25'!J335+'DOE25'!J336</f>
        <v>1570168.3</v>
      </c>
      <c r="H31" s="19">
        <f>'DOE25'!K291+'DOE25'!K310+'DOE25'!K329+'DOE25'!K334+'DOE25'!K335+'DOE25'!K336</f>
        <v>908204.49999999988</v>
      </c>
      <c r="I31" s="192"/>
    </row>
    <row r="32" spans="1:9" ht="12" thickBot="1" x14ac:dyDescent="0.25">
      <c r="C32" s="207"/>
      <c r="G32" s="188"/>
      <c r="H32" s="188"/>
      <c r="I32" s="194"/>
    </row>
    <row r="33" spans="1:9" ht="12" thickTop="1" x14ac:dyDescent="0.2">
      <c r="B33" t="s">
        <v>809</v>
      </c>
      <c r="D33" s="182">
        <f t="shared" ref="D33:I33" si="1">SUM(D5:D31)</f>
        <v>170361211.42999998</v>
      </c>
      <c r="E33" s="182">
        <f t="shared" si="1"/>
        <v>4596333.7699999996</v>
      </c>
      <c r="F33" s="182">
        <f t="shared" si="1"/>
        <v>14421344.93</v>
      </c>
      <c r="G33" s="182">
        <f t="shared" si="1"/>
        <v>12959029</v>
      </c>
      <c r="H33" s="182">
        <f t="shared" si="1"/>
        <v>579945.49999999988</v>
      </c>
      <c r="I33" s="182">
        <f t="shared" si="1"/>
        <v>8287908</v>
      </c>
    </row>
    <row r="34" spans="1:9" ht="12" thickBot="1" x14ac:dyDescent="0.25"/>
    <row r="35" spans="1:9" ht="12" thickBot="1" x14ac:dyDescent="0.25">
      <c r="B35" s="188" t="s">
        <v>830</v>
      </c>
      <c r="D35" s="189">
        <f>E33</f>
        <v>4596333.7699999996</v>
      </c>
      <c r="E35" s="185"/>
      <c r="F35" s="295" t="s">
        <v>1608</v>
      </c>
      <c r="G35" s="296"/>
      <c r="H35" s="296"/>
      <c r="I35" s="297"/>
    </row>
    <row r="36" spans="1:9" ht="12" thickTop="1" x14ac:dyDescent="0.2">
      <c r="B36" t="s">
        <v>810</v>
      </c>
      <c r="D36" s="19">
        <f>D33</f>
        <v>170361211.42999998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I7" sqref="I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Nashua</v>
      </c>
      <c r="B2">
        <f>'DOE25'!B2</f>
        <v>371</v>
      </c>
      <c r="J2" s="224" t="s">
        <v>1808</v>
      </c>
      <c r="K2" s="309">
        <f>SUM('DOE25'!L198:L201)+SUM('DOE25'!L216:L219)+SUM('DOE25'!L234:L237)+SUM('DOE25'!L277:L280)+SUM('DOE25'!L296:L299)+SUM('DOE25'!L315:L318)</f>
        <v>117769483.33999999</v>
      </c>
      <c r="L2" s="309">
        <f>'DOE25'!L203+'DOE25'!L221+'DOE25'!L239+'DOE25'!L282+'DOE25'!L301+'DOE25'!L320</f>
        <v>19672065.530000001</v>
      </c>
      <c r="M2" s="309">
        <f>'DOE25'!L204+'DOE25'!L222+'DOE25'!L240+'DOE25'!L283+'DOE25'!L302+'DOE25'!L321</f>
        <v>10680333.909999998</v>
      </c>
      <c r="N2" s="309">
        <f>'DOE25'!L206+'DOE25'!L224+'DOE25'!L242+'DOE25'!L285+'DOE25'!L304+'DOE25'!L323</f>
        <v>9960901.7200000007</v>
      </c>
      <c r="O2" s="309">
        <f>'Salaries-Benefits'!B10+'Salaries-Benefits'!B12+'Salaries-Benefits'!B19+'Salaries-Benefits'!B21+'Salaries-Benefits'!B28+'Salaries-Benefits'!B30+'Salaries-Benefits'!B37+'Salaries-Benefits'!B39</f>
        <v>61962705.610000007</v>
      </c>
      <c r="P2" s="309">
        <f>'Salaries-Benefits'!B11+'Salaries-Benefits'!B20+'Salaries-Benefits'!B29+'Salaries-Benefits'!B38</f>
        <v>8410895.8200000003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-0.17000000178813934</v>
      </c>
      <c r="L3" s="311">
        <f t="shared" ref="L3:P3" si="0">L21+L33+L43-L2</f>
        <v>-19672065.530000001</v>
      </c>
      <c r="M3" s="311">
        <f t="shared" si="0"/>
        <v>-10680333.909999998</v>
      </c>
      <c r="N3" s="311">
        <f t="shared" si="0"/>
        <v>-9960901.7200000007</v>
      </c>
      <c r="O3" s="311">
        <f t="shared" si="0"/>
        <v>-61962705.610000007</v>
      </c>
      <c r="P3" s="311">
        <f t="shared" si="0"/>
        <v>-8410895.8200000003</v>
      </c>
      <c r="Q3" s="310"/>
      <c r="R3" s="306"/>
      <c r="S3" s="215"/>
      <c r="T3" s="215"/>
      <c r="U3" s="216"/>
    </row>
    <row r="4" spans="1:21" ht="55.5" customHeight="1" thickBot="1" x14ac:dyDescent="0.25">
      <c r="A4" s="224" t="s">
        <v>1522</v>
      </c>
      <c r="B4" s="224" t="s">
        <v>1523</v>
      </c>
      <c r="C4" s="224" t="s">
        <v>896</v>
      </c>
      <c r="D4" s="224" t="s">
        <v>786</v>
      </c>
      <c r="E4" s="224" t="s">
        <v>786</v>
      </c>
      <c r="F4" s="228">
        <f>SUM(F5:F20)</f>
        <v>90285513.184249997</v>
      </c>
      <c r="G4" s="229">
        <f>'DOE25'!L212+'DOE25'!L291</f>
        <v>90285512.929450005</v>
      </c>
      <c r="H4" s="264">
        <f>F4-G4</f>
        <v>0.25479999184608459</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Amherst Street School</v>
      </c>
      <c r="B6" s="230">
        <f>IFERROR(VLOOKUP(A6,'School Tables'!$C$3:$D$365,2,FALSE),"")</f>
        <v>21940</v>
      </c>
      <c r="C6" s="223" t="str">
        <f>IFERROR(INDEX('School Tables'!$B$3:$B$365,MATCH('School Level Expenditures'!B6,'School Tables'!$D$3:$D$365,0)),"")</f>
        <v>Nashua</v>
      </c>
      <c r="D6" s="220">
        <v>5067188.0714559993</v>
      </c>
      <c r="E6" s="220">
        <v>1276614.3529920001</v>
      </c>
      <c r="F6" s="232">
        <f t="shared" ref="F6:F20" si="1">D6+E6</f>
        <v>6343802.4244479993</v>
      </c>
      <c r="G6" s="223"/>
      <c r="H6" s="223"/>
      <c r="J6" t="str">
        <f>A6</f>
        <v>Amherst Street School</v>
      </c>
      <c r="K6" s="314">
        <v>3835734.8990440005</v>
      </c>
      <c r="L6" s="20"/>
      <c r="M6" s="308"/>
      <c r="N6" s="20"/>
      <c r="O6" s="20"/>
      <c r="P6" s="20"/>
      <c r="Q6" s="20"/>
    </row>
    <row r="7" spans="1:21" x14ac:dyDescent="0.2">
      <c r="A7" t="str" cm="1">
        <f t="array" ref="A7">IFERROR(INDEX('School Tables'!$A$4:$G$325,'School Tables'!$J5,3),"")</f>
        <v>Bicentennial Elementary School</v>
      </c>
      <c r="B7" s="230">
        <f>IFERROR(VLOOKUP(A7,'School Tables'!$C$3:$D$365,2,FALSE),"")</f>
        <v>21865</v>
      </c>
      <c r="C7" s="223" t="str">
        <f>IFERROR(INDEX('School Tables'!$B$3:$B$365,MATCH('School Level Expenditures'!B7,'School Tables'!$D$3:$D$365,0)),"")</f>
        <v>Nashua</v>
      </c>
      <c r="D7" s="220">
        <v>7785799.2694900008</v>
      </c>
      <c r="E7" s="220">
        <v>796073.9728799999</v>
      </c>
      <c r="F7" s="232">
        <f t="shared" si="1"/>
        <v>8581873.2423700001</v>
      </c>
      <c r="G7" s="223"/>
      <c r="H7" s="223"/>
      <c r="J7" t="str">
        <f t="shared" ref="J7:J20" si="2">A7</f>
        <v>Bicentennial Elementary School</v>
      </c>
      <c r="K7" s="314">
        <v>5292762.4531299993</v>
      </c>
      <c r="L7" s="20"/>
      <c r="M7" s="308"/>
      <c r="N7" s="20"/>
      <c r="O7" s="20"/>
      <c r="P7" s="20"/>
      <c r="Q7" s="20"/>
    </row>
    <row r="8" spans="1:21" x14ac:dyDescent="0.2">
      <c r="A8" t="str" cm="1">
        <f t="array" ref="A8">IFERROR(INDEX('School Tables'!$A$4:$G$325,'School Tables'!$J6,3),"")</f>
        <v>Birch Hill Elementary School</v>
      </c>
      <c r="B8" s="230">
        <f>IFERROR(VLOOKUP(A8,'School Tables'!$C$3:$D$365,2,FALSE),"")</f>
        <v>21895</v>
      </c>
      <c r="C8" s="223" t="str">
        <f>IFERROR(INDEX('School Tables'!$B$3:$B$365,MATCH('School Level Expenditures'!B8,'School Tables'!$D$3:$D$365,0)),"")</f>
        <v>Nashua</v>
      </c>
      <c r="D8" s="220">
        <v>6342167.4296199987</v>
      </c>
      <c r="E8" s="220">
        <v>731717.4164799999</v>
      </c>
      <c r="F8" s="232">
        <f t="shared" si="1"/>
        <v>7073884.8460999988</v>
      </c>
      <c r="G8" s="223"/>
      <c r="H8" s="223"/>
      <c r="J8" t="str">
        <f t="shared" si="2"/>
        <v>Birch Hill Elementary School</v>
      </c>
      <c r="K8" s="314">
        <v>4556251.2687599994</v>
      </c>
      <c r="L8" s="20"/>
      <c r="M8" s="308"/>
      <c r="N8" s="20"/>
      <c r="O8" s="20"/>
      <c r="P8" s="20"/>
      <c r="Q8" s="20"/>
    </row>
    <row r="9" spans="1:21" x14ac:dyDescent="0.2">
      <c r="A9" t="str" cm="1">
        <f t="array" ref="A9">IFERROR(INDEX('School Tables'!$A$4:$G$325,'School Tables'!$J7,3),"")</f>
        <v>Broad Street Elementary School</v>
      </c>
      <c r="B9" s="230">
        <f>IFERROR(VLOOKUP(A9,'School Tables'!$C$3:$D$365,2,FALSE),"")</f>
        <v>21925</v>
      </c>
      <c r="C9" s="223" t="str">
        <f>IFERROR(INDEX('School Tables'!$B$3:$B$365,MATCH('School Level Expenditures'!B9,'School Tables'!$D$3:$D$365,0)),"")</f>
        <v>Nashua</v>
      </c>
      <c r="D9" s="220">
        <v>5375975.7907199999</v>
      </c>
      <c r="E9" s="220">
        <v>649605.13179999997</v>
      </c>
      <c r="F9" s="232">
        <f t="shared" si="1"/>
        <v>6025580.9225199996</v>
      </c>
      <c r="G9" s="223"/>
      <c r="H9" s="223"/>
      <c r="J9" t="str">
        <f t="shared" si="2"/>
        <v>Broad Street Elementary School</v>
      </c>
      <c r="K9" s="314">
        <v>3655002.1327500003</v>
      </c>
      <c r="L9" s="20"/>
      <c r="M9" s="308"/>
      <c r="N9" s="20"/>
      <c r="O9" s="20"/>
      <c r="P9" s="20"/>
      <c r="Q9" s="20"/>
    </row>
    <row r="10" spans="1:21" x14ac:dyDescent="0.2">
      <c r="A10" t="str" cm="1">
        <f t="array" ref="A10">IFERROR(INDEX('School Tables'!$A$4:$G$325,'School Tables'!$J8,3),"")</f>
        <v>Charlotte Ave Elementary School</v>
      </c>
      <c r="B10" s="230">
        <f>IFERROR(VLOOKUP(A10,'School Tables'!$C$3:$D$365,2,FALSE),"")</f>
        <v>21930</v>
      </c>
      <c r="C10" s="223" t="str">
        <f>IFERROR(INDEX('School Tables'!$B$3:$B$365,MATCH('School Level Expenditures'!B10,'School Tables'!$D$3:$D$365,0)),"")</f>
        <v>Nashua</v>
      </c>
      <c r="D10" s="220">
        <v>6355645.4034399996</v>
      </c>
      <c r="E10" s="220">
        <v>690722.44232000003</v>
      </c>
      <c r="F10" s="232">
        <f t="shared" si="1"/>
        <v>7046367.8457599999</v>
      </c>
      <c r="G10" s="223"/>
      <c r="H10" s="223"/>
      <c r="J10" t="str">
        <f t="shared" si="2"/>
        <v>Charlotte Ave Elementary School</v>
      </c>
      <c r="K10" s="314">
        <v>4621981.3876199992</v>
      </c>
      <c r="L10" s="20"/>
      <c r="M10" s="20"/>
      <c r="N10" s="20"/>
      <c r="O10" s="20"/>
      <c r="P10" s="20"/>
      <c r="Q10" s="20"/>
    </row>
    <row r="11" spans="1:21" x14ac:dyDescent="0.2">
      <c r="A11" t="str" cm="1">
        <f t="array" ref="A11">IFERROR(INDEX('School Tables'!$A$4:$G$325,'School Tables'!$J9,3),"")</f>
        <v>Dr. Norman W. Crisp School</v>
      </c>
      <c r="B11" s="230">
        <f>IFERROR(VLOOKUP(A11,'School Tables'!$C$3:$D$365,2,FALSE),"")</f>
        <v>21835</v>
      </c>
      <c r="C11" s="223" t="str">
        <f>IFERROR(INDEX('School Tables'!$B$3:$B$365,MATCH('School Level Expenditures'!B11,'School Tables'!$D$3:$D$365,0)),"")</f>
        <v>Nashua</v>
      </c>
      <c r="D11" s="220">
        <v>5411763.1056960011</v>
      </c>
      <c r="E11" s="220">
        <v>1786519.3507119999</v>
      </c>
      <c r="F11" s="232">
        <f t="shared" si="1"/>
        <v>7198282.4564080015</v>
      </c>
      <c r="G11" s="223"/>
      <c r="H11" s="223"/>
      <c r="J11" t="str">
        <f t="shared" si="2"/>
        <v>Dr. Norman W. Crisp School</v>
      </c>
      <c r="K11" s="314">
        <v>4256327.9736040002</v>
      </c>
      <c r="L11" s="20"/>
      <c r="M11" s="20"/>
      <c r="N11" s="20"/>
      <c r="O11" s="20"/>
      <c r="P11" s="20"/>
      <c r="Q11" s="20"/>
    </row>
    <row r="12" spans="1:21" x14ac:dyDescent="0.2">
      <c r="A12" t="str" cm="1">
        <f t="array" ref="A12">IFERROR(INDEX('School Tables'!$A$4:$G$325,'School Tables'!$J10,3),"")</f>
        <v>Fairgrounds Elementary School</v>
      </c>
      <c r="B12" s="230">
        <f>IFERROR(VLOOKUP(A12,'School Tables'!$C$3:$D$365,2,FALSE),"")</f>
        <v>21840</v>
      </c>
      <c r="C12" s="223" t="str">
        <f>IFERROR(INDEX('School Tables'!$B$3:$B$365,MATCH('School Level Expenditures'!B12,'School Tables'!$D$3:$D$365,0)),"")</f>
        <v>Nashua</v>
      </c>
      <c r="D12" s="220">
        <v>7152173.9531680001</v>
      </c>
      <c r="E12" s="220">
        <v>1378651.5649359997</v>
      </c>
      <c r="F12" s="232">
        <f t="shared" si="1"/>
        <v>8530825.518104</v>
      </c>
      <c r="G12" s="223"/>
      <c r="H12" s="223"/>
      <c r="J12" t="str">
        <f t="shared" si="2"/>
        <v>Fairgrounds Elementary School</v>
      </c>
      <c r="K12" s="314">
        <v>5163979.0959419999</v>
      </c>
      <c r="L12" s="20"/>
      <c r="M12" s="20"/>
      <c r="N12" s="20"/>
      <c r="O12" s="20"/>
      <c r="P12" s="20"/>
      <c r="Q12" s="20"/>
    </row>
    <row r="13" spans="1:21" x14ac:dyDescent="0.2">
      <c r="A13" t="str" cm="1">
        <f t="array" ref="A13">IFERROR(INDEX('School Tables'!$A$4:$G$325,'School Tables'!$J11,3),"")</f>
        <v>Ledge Street School</v>
      </c>
      <c r="B13" s="230">
        <f>IFERROR(VLOOKUP(A13,'School Tables'!$C$3:$D$365,2,FALSE),"")</f>
        <v>21915</v>
      </c>
      <c r="C13" s="223" t="str">
        <f>IFERROR(INDEX('School Tables'!$B$3:$B$365,MATCH('School Level Expenditures'!B13,'School Tables'!$D$3:$D$365,0)),"")</f>
        <v>Nashua</v>
      </c>
      <c r="D13" s="220">
        <v>6870720.6151700011</v>
      </c>
      <c r="E13" s="220">
        <v>1937902.4099599998</v>
      </c>
      <c r="F13" s="232">
        <f t="shared" si="1"/>
        <v>8808623.02513</v>
      </c>
      <c r="G13" s="223"/>
      <c r="H13" s="223"/>
      <c r="J13" t="str">
        <f t="shared" si="2"/>
        <v>Ledge Street School</v>
      </c>
      <c r="K13" s="314">
        <v>5570860.8179800007</v>
      </c>
      <c r="L13" s="20"/>
      <c r="M13" s="20"/>
      <c r="N13" s="20"/>
      <c r="O13" s="20"/>
      <c r="P13" s="20"/>
      <c r="Q13" s="20"/>
    </row>
    <row r="14" spans="1:21" x14ac:dyDescent="0.2">
      <c r="A14" t="str" cm="1">
        <f t="array" ref="A14">IFERROR(INDEX('School Tables'!$A$4:$G$325,'School Tables'!$J12,3),"")</f>
        <v>Main Dunstable School</v>
      </c>
      <c r="B14" s="230">
        <f>IFERROR(VLOOKUP(A14,'School Tables'!$C$3:$D$365,2,FALSE),"")</f>
        <v>21935</v>
      </c>
      <c r="C14" s="223" t="str">
        <f>IFERROR(INDEX('School Tables'!$B$3:$B$365,MATCH('School Level Expenditures'!B14,'School Tables'!$D$3:$D$365,0)),"")</f>
        <v>Nashua</v>
      </c>
      <c r="D14" s="220">
        <v>7047044.8448700011</v>
      </c>
      <c r="E14" s="220">
        <v>660416.20996000001</v>
      </c>
      <c r="F14" s="232">
        <f t="shared" si="1"/>
        <v>7707461.0548300007</v>
      </c>
      <c r="G14" s="223"/>
      <c r="H14" s="223"/>
      <c r="J14" t="str">
        <f t="shared" si="2"/>
        <v>Main Dunstable School</v>
      </c>
      <c r="K14" s="314">
        <v>4898371.9163600011</v>
      </c>
      <c r="L14" s="20"/>
      <c r="M14" s="20"/>
      <c r="N14" s="20"/>
      <c r="O14" s="20"/>
      <c r="P14" s="20"/>
      <c r="Q14" s="20"/>
    </row>
    <row r="15" spans="1:21" x14ac:dyDescent="0.2">
      <c r="A15" t="str" cm="1">
        <f t="array" ref="A15">IFERROR(INDEX('School Tables'!$A$4:$G$325,'School Tables'!$J13,3),"")</f>
        <v>Mt. Pleasant School</v>
      </c>
      <c r="B15" s="230">
        <f>IFERROR(VLOOKUP(A15,'School Tables'!$C$3:$D$365,2,FALSE),"")</f>
        <v>21885</v>
      </c>
      <c r="C15" s="223" t="str">
        <f>IFERROR(INDEX('School Tables'!$B$3:$B$365,MATCH('School Level Expenditures'!B15,'School Tables'!$D$3:$D$365,0)),"")</f>
        <v>Nashua</v>
      </c>
      <c r="D15" s="220">
        <v>6919749.160464</v>
      </c>
      <c r="E15" s="220">
        <v>1729405.019688</v>
      </c>
      <c r="F15" s="232">
        <f t="shared" si="1"/>
        <v>8649154.180151999</v>
      </c>
      <c r="G15" s="223"/>
      <c r="H15" s="223"/>
      <c r="J15" t="str">
        <f t="shared" si="2"/>
        <v>Mt. Pleasant School</v>
      </c>
      <c r="K15" s="314">
        <v>5505664.3158160001</v>
      </c>
      <c r="L15" s="20"/>
      <c r="M15" s="20"/>
      <c r="N15" s="20"/>
      <c r="O15" s="20"/>
      <c r="P15" s="20"/>
      <c r="Q15" s="20"/>
    </row>
    <row r="16" spans="1:21" x14ac:dyDescent="0.2">
      <c r="A16" t="str" cm="1">
        <f t="array" ref="A16">IFERROR(INDEX('School Tables'!$A$4:$G$325,'School Tables'!$J14,3),"")</f>
        <v>New Searles School</v>
      </c>
      <c r="B16" s="230">
        <f>IFERROR(VLOOKUP(A16,'School Tables'!$C$3:$D$365,2,FALSE),"")</f>
        <v>21845</v>
      </c>
      <c r="C16" s="223" t="str">
        <f>IFERROR(INDEX('School Tables'!$B$3:$B$365,MATCH('School Level Expenditures'!B16,'School Tables'!$D$3:$D$365,0)),"")</f>
        <v>Nashua</v>
      </c>
      <c r="D16" s="220">
        <v>5673459.7566799987</v>
      </c>
      <c r="E16" s="220">
        <v>805946.77211999998</v>
      </c>
      <c r="F16" s="232">
        <f t="shared" si="1"/>
        <v>6479406.5287999986</v>
      </c>
      <c r="G16" s="223"/>
      <c r="H16" s="223"/>
      <c r="J16" t="str">
        <f t="shared" si="2"/>
        <v>New Searles School</v>
      </c>
      <c r="K16" s="314">
        <v>4066914.8750699996</v>
      </c>
      <c r="L16" s="20"/>
      <c r="M16" s="20"/>
      <c r="N16" s="20"/>
      <c r="O16" s="20"/>
      <c r="P16" s="20"/>
      <c r="Q16" s="20"/>
    </row>
    <row r="17" spans="1:17" x14ac:dyDescent="0.2">
      <c r="A17" t="str" cm="1">
        <f t="array" ref="A17">IFERROR(INDEX('School Tables'!$A$4:$G$325,'School Tables'!$J15,3),"")</f>
        <v>Purple Panthers Preschool</v>
      </c>
      <c r="B17" s="230">
        <f>IFERROR(VLOOKUP(A17,'School Tables'!$C$3:$D$365,2,FALSE),"")</f>
        <v>28610</v>
      </c>
      <c r="C17" s="223" t="str">
        <f>IFERROR(INDEX('School Tables'!$B$3:$B$365,MATCH('School Level Expenditures'!B17,'School Tables'!$D$3:$D$365,0)),"")</f>
        <v>Nashua</v>
      </c>
      <c r="D17" s="220"/>
      <c r="E17" s="220"/>
      <c r="F17" s="232">
        <f t="shared" si="1"/>
        <v>0</v>
      </c>
      <c r="G17" s="223"/>
      <c r="H17" s="223"/>
      <c r="J17" t="str">
        <f t="shared" si="2"/>
        <v>Purple Panthers Preschool</v>
      </c>
      <c r="K17" s="314"/>
      <c r="L17" s="20"/>
      <c r="M17" s="20"/>
      <c r="N17" s="20"/>
      <c r="O17" s="20"/>
      <c r="P17" s="20"/>
      <c r="Q17" s="20"/>
    </row>
    <row r="18" spans="1:17" x14ac:dyDescent="0.2">
      <c r="A18" t="str" cm="1">
        <f t="array" ref="A18">IFERROR(INDEX('School Tables'!$A$4:$G$325,'School Tables'!$J16,3),"")</f>
        <v>Sunset Heights School</v>
      </c>
      <c r="B18" s="230">
        <f>IFERROR(VLOOKUP(A18,'School Tables'!$C$3:$D$365,2,FALSE),"")</f>
        <v>21850</v>
      </c>
      <c r="C18" s="223" t="str">
        <f>IFERROR(INDEX('School Tables'!$B$3:$B$365,MATCH('School Level Expenditures'!B18,'School Tables'!$D$3:$D$365,0)),"")</f>
        <v>Nashua</v>
      </c>
      <c r="D18" s="220">
        <v>6743151.987995998</v>
      </c>
      <c r="E18" s="220">
        <v>1097099.151632</v>
      </c>
      <c r="F18" s="232">
        <f t="shared" si="1"/>
        <v>7840251.1396279978</v>
      </c>
      <c r="G18" s="223"/>
      <c r="H18" s="223"/>
      <c r="J18" t="str">
        <f t="shared" si="2"/>
        <v>Sunset Heights School</v>
      </c>
      <c r="K18" s="314">
        <v>4944452.7667039996</v>
      </c>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76744839.388769999</v>
      </c>
      <c r="E21" s="262">
        <f>SUM(E5:E20)</f>
        <v>13540673.79548</v>
      </c>
      <c r="F21" s="217"/>
      <c r="G21" s="217"/>
      <c r="H21" s="217"/>
      <c r="K21" s="263">
        <f t="shared" ref="K21:Q21" si="3">SUM(K5:K20)</f>
        <v>56368303.902779996</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38952449.372470006</v>
      </c>
      <c r="G24" s="229">
        <f>'DOE25'!L230+'DOE25'!L310</f>
        <v>38952449.263570003</v>
      </c>
      <c r="H24" s="264">
        <f>F24-G24</f>
        <v>0.10890000313520432</v>
      </c>
      <c r="I24" s="313"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Elm Street Middle School</v>
      </c>
      <c r="B26" s="230">
        <f>IFERROR(VLOOKUP(A26,'School Tables'!$N$4:$O$75,2,FALSE),"")</f>
        <v>21890</v>
      </c>
      <c r="C26" s="223" t="str">
        <f>IFERROR(INDEX('School Tables'!$M$4:$M$75,MATCH('School Level Expenditures'!A26,'School Tables'!$N$4:$N$75,0)),"")</f>
        <v>Nashua</v>
      </c>
      <c r="D26" s="220">
        <v>15411788.011959998</v>
      </c>
      <c r="E26" s="220">
        <v>1840724.1732000001</v>
      </c>
      <c r="F26" s="232">
        <f t="shared" ref="F26:F32" si="4">D26+E26</f>
        <v>17252512.185159996</v>
      </c>
      <c r="G26" s="223"/>
      <c r="H26" s="223"/>
      <c r="J26" t="str">
        <f t="shared" ref="J26:J32" si="5">A26</f>
        <v>Elm Street Middle School</v>
      </c>
      <c r="K26" s="314">
        <v>11065476.408799998</v>
      </c>
      <c r="L26" s="20"/>
      <c r="M26" s="308"/>
      <c r="N26" s="20"/>
      <c r="O26" s="20"/>
      <c r="P26" s="20"/>
      <c r="Q26" s="20"/>
    </row>
    <row r="27" spans="1:17" x14ac:dyDescent="0.2">
      <c r="A27" t="str" cm="1">
        <f t="array" ref="A27">IFERROR(INDEX('School Tables'!$L$4:$R$75,'School Tables'!$U5,3),"")</f>
        <v>Fairgrounds Middle School</v>
      </c>
      <c r="B27" s="230">
        <f>IFERROR(VLOOKUP(A27,'School Tables'!$N$4:$O$75,2,FALSE),"")</f>
        <v>21875</v>
      </c>
      <c r="C27" s="223" t="str">
        <f>IFERROR(INDEX('School Tables'!$M$4:$M$75,MATCH('School Level Expenditures'!A27,'School Tables'!$N$4:$N$75,0)),"")</f>
        <v>Nashua</v>
      </c>
      <c r="D27" s="220">
        <v>10322601.389320001</v>
      </c>
      <c r="E27" s="220">
        <v>946335.40075999999</v>
      </c>
      <c r="F27" s="232">
        <f t="shared" si="4"/>
        <v>11268936.790080002</v>
      </c>
      <c r="G27" s="223"/>
      <c r="H27" s="223"/>
      <c r="J27" t="str">
        <f t="shared" si="5"/>
        <v>Fairgrounds Middle School</v>
      </c>
      <c r="K27" s="314">
        <v>7071359.501410001</v>
      </c>
      <c r="L27" s="20"/>
      <c r="M27" s="20"/>
      <c r="N27" s="20"/>
      <c r="O27" s="20"/>
      <c r="P27" s="20"/>
      <c r="Q27" s="20"/>
    </row>
    <row r="28" spans="1:17" x14ac:dyDescent="0.2">
      <c r="A28" t="str" cm="1">
        <f t="array" ref="A28">IFERROR(INDEX('School Tables'!$L$4:$R$75,'School Tables'!$U6,3),"")</f>
        <v>Pennichuck Middle School</v>
      </c>
      <c r="B28" s="230">
        <f>IFERROR(VLOOKUP(A28,'School Tables'!$N$4:$O$75,2,FALSE),"")</f>
        <v>21825</v>
      </c>
      <c r="C28" s="223" t="str">
        <f>IFERROR(INDEX('School Tables'!$M$4:$M$75,MATCH('School Level Expenditures'!A28,'School Tables'!$N$4:$N$75,0)),"")</f>
        <v>Nashua</v>
      </c>
      <c r="D28" s="220">
        <v>9596864.7618700024</v>
      </c>
      <c r="E28" s="220">
        <v>834135.63535999996</v>
      </c>
      <c r="F28" s="232">
        <f t="shared" si="4"/>
        <v>10431000.397230003</v>
      </c>
      <c r="G28" s="223"/>
      <c r="H28" s="223"/>
      <c r="J28" t="str">
        <f t="shared" si="5"/>
        <v>Pennichuck Middle School</v>
      </c>
      <c r="K28" s="314">
        <v>6675093.8635100015</v>
      </c>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35331254.163150005</v>
      </c>
      <c r="E33" s="262">
        <f>SUM(E25:E32)</f>
        <v>3621195.2093200004</v>
      </c>
      <c r="F33" s="217"/>
      <c r="G33" s="217"/>
      <c r="H33" s="217"/>
      <c r="K33" s="263">
        <f t="shared" ref="K33:Q33" si="6">SUM(K25:K32)</f>
        <v>24811929.77372</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60703420.243280001</v>
      </c>
      <c r="G36" s="229">
        <f>'DOE25'!L248+'DOE25'!L329</f>
        <v>60703420.246979997</v>
      </c>
      <c r="H36" s="264">
        <f>F36-G36</f>
        <v>-3.6999955773353577E-3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Nashua High School North</v>
      </c>
      <c r="B38" s="230">
        <f>IFERROR(VLOOKUP(A38,'School Tables'!$Y$4:$Z$100,2,FALSE),"")</f>
        <v>27960</v>
      </c>
      <c r="C38" s="223" t="str">
        <f>IFERROR(INDEX('School Tables'!$X$4:$X$100,MATCH('School Level Expenditures'!A38,'School Tables'!$Y$4:$Y$100,0)),"")</f>
        <v>Nashua</v>
      </c>
      <c r="D38" s="220">
        <v>25245280.049539998</v>
      </c>
      <c r="E38" s="220">
        <v>3795749.5372800007</v>
      </c>
      <c r="F38" s="232">
        <f t="shared" si="7"/>
        <v>29041029.586819999</v>
      </c>
      <c r="G38" s="223"/>
      <c r="H38" s="223"/>
      <c r="J38" t="str">
        <f t="shared" ref="J38:J42" si="8">A38</f>
        <v>Nashua High School North</v>
      </c>
      <c r="K38" s="314">
        <v>17392204.142280001</v>
      </c>
      <c r="L38" s="20"/>
      <c r="M38" s="308"/>
      <c r="N38" s="20"/>
      <c r="O38" s="20"/>
      <c r="P38" s="20"/>
      <c r="Q38" s="20"/>
    </row>
    <row r="39" spans="1:18" x14ac:dyDescent="0.2">
      <c r="A39" t="str" cm="1">
        <f t="array" ref="A39">IFERROR(INDEX('School Tables'!$W$4:$AC$100,'School Tables'!$AF5,3),"")</f>
        <v>Nashua High School South</v>
      </c>
      <c r="B39" s="230">
        <f>IFERROR(VLOOKUP(A39,'School Tables'!$Y$4:$Z$100,2,FALSE),"")</f>
        <v>21860</v>
      </c>
      <c r="C39" s="223" t="str">
        <f>IFERROR(INDEX('School Tables'!$X$4:$X$100,MATCH('School Level Expenditures'!A39,'School Tables'!$Y$4:$Y$100,0)),"")</f>
        <v>Nashua</v>
      </c>
      <c r="D39" s="220">
        <v>28104754.218540002</v>
      </c>
      <c r="E39" s="220">
        <v>3557636.4379200009</v>
      </c>
      <c r="F39" s="232">
        <f t="shared" si="7"/>
        <v>31662390.656460002</v>
      </c>
      <c r="G39" s="223"/>
      <c r="H39" s="223"/>
      <c r="J39" t="str">
        <f t="shared" si="8"/>
        <v>Nashua High School South</v>
      </c>
      <c r="K39" s="314">
        <v>19197045.351220001</v>
      </c>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53350034.268079996</v>
      </c>
      <c r="E43" s="263">
        <f>SUM(E37:E42)</f>
        <v>7353385.9752000012</v>
      </c>
      <c r="K43" s="263">
        <f t="shared" ref="K43:Q43" si="9">SUM(K37:K42)</f>
        <v>36589249.493500002</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I107" sqref="I10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Nashua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2276471.7999999998</v>
      </c>
      <c r="H8" s="13">
        <f>SUM(C8:G8)</f>
        <v>2276471.7999999998</v>
      </c>
      <c r="I8" s="90"/>
    </row>
    <row r="9" spans="1:9" x14ac:dyDescent="0.2">
      <c r="A9" s="1" t="s">
        <v>140</v>
      </c>
      <c r="B9" s="6">
        <v>110</v>
      </c>
      <c r="C9" s="73">
        <f>'DOE25'!F10</f>
        <v>0</v>
      </c>
      <c r="D9" s="73">
        <f>'DOE25'!G10</f>
        <v>0</v>
      </c>
      <c r="E9" s="73">
        <f>'DOE25'!H10</f>
        <v>0</v>
      </c>
      <c r="F9" s="73">
        <f>'DOE25'!I10</f>
        <v>0</v>
      </c>
      <c r="G9" s="73">
        <f>'DOE25'!J10</f>
        <v>7597067.9400000004</v>
      </c>
      <c r="H9" s="13">
        <f t="shared" ref="H9:H18" si="0">SUM(C9:G9)</f>
        <v>7597067.9400000004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1362144.74</v>
      </c>
      <c r="E11" s="73">
        <f>'DOE25'!H12</f>
        <v>0</v>
      </c>
      <c r="F11" s="73">
        <f>'DOE25'!I12</f>
        <v>0</v>
      </c>
      <c r="G11" s="73">
        <f>'DOE25'!J12</f>
        <v>37504.14</v>
      </c>
      <c r="H11" s="13">
        <f t="shared" si="0"/>
        <v>1399648.88</v>
      </c>
      <c r="I11" s="90"/>
    </row>
    <row r="12" spans="1:9" x14ac:dyDescent="0.2">
      <c r="A12" s="1" t="s">
        <v>143</v>
      </c>
      <c r="B12" s="6">
        <v>140</v>
      </c>
      <c r="C12" s="73">
        <f>'DOE25'!F13</f>
        <v>0</v>
      </c>
      <c r="D12" s="73">
        <f>'DOE25'!G13</f>
        <v>549082.11</v>
      </c>
      <c r="E12" s="73">
        <f>'DOE25'!H13</f>
        <v>8116273.2400000002</v>
      </c>
      <c r="F12" s="73">
        <f>'DOE25'!I13</f>
        <v>0</v>
      </c>
      <c r="G12" s="73">
        <f>'DOE25'!J13</f>
        <v>0</v>
      </c>
      <c r="H12" s="13">
        <f t="shared" si="0"/>
        <v>8665355.3499999996</v>
      </c>
      <c r="I12" s="90"/>
    </row>
    <row r="13" spans="1:9" x14ac:dyDescent="0.2">
      <c r="A13" s="1" t="s">
        <v>144</v>
      </c>
      <c r="B13" s="6">
        <v>150</v>
      </c>
      <c r="C13" s="73">
        <f>'DOE25'!F14</f>
        <v>0</v>
      </c>
      <c r="D13" s="73">
        <f>'DOE25'!G14</f>
        <v>0</v>
      </c>
      <c r="E13" s="73">
        <f>'DOE25'!H14</f>
        <v>53388.53</v>
      </c>
      <c r="F13" s="73">
        <f>'DOE25'!I14</f>
        <v>0</v>
      </c>
      <c r="G13" s="73">
        <f>'DOE25'!J14</f>
        <v>0</v>
      </c>
      <c r="H13" s="13">
        <f t="shared" si="0"/>
        <v>53388.53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1911226.85</v>
      </c>
      <c r="E18" s="38">
        <f>SUM(E8:E17)</f>
        <v>8169661.7700000005</v>
      </c>
      <c r="F18" s="38">
        <f>SUM(F8:F17)</f>
        <v>0</v>
      </c>
      <c r="G18" s="38">
        <f>SUM(G8:G17)</f>
        <v>9911043.8800000008</v>
      </c>
      <c r="H18" s="38">
        <f t="shared" si="0"/>
        <v>19991932.5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3803554.09</v>
      </c>
      <c r="F21" s="73">
        <f>'DOE25'!I22</f>
        <v>9109624.0700000003</v>
      </c>
      <c r="G21" s="73">
        <f>'DOE25'!J22</f>
        <v>218104.39</v>
      </c>
      <c r="H21" s="13">
        <f t="shared" ref="H21:H31" si="1">SUM(C21:G21)</f>
        <v>13131282.550000001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14525.5</v>
      </c>
      <c r="F23" s="73">
        <f>'DOE25'!I24</f>
        <v>0</v>
      </c>
      <c r="G23" s="73">
        <f>'DOE25'!J24</f>
        <v>0</v>
      </c>
      <c r="H23" s="13">
        <f t="shared" si="1"/>
        <v>14525.5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719.07</v>
      </c>
      <c r="E27" s="73">
        <f>'DOE25'!H28</f>
        <v>753575.05</v>
      </c>
      <c r="F27" s="73">
        <f>'DOE25'!I28</f>
        <v>0</v>
      </c>
      <c r="G27" s="23" t="s">
        <v>288</v>
      </c>
      <c r="H27" s="13">
        <f t="shared" si="1"/>
        <v>754294.12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10325</v>
      </c>
      <c r="F29" s="73">
        <f>'DOE25'!I30</f>
        <v>0</v>
      </c>
      <c r="G29" s="23" t="s">
        <v>288</v>
      </c>
      <c r="H29" s="13">
        <f t="shared" si="1"/>
        <v>10325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719.07</v>
      </c>
      <c r="E31" s="38">
        <f>SUM(E21:E30)</f>
        <v>4581979.6399999997</v>
      </c>
      <c r="F31" s="38">
        <f>SUM(F21:F30)</f>
        <v>9109624.0700000003</v>
      </c>
      <c r="G31" s="38">
        <f>SUM(G21:G30)</f>
        <v>218104.39</v>
      </c>
      <c r="H31" s="38">
        <f t="shared" si="1"/>
        <v>13910427.170000002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7115169.29</v>
      </c>
      <c r="H36" s="13">
        <f t="shared" si="2"/>
        <v>7115169.29</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401910.13</v>
      </c>
      <c r="H38" s="13">
        <f t="shared" si="2"/>
        <v>401910.13</v>
      </c>
      <c r="I38" s="90"/>
    </row>
    <row r="39" spans="1:9" x14ac:dyDescent="0.2">
      <c r="A39" s="1" t="s">
        <v>860</v>
      </c>
      <c r="B39" s="6"/>
      <c r="C39" s="23" t="s">
        <v>288</v>
      </c>
      <c r="D39" s="73">
        <f>'DOE25'!G40</f>
        <v>1862094.96</v>
      </c>
      <c r="E39" s="23" t="s">
        <v>288</v>
      </c>
      <c r="F39" s="23" t="s">
        <v>288</v>
      </c>
      <c r="G39" s="23" t="s">
        <v>288</v>
      </c>
      <c r="H39" s="13">
        <f t="shared" si="2"/>
        <v>1862094.96</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-7926470.9800000004</v>
      </c>
      <c r="F47" s="73">
        <f>'DOE25'!I48</f>
        <v>-28053776.190000001</v>
      </c>
      <c r="G47" s="73">
        <f>'DOE25'!J48</f>
        <v>2173400.7800000003</v>
      </c>
      <c r="H47" s="13">
        <f t="shared" si="2"/>
        <v>-33806846.390000001</v>
      </c>
      <c r="I47" s="90"/>
    </row>
    <row r="48" spans="1:9" x14ac:dyDescent="0.2">
      <c r="A48" s="1" t="s">
        <v>881</v>
      </c>
      <c r="B48" s="6">
        <v>753</v>
      </c>
      <c r="C48" s="73">
        <f>'DOE25'!F49</f>
        <v>0</v>
      </c>
      <c r="D48" s="73">
        <f>'DOE25'!G49</f>
        <v>48412.82</v>
      </c>
      <c r="E48" s="73">
        <f>'DOE25'!H49</f>
        <v>11514153.109999999</v>
      </c>
      <c r="F48" s="73">
        <f>'DOE25'!I49</f>
        <v>18944152.120000001</v>
      </c>
      <c r="G48" s="73">
        <f>'DOE25'!J49</f>
        <v>2459.29</v>
      </c>
      <c r="H48" s="13">
        <f t="shared" si="2"/>
        <v>30509177.34</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0</v>
      </c>
      <c r="D50" s="38">
        <f>SUM(D34:D49)</f>
        <v>1910507.78</v>
      </c>
      <c r="E50" s="38">
        <f>SUM(E34:E49)</f>
        <v>3587682.129999999</v>
      </c>
      <c r="F50" s="38">
        <f>SUM(F34:F49)</f>
        <v>-9109624.0700000003</v>
      </c>
      <c r="G50" s="38">
        <f>SUM(G34:G49)</f>
        <v>9692939.4899999984</v>
      </c>
      <c r="H50" s="38">
        <f t="shared" si="2"/>
        <v>6081505.3299999973</v>
      </c>
      <c r="I50" s="90"/>
    </row>
    <row r="51" spans="1:9" ht="12" thickTop="1" x14ac:dyDescent="0.2">
      <c r="A51" s="35" t="s">
        <v>884</v>
      </c>
      <c r="B51" s="2"/>
      <c r="C51" s="38">
        <f>C50+C31</f>
        <v>0</v>
      </c>
      <c r="D51" s="38">
        <f>D50+D31</f>
        <v>1911226.85</v>
      </c>
      <c r="E51" s="38">
        <f>E50+E31</f>
        <v>8169661.7699999986</v>
      </c>
      <c r="F51" s="38">
        <f>F50+F31</f>
        <v>0</v>
      </c>
      <c r="G51" s="38">
        <f>G50+G31</f>
        <v>9911043.879999999</v>
      </c>
      <c r="H51" s="38">
        <f t="shared" si="2"/>
        <v>19991932.5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111651181.8</v>
      </c>
      <c r="D56" s="73">
        <f>'DOE25'!G60</f>
        <v>0</v>
      </c>
      <c r="E56" s="73">
        <f>'DOE25'!H60</f>
        <v>0</v>
      </c>
      <c r="F56" s="73">
        <f>'DOE25'!I60</f>
        <v>0</v>
      </c>
      <c r="G56" s="73">
        <f>'DOE25'!J60</f>
        <v>0</v>
      </c>
      <c r="H56" s="13">
        <f t="shared" ref="H56:H63" si="3">SUM(C56:G56)</f>
        <v>111651181.8</v>
      </c>
      <c r="I56"/>
    </row>
    <row r="57" spans="1:9" x14ac:dyDescent="0.2">
      <c r="A57" s="1" t="s">
        <v>164</v>
      </c>
      <c r="B57" s="6" t="s">
        <v>165</v>
      </c>
      <c r="C57" s="73">
        <f>'DOE25'!F79</f>
        <v>27909.32</v>
      </c>
      <c r="D57" s="23" t="s">
        <v>288</v>
      </c>
      <c r="E57" s="73">
        <f>'DOE25'!H79</f>
        <v>1114809.8500000001</v>
      </c>
      <c r="F57" s="23" t="s">
        <v>288</v>
      </c>
      <c r="G57" s="23" t="s">
        <v>288</v>
      </c>
      <c r="H57" s="13">
        <f t="shared" si="3"/>
        <v>1142719.1700000002</v>
      </c>
      <c r="I57"/>
    </row>
    <row r="58" spans="1:9" x14ac:dyDescent="0.2">
      <c r="A58" s="1" t="s">
        <v>166</v>
      </c>
      <c r="B58" s="6" t="s">
        <v>167</v>
      </c>
      <c r="C58" s="73">
        <f>'DOE25'!F94</f>
        <v>69071.75</v>
      </c>
      <c r="D58" s="23" t="s">
        <v>288</v>
      </c>
      <c r="E58" s="73">
        <f>'DOE25'!H94</f>
        <v>0</v>
      </c>
      <c r="F58" s="23" t="s">
        <v>288</v>
      </c>
      <c r="G58" s="23" t="s">
        <v>288</v>
      </c>
      <c r="H58" s="13">
        <f t="shared" si="3"/>
        <v>69071.75</v>
      </c>
      <c r="I58"/>
    </row>
    <row r="59" spans="1:9" x14ac:dyDescent="0.2">
      <c r="A59" s="1" t="s">
        <v>168</v>
      </c>
      <c r="B59" s="6" t="s">
        <v>169</v>
      </c>
      <c r="C59" s="73">
        <f>'DOE25'!F96</f>
        <v>0</v>
      </c>
      <c r="D59" s="73">
        <f>'DOE25'!G96</f>
        <v>0</v>
      </c>
      <c r="E59" s="73">
        <f>'DOE25'!H96</f>
        <v>0</v>
      </c>
      <c r="F59" s="73">
        <f>'DOE25'!I96</f>
        <v>0</v>
      </c>
      <c r="G59" s="73">
        <f>'DOE25'!J96</f>
        <v>655744.99</v>
      </c>
      <c r="H59" s="13">
        <f t="shared" si="3"/>
        <v>655744.99</v>
      </c>
      <c r="I59"/>
    </row>
    <row r="60" spans="1:9" x14ac:dyDescent="0.2">
      <c r="A60" s="1" t="s">
        <v>170</v>
      </c>
      <c r="B60" s="22" t="s">
        <v>171</v>
      </c>
      <c r="C60" s="23" t="s">
        <v>288</v>
      </c>
      <c r="D60" s="73">
        <f>'DOE25'!G97</f>
        <v>1602361.46</v>
      </c>
      <c r="E60" s="23" t="s">
        <v>288</v>
      </c>
      <c r="F60" s="23" t="s">
        <v>288</v>
      </c>
      <c r="G60" s="23" t="s">
        <v>288</v>
      </c>
      <c r="H60" s="13">
        <f t="shared" si="3"/>
        <v>1602361.46</v>
      </c>
      <c r="I60"/>
    </row>
    <row r="61" spans="1:9" ht="12" thickBot="1" x14ac:dyDescent="0.25">
      <c r="A61" s="1" t="s">
        <v>172</v>
      </c>
      <c r="B61" s="22" t="s">
        <v>173</v>
      </c>
      <c r="C61" s="73">
        <f>SUM('DOE25'!F98:F110)</f>
        <v>121242.37999999999</v>
      </c>
      <c r="D61" s="73">
        <f>SUM('DOE25'!G98:G110)</f>
        <v>73159.98</v>
      </c>
      <c r="E61" s="73">
        <f>SUM('DOE25'!H98:H110)</f>
        <v>452825.18000000005</v>
      </c>
      <c r="F61" s="73">
        <f>SUM('DOE25'!I98:I110)</f>
        <v>0</v>
      </c>
      <c r="G61" s="73">
        <f>SUM('DOE25'!J98:J110)</f>
        <v>341298.89</v>
      </c>
      <c r="H61" s="13">
        <f t="shared" si="3"/>
        <v>988526.43</v>
      </c>
      <c r="I61"/>
    </row>
    <row r="62" spans="1:9" ht="12.75" thickTop="1" thickBot="1" x14ac:dyDescent="0.25">
      <c r="A62" s="28" t="s">
        <v>174</v>
      </c>
      <c r="B62" s="6"/>
      <c r="C62" s="93">
        <f>SUM(C57:C61)</f>
        <v>218223.45</v>
      </c>
      <c r="D62" s="93">
        <f>SUM(D57:D61)</f>
        <v>1675521.44</v>
      </c>
      <c r="E62" s="93">
        <f>SUM(E57:E61)</f>
        <v>1567635.0300000003</v>
      </c>
      <c r="F62" s="93">
        <f>SUM(F57:F61)</f>
        <v>0</v>
      </c>
      <c r="G62" s="93">
        <f>SUM(G57:G61)</f>
        <v>997043.88</v>
      </c>
      <c r="H62" s="13">
        <f t="shared" si="3"/>
        <v>4458423.8</v>
      </c>
      <c r="I62"/>
    </row>
    <row r="63" spans="1:9" ht="12" thickTop="1" x14ac:dyDescent="0.2">
      <c r="A63" s="28" t="s">
        <v>175</v>
      </c>
      <c r="B63" s="6"/>
      <c r="C63" s="21">
        <f>C56+C62</f>
        <v>111869405.25</v>
      </c>
      <c r="D63" s="21">
        <f>D56+D62</f>
        <v>1675521.44</v>
      </c>
      <c r="E63" s="21">
        <f>E56+E62</f>
        <v>1567635.0300000003</v>
      </c>
      <c r="F63" s="21">
        <f>F56+F62</f>
        <v>0</v>
      </c>
      <c r="G63" s="21">
        <f>G56+G62</f>
        <v>997043.88</v>
      </c>
      <c r="H63" s="13">
        <f t="shared" si="3"/>
        <v>116109605.59999999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43859834.840000004</v>
      </c>
      <c r="D66" s="23" t="s">
        <v>288</v>
      </c>
      <c r="E66" s="23" t="s">
        <v>288</v>
      </c>
      <c r="F66" s="23" t="s">
        <v>288</v>
      </c>
      <c r="G66" s="23" t="s">
        <v>288</v>
      </c>
      <c r="H66" s="13">
        <f t="shared" ref="H66:H81" si="4">SUM(C66:G66)</f>
        <v>43859834.840000004</v>
      </c>
      <c r="I66"/>
    </row>
    <row r="67" spans="1:9" x14ac:dyDescent="0.2">
      <c r="A67" s="1" t="s">
        <v>770</v>
      </c>
      <c r="B67" s="6">
        <v>3112</v>
      </c>
      <c r="C67" s="73">
        <f>'DOE25'!F118</f>
        <v>14985367</v>
      </c>
      <c r="D67" s="23"/>
      <c r="E67" s="23"/>
      <c r="F67" s="23"/>
      <c r="G67" s="23"/>
      <c r="H67" s="13">
        <f t="shared" si="4"/>
        <v>14985367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1147344.51</v>
      </c>
      <c r="D69" s="73">
        <f>'DOE25'!G120</f>
        <v>0</v>
      </c>
      <c r="E69" s="73">
        <f>'DOE25'!H120</f>
        <v>0</v>
      </c>
      <c r="F69" s="73">
        <f>'DOE25'!I120</f>
        <v>0</v>
      </c>
      <c r="G69" s="73">
        <f>'DOE25'!J120</f>
        <v>0</v>
      </c>
      <c r="H69" s="13">
        <f t="shared" si="4"/>
        <v>1147344.51</v>
      </c>
      <c r="I69"/>
    </row>
    <row r="70" spans="1:9" ht="12" thickTop="1" x14ac:dyDescent="0.2">
      <c r="A70" s="28" t="s">
        <v>252</v>
      </c>
      <c r="B70" s="2"/>
      <c r="C70" s="97">
        <f>SUM(C66:C69)</f>
        <v>59992546.350000001</v>
      </c>
      <c r="D70" s="97">
        <f>D69</f>
        <v>0</v>
      </c>
      <c r="E70" s="97">
        <f>E69</f>
        <v>0</v>
      </c>
      <c r="F70" s="97">
        <f>F69</f>
        <v>0</v>
      </c>
      <c r="G70" s="97">
        <f>G69</f>
        <v>0</v>
      </c>
      <c r="H70" s="13">
        <f t="shared" si="4"/>
        <v>59992546.350000001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1255189.99</v>
      </c>
      <c r="D72" s="23" t="s">
        <v>288</v>
      </c>
      <c r="E72" s="23" t="s">
        <v>288</v>
      </c>
      <c r="F72" s="73">
        <f>'DOE25'!I123</f>
        <v>0</v>
      </c>
      <c r="G72" s="23" t="s">
        <v>288</v>
      </c>
      <c r="H72" s="13">
        <f t="shared" si="4"/>
        <v>1255189.99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1028996.8</v>
      </c>
      <c r="D75" s="23" t="s">
        <v>288</v>
      </c>
      <c r="E75" s="23" t="s">
        <v>288</v>
      </c>
      <c r="F75" s="23" t="s">
        <v>288</v>
      </c>
      <c r="G75" s="23" t="s">
        <v>288</v>
      </c>
      <c r="H75" s="13">
        <f t="shared" si="4"/>
        <v>1028996.8</v>
      </c>
      <c r="I75"/>
    </row>
    <row r="76" spans="1:9" x14ac:dyDescent="0.2">
      <c r="A76" s="1" t="s">
        <v>257</v>
      </c>
      <c r="B76" s="6" t="s">
        <v>179</v>
      </c>
      <c r="C76" s="73">
        <f>SUM('DOE25'!F127:F130)</f>
        <v>222372.1</v>
      </c>
      <c r="D76" s="23" t="s">
        <v>288</v>
      </c>
      <c r="E76" s="73">
        <f>SUM('DOE25'!H127:H130)</f>
        <v>4342</v>
      </c>
      <c r="F76" s="73">
        <f>SUM('DOE25'!I127:I130)</f>
        <v>0</v>
      </c>
      <c r="G76" s="23" t="s">
        <v>288</v>
      </c>
      <c r="H76" s="13">
        <f t="shared" si="4"/>
        <v>226714.1</v>
      </c>
      <c r="I76"/>
    </row>
    <row r="77" spans="1:9" ht="12" thickBot="1" x14ac:dyDescent="0.25">
      <c r="A77" s="1" t="s">
        <v>258</v>
      </c>
      <c r="B77" s="6" t="s">
        <v>180</v>
      </c>
      <c r="C77" s="73">
        <f>SUM('DOE25'!F131:F135)</f>
        <v>0</v>
      </c>
      <c r="D77" s="73">
        <f>SUM('DOE25'!G131:G135)</f>
        <v>73990.84</v>
      </c>
      <c r="E77" s="73">
        <f>SUM('DOE25'!H131:H135)</f>
        <v>311065.13</v>
      </c>
      <c r="F77" s="73">
        <f>SUM('DOE25'!I131:I135)</f>
        <v>0</v>
      </c>
      <c r="G77" s="73">
        <f>SUM('DOE25'!J131:J135)</f>
        <v>0</v>
      </c>
      <c r="H77" s="13">
        <f t="shared" si="4"/>
        <v>385055.97</v>
      </c>
      <c r="I77"/>
    </row>
    <row r="78" spans="1:9" ht="12.75" thickTop="1" thickBot="1" x14ac:dyDescent="0.25">
      <c r="A78" s="28" t="s">
        <v>259</v>
      </c>
      <c r="B78" s="6"/>
      <c r="C78" s="93">
        <f>SUM(C72:C77)</f>
        <v>2506558.89</v>
      </c>
      <c r="D78" s="93">
        <f>SUM(D72:D77)</f>
        <v>73990.84</v>
      </c>
      <c r="E78" s="93">
        <f>SUM(E72:E77)</f>
        <v>315407.13</v>
      </c>
      <c r="F78" s="93">
        <f>SUM(F72:F77)</f>
        <v>0</v>
      </c>
      <c r="G78" s="93">
        <f>SUM(G72:G77)</f>
        <v>0</v>
      </c>
      <c r="H78" s="13">
        <f t="shared" si="4"/>
        <v>2895956.86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62499105.240000002</v>
      </c>
      <c r="D81" s="93">
        <f>SUM(D79:D80)+D78+D70</f>
        <v>73990.84</v>
      </c>
      <c r="E81" s="93">
        <f>SUM(E79:E80)+E78+E70</f>
        <v>315407.13</v>
      </c>
      <c r="F81" s="93">
        <f>SUM(F79:F80)+F78+F70</f>
        <v>0</v>
      </c>
      <c r="G81" s="93">
        <f>SUM(G79:G80)+G78+G70</f>
        <v>0</v>
      </c>
      <c r="H81" s="93">
        <f t="shared" si="4"/>
        <v>62888503.210000008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1119095.51</v>
      </c>
      <c r="D88" s="253">
        <f>SUM('DOE25'!G153:G162)</f>
        <v>3068517.84</v>
      </c>
      <c r="E88" s="253">
        <f>SUM('DOE25'!H153:H162)</f>
        <v>31801254.409999996</v>
      </c>
      <c r="F88" s="253">
        <f>SUM('DOE25'!I153:I162)</f>
        <v>0</v>
      </c>
      <c r="G88" s="23" t="s">
        <v>288</v>
      </c>
      <c r="H88" s="13">
        <f t="shared" si="5"/>
        <v>35988867.759999998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1119095.51</v>
      </c>
      <c r="D91" s="94">
        <f>SUM(D85:D90)</f>
        <v>3068517.84</v>
      </c>
      <c r="E91" s="94">
        <f>SUM(E85:E90)</f>
        <v>31801254.409999996</v>
      </c>
      <c r="F91" s="94">
        <f>SUM(F85:F90)</f>
        <v>0</v>
      </c>
      <c r="G91" s="23" t="s">
        <v>288</v>
      </c>
      <c r="H91" s="13">
        <f t="shared" si="5"/>
        <v>35988867.759999998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35000000</v>
      </c>
      <c r="G93" s="23" t="s">
        <v>288</v>
      </c>
      <c r="H93" s="13">
        <f t="shared" si="5"/>
        <v>35000000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100000</v>
      </c>
      <c r="D100" s="73">
        <f>SUM('DOE25'!G187:G188)</f>
        <v>0</v>
      </c>
      <c r="E100" s="73">
        <f>SUM('DOE25'!H187:H188)</f>
        <v>0</v>
      </c>
      <c r="F100" s="73">
        <f>SUM('DOE25'!I187:I188)</f>
        <v>0</v>
      </c>
      <c r="G100" s="23" t="s">
        <v>288</v>
      </c>
      <c r="H100" s="13">
        <f t="shared" si="5"/>
        <v>100000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100000</v>
      </c>
      <c r="D103" s="68">
        <f>SUM(D93:D102)</f>
        <v>0</v>
      </c>
      <c r="E103" s="68">
        <f>SUM(E93:E102)</f>
        <v>0</v>
      </c>
      <c r="F103" s="68">
        <f>SUM(F93:F102)</f>
        <v>35000000</v>
      </c>
      <c r="G103" s="68">
        <f>SUM(G93:G102)</f>
        <v>0</v>
      </c>
      <c r="H103" s="68">
        <f t="shared" si="5"/>
        <v>35100000</v>
      </c>
    </row>
    <row r="104" spans="1:8" ht="12.75" thickTop="1" thickBot="1" x14ac:dyDescent="0.25">
      <c r="A104" s="32" t="s">
        <v>761</v>
      </c>
      <c r="C104" s="68">
        <f>C63+C81+C91+C103</f>
        <v>175587606</v>
      </c>
      <c r="D104" s="68">
        <f>D63+D81+D91+D103</f>
        <v>4818030.12</v>
      </c>
      <c r="E104" s="68">
        <f>E63+E81+E91+E103</f>
        <v>33684296.569999993</v>
      </c>
      <c r="F104" s="68">
        <f>F63+F81+F91+F103</f>
        <v>35000000</v>
      </c>
      <c r="G104" s="68">
        <f>G63+G81+G103</f>
        <v>997043.88</v>
      </c>
      <c r="H104" s="68">
        <f t="shared" si="5"/>
        <v>250086976.56999999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66626070.07</v>
      </c>
      <c r="D109" s="23" t="s">
        <v>288</v>
      </c>
      <c r="E109" s="73">
        <f>('DOE25'!L277)+('DOE25'!L296)+('DOE25'!L315)</f>
        <v>4984719.66</v>
      </c>
      <c r="F109" s="23" t="s">
        <v>288</v>
      </c>
      <c r="G109" s="23" t="s">
        <v>288</v>
      </c>
      <c r="H109" s="13">
        <f t="shared" ref="H109:H115" si="6">SUM(C109:G109)</f>
        <v>71610789.730000004</v>
      </c>
    </row>
    <row r="110" spans="1:8" x14ac:dyDescent="0.2">
      <c r="A110" t="s">
        <v>198</v>
      </c>
      <c r="B110" s="31" t="s">
        <v>199</v>
      </c>
      <c r="C110" s="73">
        <f>('DOE25'!L199)+('DOE25'!L217)+('DOE25'!L235)</f>
        <v>29517725.959999993</v>
      </c>
      <c r="D110" s="23" t="s">
        <v>288</v>
      </c>
      <c r="E110" s="73">
        <f>('DOE25'!L278)+('DOE25'!L297)+('DOE25'!L316)</f>
        <v>7546766.4199999999</v>
      </c>
      <c r="F110" s="23" t="s">
        <v>288</v>
      </c>
      <c r="G110" s="23" t="s">
        <v>288</v>
      </c>
      <c r="H110" s="13">
        <f t="shared" si="6"/>
        <v>37064492.379999995</v>
      </c>
    </row>
    <row r="111" spans="1:8" x14ac:dyDescent="0.2">
      <c r="A111" t="s">
        <v>200</v>
      </c>
      <c r="B111" s="31" t="s">
        <v>165</v>
      </c>
      <c r="C111" s="73">
        <f>('DOE25'!L200)+('DOE25'!L218)+('DOE25'!L236)</f>
        <v>5662699.0299999993</v>
      </c>
      <c r="D111" s="23" t="s">
        <v>288</v>
      </c>
      <c r="E111" s="73">
        <f>('DOE25'!L279)+('DOE25'!L298)+('DOE25'!L317)</f>
        <v>477572.73999999993</v>
      </c>
      <c r="F111" s="23" t="s">
        <v>288</v>
      </c>
      <c r="G111" s="23" t="s">
        <v>288</v>
      </c>
      <c r="H111" s="13">
        <f t="shared" si="6"/>
        <v>6140271.7699999996</v>
      </c>
    </row>
    <row r="112" spans="1:8" x14ac:dyDescent="0.2">
      <c r="A112" t="s">
        <v>201</v>
      </c>
      <c r="B112" s="31" t="s">
        <v>167</v>
      </c>
      <c r="C112" s="73">
        <f>('DOE25'!L201)+('DOE25'!L219)+('DOE25'!L237)</f>
        <v>1161134.01</v>
      </c>
      <c r="D112" s="23" t="s">
        <v>288</v>
      </c>
      <c r="E112" s="73">
        <f>+('DOE25'!L280)+('DOE25'!L299)+('DOE25'!L318)</f>
        <v>1792795.45</v>
      </c>
      <c r="F112" s="23" t="s">
        <v>288</v>
      </c>
      <c r="G112" s="23" t="s">
        <v>288</v>
      </c>
      <c r="H112" s="13">
        <f t="shared" si="6"/>
        <v>2953929.46</v>
      </c>
    </row>
    <row r="113" spans="1:8" x14ac:dyDescent="0.2">
      <c r="A113" t="s">
        <v>202</v>
      </c>
      <c r="B113" s="31" t="s">
        <v>169</v>
      </c>
      <c r="C113" s="73">
        <f>'DOE25'!L251</f>
        <v>0</v>
      </c>
      <c r="D113" s="23" t="s">
        <v>288</v>
      </c>
      <c r="E113" s="73">
        <f>+'DOE25'!L333</f>
        <v>105337.09</v>
      </c>
      <c r="F113" s="23" t="s">
        <v>288</v>
      </c>
      <c r="G113" s="23" t="s">
        <v>288</v>
      </c>
      <c r="H113" s="13">
        <f t="shared" si="6"/>
        <v>105337.09</v>
      </c>
    </row>
    <row r="114" spans="1:8" ht="12" thickBot="1" x14ac:dyDescent="0.25">
      <c r="A114" t="s">
        <v>203</v>
      </c>
      <c r="B114" s="31" t="s">
        <v>204</v>
      </c>
      <c r="C114" s="73">
        <f>SUM('DOE25'!L252:L254)</f>
        <v>77265.42</v>
      </c>
      <c r="D114" s="23" t="s">
        <v>288</v>
      </c>
      <c r="E114" s="73">
        <f>+ SUM('DOE25'!L334:L336)</f>
        <v>166534.87</v>
      </c>
      <c r="F114" s="23" t="s">
        <v>288</v>
      </c>
      <c r="G114" s="23" t="s">
        <v>288</v>
      </c>
      <c r="H114" s="13">
        <f t="shared" si="6"/>
        <v>243800.28999999998</v>
      </c>
    </row>
    <row r="115" spans="1:8" ht="12.75" thickTop="1" thickBot="1" x14ac:dyDescent="0.25">
      <c r="A115" s="32" t="s">
        <v>205</v>
      </c>
      <c r="C115" s="68">
        <f>SUM(C109:C114)</f>
        <v>103044894.49000001</v>
      </c>
      <c r="D115" s="68">
        <f>SUM(D109:D114)</f>
        <v>0</v>
      </c>
      <c r="E115" s="68">
        <f>SUM(E109:E114)</f>
        <v>15073726.229999999</v>
      </c>
      <c r="F115" s="68">
        <f>SUM(F109:F114)</f>
        <v>0</v>
      </c>
      <c r="G115" s="68">
        <f>SUM(G109:G114)</f>
        <v>0</v>
      </c>
      <c r="H115" s="68">
        <f t="shared" si="6"/>
        <v>118118620.72000001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16970408.34</v>
      </c>
      <c r="D118" s="23" t="s">
        <v>288</v>
      </c>
      <c r="E118" s="73">
        <f>+('DOE25'!L282)+('DOE25'!L301)+('DOE25'!L320)</f>
        <v>2701657.1900000004</v>
      </c>
      <c r="F118" s="23" t="s">
        <v>288</v>
      </c>
      <c r="G118" s="23" t="s">
        <v>288</v>
      </c>
      <c r="H118" s="13">
        <f t="shared" ref="H118:H145" si="7">SUM(C118:G118)</f>
        <v>19672065.530000001</v>
      </c>
    </row>
    <row r="119" spans="1:8" x14ac:dyDescent="0.2">
      <c r="A119" t="s">
        <v>208</v>
      </c>
      <c r="B119" s="31" t="s">
        <v>209</v>
      </c>
      <c r="C119" s="73">
        <f>('DOE25'!L204)+('DOE25'!L222)+('DOE25'!L240)</f>
        <v>6238206.0899999989</v>
      </c>
      <c r="D119" s="23" t="s">
        <v>288</v>
      </c>
      <c r="E119" s="73">
        <f>+('DOE25'!L283)+('DOE25'!L302)+('DOE25'!L321)</f>
        <v>4442127.82</v>
      </c>
      <c r="F119" s="23" t="s">
        <v>288</v>
      </c>
      <c r="G119" s="23" t="s">
        <v>288</v>
      </c>
      <c r="H119" s="13">
        <f t="shared" si="7"/>
        <v>10680333.91</v>
      </c>
    </row>
    <row r="120" spans="1:8" x14ac:dyDescent="0.2">
      <c r="A120" t="s">
        <v>210</v>
      </c>
      <c r="B120" s="31" t="s">
        <v>211</v>
      </c>
      <c r="C120" s="73">
        <f>('DOE25'!L205)+('DOE25'!L223)+('DOE25'!L241)</f>
        <v>3979273.9999999995</v>
      </c>
      <c r="D120" s="23" t="s">
        <v>288</v>
      </c>
      <c r="E120" s="73">
        <f>+('DOE25'!L284)+('DOE25'!L303)+('DOE25'!L322)</f>
        <v>132443.12</v>
      </c>
      <c r="F120" s="23" t="s">
        <v>288</v>
      </c>
      <c r="G120" s="23" t="s">
        <v>288</v>
      </c>
      <c r="H120" s="13">
        <f t="shared" si="7"/>
        <v>4111717.1199999996</v>
      </c>
    </row>
    <row r="121" spans="1:8" x14ac:dyDescent="0.2">
      <c r="A121" t="s">
        <v>212</v>
      </c>
      <c r="B121" s="31" t="s">
        <v>213</v>
      </c>
      <c r="C121" s="73">
        <f>('DOE25'!L206)+('DOE25'!L224)+('DOE25'!L242)</f>
        <v>8139020.6900000004</v>
      </c>
      <c r="D121" s="23" t="s">
        <v>288</v>
      </c>
      <c r="E121" s="73">
        <f>+('DOE25'!L285)+('DOE25'!L304)+('DOE25'!L323)</f>
        <v>1821881.0300000003</v>
      </c>
      <c r="F121" s="23" t="s">
        <v>288</v>
      </c>
      <c r="G121" s="23" t="s">
        <v>288</v>
      </c>
      <c r="H121" s="13">
        <f t="shared" si="7"/>
        <v>9960901.7200000007</v>
      </c>
    </row>
    <row r="122" spans="1:8" x14ac:dyDescent="0.2">
      <c r="A122" t="s">
        <v>214</v>
      </c>
      <c r="B122" s="31" t="s">
        <v>215</v>
      </c>
      <c r="C122" s="73">
        <f>('DOE25'!L207)+('DOE25'!L225)+('DOE25'!L243)</f>
        <v>1015248</v>
      </c>
      <c r="D122" s="23" t="s">
        <v>288</v>
      </c>
      <c r="E122" s="73">
        <f>+('DOE25'!L286)+('DOE25'!L305)+('DOE25'!L324)</f>
        <v>704725.32999999984</v>
      </c>
      <c r="F122" s="23" t="s">
        <v>288</v>
      </c>
      <c r="G122" s="23" t="s">
        <v>288</v>
      </c>
      <c r="H122" s="13">
        <f t="shared" si="7"/>
        <v>1719973.3299999998</v>
      </c>
    </row>
    <row r="123" spans="1:8" x14ac:dyDescent="0.2">
      <c r="A123" t="s">
        <v>216</v>
      </c>
      <c r="B123" s="31" t="s">
        <v>217</v>
      </c>
      <c r="C123" s="73">
        <f>('DOE25'!L208)+('DOE25'!L226)+('DOE25'!L244)</f>
        <v>16575097.4</v>
      </c>
      <c r="D123" s="23" t="s">
        <v>288</v>
      </c>
      <c r="E123" s="73">
        <f>+('DOE25'!L287)+('DOE25'!L306)+('DOE25'!L325)</f>
        <v>253108.65</v>
      </c>
      <c r="F123" s="23" t="s">
        <v>288</v>
      </c>
      <c r="G123" s="23" t="s">
        <v>288</v>
      </c>
      <c r="H123" s="13">
        <f t="shared" si="7"/>
        <v>16828206.050000001</v>
      </c>
    </row>
    <row r="124" spans="1:8" x14ac:dyDescent="0.2">
      <c r="A124" t="s">
        <v>218</v>
      </c>
      <c r="B124" s="31" t="s">
        <v>219</v>
      </c>
      <c r="C124" s="73">
        <f>('DOE25'!L209)+('DOE25'!L227)+('DOE25'!L245+'DOE25'!L255)</f>
        <v>8155239.2899999991</v>
      </c>
      <c r="D124" s="23" t="s">
        <v>288</v>
      </c>
      <c r="E124" s="73">
        <f>+('DOE25'!L288)+('DOE25'!L307)+('DOE25'!L326)</f>
        <v>271808.15000000002</v>
      </c>
      <c r="F124" s="23" t="s">
        <v>288</v>
      </c>
      <c r="G124" s="23" t="s">
        <v>288</v>
      </c>
      <c r="H124" s="13">
        <f t="shared" si="7"/>
        <v>8427047.4399999995</v>
      </c>
    </row>
    <row r="125" spans="1:8" x14ac:dyDescent="0.2">
      <c r="A125" t="s">
        <v>220</v>
      </c>
      <c r="B125" s="31" t="s">
        <v>221</v>
      </c>
      <c r="C125" s="73">
        <f>('DOE25'!L210)+('DOE25'!L228)+('DOE25'!L246)</f>
        <v>771653.99999999988</v>
      </c>
      <c r="D125" s="23" t="s">
        <v>288</v>
      </c>
      <c r="E125" s="73">
        <f>+('DOE25'!L289)+('DOE25'!L308)+('DOE25'!L327)</f>
        <v>0</v>
      </c>
      <c r="F125" s="23" t="s">
        <v>288</v>
      </c>
      <c r="G125" s="23" t="s">
        <v>288</v>
      </c>
      <c r="H125" s="13">
        <f t="shared" si="7"/>
        <v>771653.99999999988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5051584.58</v>
      </c>
      <c r="E127" s="23" t="s">
        <v>288</v>
      </c>
      <c r="F127" s="23" t="s">
        <v>288</v>
      </c>
      <c r="G127" s="23" t="s">
        <v>288</v>
      </c>
      <c r="H127" s="13">
        <f t="shared" si="7"/>
        <v>5051584.58</v>
      </c>
    </row>
    <row r="128" spans="1:8" ht="12.75" thickTop="1" thickBot="1" x14ac:dyDescent="0.25">
      <c r="A128" s="32" t="s">
        <v>226</v>
      </c>
      <c r="C128" s="68">
        <f>SUM(C118:C127)</f>
        <v>61844147.809999995</v>
      </c>
      <c r="D128" s="68">
        <f>SUM(D118:D127)</f>
        <v>5051584.58</v>
      </c>
      <c r="E128" s="68">
        <f>SUM(E118:E127)</f>
        <v>10327751.290000001</v>
      </c>
      <c r="F128" s="68">
        <f>SUM(F118:F127)</f>
        <v>0</v>
      </c>
      <c r="G128" s="68">
        <f>SUM(G118:G127)</f>
        <v>0</v>
      </c>
      <c r="H128" s="68">
        <f t="shared" si="7"/>
        <v>77223483.679999992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2410655.6999999997</v>
      </c>
      <c r="D130" s="23" t="s">
        <v>288</v>
      </c>
      <c r="E130" s="92">
        <f>'DOE25'!L337</f>
        <v>7333276.6699999999</v>
      </c>
      <c r="F130" s="92">
        <f>SUM('DOE25'!L375:'DOE25'!L381)</f>
        <v>54367772.850000001</v>
      </c>
      <c r="G130" s="23" t="s">
        <v>288</v>
      </c>
      <c r="H130" s="13">
        <f t="shared" si="7"/>
        <v>64111705.219999999</v>
      </c>
    </row>
    <row r="131" spans="1:8" x14ac:dyDescent="0.2">
      <c r="A131" t="s">
        <v>229</v>
      </c>
      <c r="B131" s="31">
        <v>5110</v>
      </c>
      <c r="C131" s="73">
        <f>'DOE25'!L261</f>
        <v>4897000</v>
      </c>
      <c r="D131" s="23" t="s">
        <v>288</v>
      </c>
      <c r="E131" s="92">
        <f>'DOE25'!L342</f>
        <v>0</v>
      </c>
      <c r="F131" s="23" t="s">
        <v>288</v>
      </c>
      <c r="G131" s="23" t="s">
        <v>288</v>
      </c>
      <c r="H131" s="13">
        <f t="shared" si="7"/>
        <v>4897000</v>
      </c>
    </row>
    <row r="132" spans="1:8" x14ac:dyDescent="0.2">
      <c r="A132" t="s">
        <v>230</v>
      </c>
      <c r="B132" s="31">
        <v>5120</v>
      </c>
      <c r="C132" s="73">
        <f>'DOE25'!L262</f>
        <v>3390908</v>
      </c>
      <c r="D132" s="23" t="s">
        <v>288</v>
      </c>
      <c r="E132" s="92">
        <f>'DOE25'!L343</f>
        <v>0</v>
      </c>
      <c r="F132" s="23" t="s">
        <v>288</v>
      </c>
      <c r="G132" s="23" t="s">
        <v>288</v>
      </c>
      <c r="H132" s="13">
        <f t="shared" si="7"/>
        <v>3390908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100000</v>
      </c>
      <c r="H134" s="13">
        <f t="shared" si="7"/>
        <v>100000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18064.3</v>
      </c>
      <c r="D138" s="23" t="s">
        <v>288</v>
      </c>
      <c r="E138" s="23" t="s">
        <v>288</v>
      </c>
      <c r="F138" s="23" t="s">
        <v>288</v>
      </c>
      <c r="G138" s="23" t="s">
        <v>288</v>
      </c>
      <c r="H138" s="13">
        <f t="shared" si="7"/>
        <v>18064.3</v>
      </c>
    </row>
    <row r="139" spans="1:8" x14ac:dyDescent="0.2">
      <c r="A139" t="s">
        <v>239</v>
      </c>
      <c r="B139" s="31">
        <v>5252</v>
      </c>
      <c r="C139" s="73">
        <f>'DOE25'!L402</f>
        <v>319891.23</v>
      </c>
      <c r="D139" s="23" t="s">
        <v>288</v>
      </c>
      <c r="E139" s="23" t="s">
        <v>288</v>
      </c>
      <c r="F139" s="23" t="s">
        <v>288</v>
      </c>
      <c r="G139" s="23" t="s">
        <v>288</v>
      </c>
      <c r="H139" s="13">
        <f t="shared" si="7"/>
        <v>319891.23</v>
      </c>
    </row>
    <row r="140" spans="1:8" x14ac:dyDescent="0.2">
      <c r="A140" t="s">
        <v>240</v>
      </c>
      <c r="B140" s="31">
        <v>5253</v>
      </c>
      <c r="C140" s="73">
        <f>'DOE25'!L408</f>
        <v>659088.35</v>
      </c>
      <c r="D140" s="23" t="s">
        <v>288</v>
      </c>
      <c r="E140" s="23" t="s">
        <v>288</v>
      </c>
      <c r="F140" s="23" t="s">
        <v>288</v>
      </c>
      <c r="G140" s="23" t="s">
        <v>288</v>
      </c>
      <c r="H140" s="13">
        <f t="shared" si="7"/>
        <v>659088.35</v>
      </c>
    </row>
    <row r="141" spans="1:8" x14ac:dyDescent="0.2">
      <c r="A141" t="s">
        <v>762</v>
      </c>
      <c r="B141" s="31">
        <v>5254</v>
      </c>
      <c r="C141" s="73">
        <f>('DOE25'!L267+'DOE25'!K348) - (C138+C139+C140)</f>
        <v>-997043.87999999989</v>
      </c>
      <c r="D141" s="23" t="s">
        <v>288</v>
      </c>
      <c r="E141" s="23" t="s">
        <v>288</v>
      </c>
      <c r="F141" s="23" t="s">
        <v>288</v>
      </c>
      <c r="G141" s="23" t="s">
        <v>288</v>
      </c>
      <c r="H141" s="13">
        <f t="shared" si="7"/>
        <v>-997043.87999999989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10698563.699999999</v>
      </c>
      <c r="D144" s="98">
        <f>SUM(D130:D143)</f>
        <v>0</v>
      </c>
      <c r="E144" s="98">
        <f>SUM(E130:E143)</f>
        <v>7333276.6699999999</v>
      </c>
      <c r="F144" s="98">
        <f>SUM(F130:F143)</f>
        <v>54367772.850000001</v>
      </c>
      <c r="G144" s="98">
        <f>SUM(G130:G143)</f>
        <v>100000</v>
      </c>
      <c r="H144" s="98">
        <f t="shared" si="7"/>
        <v>72499613.219999999</v>
      </c>
    </row>
    <row r="145" spans="1:9" ht="12.75" thickTop="1" thickBot="1" x14ac:dyDescent="0.25">
      <c r="A145" s="32" t="s">
        <v>244</v>
      </c>
      <c r="C145" s="68">
        <f>(C115+C128+C144)</f>
        <v>175587606</v>
      </c>
      <c r="D145" s="68">
        <f>(D115+D128+D144)</f>
        <v>5051584.58</v>
      </c>
      <c r="E145" s="68">
        <f>(E115+E128+E144)</f>
        <v>32734754.189999998</v>
      </c>
      <c r="F145" s="68">
        <f>(F115+F128+F144)</f>
        <v>54367772.850000001</v>
      </c>
      <c r="G145" s="68">
        <f>(G115+G128+G144)</f>
        <v>100000</v>
      </c>
      <c r="H145" s="68">
        <f t="shared" si="7"/>
        <v>267841717.62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t="str">
        <f>'DOE25'!F495</f>
        <v>*SEE SUPPLEMENTAL SCHEDULE*</v>
      </c>
      <c r="C155" s="19">
        <f>'DOE25'!G495</f>
        <v>0</v>
      </c>
      <c r="D155" s="19">
        <f>'DOE25'!H495</f>
        <v>0</v>
      </c>
      <c r="E155" s="19">
        <f>'DOE25'!I495</f>
        <v>0</v>
      </c>
      <c r="F155" s="19">
        <f>'DOE25'!J495</f>
        <v>0</v>
      </c>
      <c r="G155" s="23" t="s">
        <v>288</v>
      </c>
    </row>
    <row r="156" spans="1:9" x14ac:dyDescent="0.2">
      <c r="A156" s="21" t="s">
        <v>32</v>
      </c>
      <c r="B156" s="19">
        <f>'DOE25'!F496</f>
        <v>77908500</v>
      </c>
      <c r="C156" s="19">
        <f>'DOE25'!G496</f>
        <v>0</v>
      </c>
      <c r="D156" s="19">
        <f>'DOE25'!H496</f>
        <v>0</v>
      </c>
      <c r="E156" s="19">
        <f>'DOE25'!I496</f>
        <v>0</v>
      </c>
      <c r="F156" s="19">
        <f>'DOE25'!J496</f>
        <v>0</v>
      </c>
      <c r="G156" s="96">
        <f>SUM(B156:F156)</f>
        <v>77908500</v>
      </c>
    </row>
    <row r="157" spans="1:9" x14ac:dyDescent="0.2">
      <c r="A157" s="21" t="s">
        <v>33</v>
      </c>
      <c r="B157" s="19">
        <f>'DOE25'!F497</f>
        <v>35000000</v>
      </c>
      <c r="C157" s="19">
        <f>'DOE25'!G497</f>
        <v>0</v>
      </c>
      <c r="D157" s="19">
        <f>'DOE25'!H497</f>
        <v>0</v>
      </c>
      <c r="E157" s="19">
        <f>'DOE25'!I497</f>
        <v>0</v>
      </c>
      <c r="F157" s="19">
        <f>'DOE25'!J497</f>
        <v>0</v>
      </c>
      <c r="G157" s="96">
        <f t="shared" ref="G157:G164" si="8">SUM(B157:F157)</f>
        <v>35000000</v>
      </c>
    </row>
    <row r="158" spans="1:9" x14ac:dyDescent="0.2">
      <c r="A158" s="21" t="s">
        <v>34</v>
      </c>
      <c r="B158" s="19">
        <f>'DOE25'!F498</f>
        <v>4897000</v>
      </c>
      <c r="C158" s="19">
        <f>'DOE25'!G498</f>
        <v>0</v>
      </c>
      <c r="D158" s="19">
        <f>'DOE25'!H498</f>
        <v>0</v>
      </c>
      <c r="E158" s="19">
        <f>'DOE25'!I498</f>
        <v>0</v>
      </c>
      <c r="F158" s="19">
        <f>'DOE25'!J498</f>
        <v>0</v>
      </c>
      <c r="G158" s="96">
        <f t="shared" si="8"/>
        <v>4897000</v>
      </c>
    </row>
    <row r="159" spans="1:9" x14ac:dyDescent="0.2">
      <c r="A159" s="21" t="s">
        <v>35</v>
      </c>
      <c r="B159" s="19">
        <f>'DOE25'!F499</f>
        <v>108011500</v>
      </c>
      <c r="C159" s="19">
        <f>'DOE25'!G499</f>
        <v>0</v>
      </c>
      <c r="D159" s="19">
        <f>'DOE25'!H499</f>
        <v>0</v>
      </c>
      <c r="E159" s="19">
        <f>'DOE25'!I499</f>
        <v>0</v>
      </c>
      <c r="F159" s="19">
        <f>'DOE25'!J499</f>
        <v>0</v>
      </c>
      <c r="G159" s="96">
        <f t="shared" si="8"/>
        <v>108011500</v>
      </c>
    </row>
    <row r="160" spans="1:9" x14ac:dyDescent="0.2">
      <c r="A160" s="21" t="s">
        <v>36</v>
      </c>
      <c r="B160" s="19">
        <f>'DOE25'!F500</f>
        <v>45607753</v>
      </c>
      <c r="C160" s="19">
        <f>'DOE25'!G500</f>
        <v>0</v>
      </c>
      <c r="D160" s="19">
        <f>'DOE25'!H500</f>
        <v>0</v>
      </c>
      <c r="E160" s="19">
        <f>'DOE25'!I500</f>
        <v>0</v>
      </c>
      <c r="F160" s="19">
        <f>'DOE25'!J500</f>
        <v>0</v>
      </c>
      <c r="G160" s="96">
        <f t="shared" si="8"/>
        <v>45607753</v>
      </c>
    </row>
    <row r="161" spans="1:7" x14ac:dyDescent="0.2">
      <c r="A161" s="21" t="s">
        <v>37</v>
      </c>
      <c r="B161" s="19">
        <f>'DOE25'!F501</f>
        <v>153619253</v>
      </c>
      <c r="C161" s="19">
        <f>'DOE25'!G501</f>
        <v>0</v>
      </c>
      <c r="D161" s="19">
        <f>'DOE25'!H501</f>
        <v>0</v>
      </c>
      <c r="E161" s="19">
        <f>'DOE25'!I501</f>
        <v>0</v>
      </c>
      <c r="F161" s="19">
        <f>'DOE25'!J501</f>
        <v>0</v>
      </c>
      <c r="G161" s="96">
        <f t="shared" si="8"/>
        <v>153619253</v>
      </c>
    </row>
    <row r="162" spans="1:7" x14ac:dyDescent="0.2">
      <c r="A162" s="21" t="s">
        <v>38</v>
      </c>
      <c r="B162" s="19">
        <f>'DOE25'!F502</f>
        <v>4539500</v>
      </c>
      <c r="C162" s="19">
        <f>'DOE25'!G502</f>
        <v>0</v>
      </c>
      <c r="D162" s="19">
        <f>'DOE25'!H502</f>
        <v>0</v>
      </c>
      <c r="E162" s="19">
        <f>'DOE25'!I502</f>
        <v>0</v>
      </c>
      <c r="F162" s="19">
        <f>'DOE25'!J502</f>
        <v>0</v>
      </c>
      <c r="G162" s="96">
        <f t="shared" si="8"/>
        <v>4539500</v>
      </c>
    </row>
    <row r="163" spans="1:7" x14ac:dyDescent="0.2">
      <c r="A163" s="21" t="s">
        <v>39</v>
      </c>
      <c r="B163" s="19">
        <f>'DOE25'!F503</f>
        <v>4711198</v>
      </c>
      <c r="C163" s="19">
        <f>'DOE25'!G503</f>
        <v>0</v>
      </c>
      <c r="D163" s="19">
        <f>'DOE25'!H503</f>
        <v>0</v>
      </c>
      <c r="E163" s="19">
        <f>'DOE25'!I503</f>
        <v>0</v>
      </c>
      <c r="F163" s="19">
        <f>'DOE25'!J503</f>
        <v>0</v>
      </c>
      <c r="G163" s="96">
        <f t="shared" si="8"/>
        <v>4711198</v>
      </c>
    </row>
    <row r="164" spans="1:7" x14ac:dyDescent="0.2">
      <c r="A164" s="21" t="s">
        <v>246</v>
      </c>
      <c r="B164" s="19">
        <f>'DOE25'!F504</f>
        <v>9250698</v>
      </c>
      <c r="C164" s="19">
        <f>'DOE25'!G504</f>
        <v>0</v>
      </c>
      <c r="D164" s="19">
        <f>'DOE25'!H504</f>
        <v>0</v>
      </c>
      <c r="E164" s="19">
        <f>'DOE25'!I504</f>
        <v>0</v>
      </c>
      <c r="F164" s="19">
        <f>'DOE25'!J504</f>
        <v>0</v>
      </c>
      <c r="G164" s="96">
        <f t="shared" si="8"/>
        <v>9250698</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8" t="s">
        <v>736</v>
      </c>
      <c r="B1" s="328"/>
      <c r="C1" s="328"/>
      <c r="D1" s="328"/>
    </row>
    <row r="2" spans="1:4" x14ac:dyDescent="0.2">
      <c r="A2" s="136" t="s">
        <v>713</v>
      </c>
      <c r="B2" s="135" t="str">
        <f>'DOE25'!A2</f>
        <v>Nashua</v>
      </c>
    </row>
    <row r="3" spans="1:4" x14ac:dyDescent="0.2">
      <c r="B3" s="137" t="s">
        <v>1799</v>
      </c>
    </row>
    <row r="4" spans="1:4" x14ac:dyDescent="0.2">
      <c r="B4" t="s">
        <v>61</v>
      </c>
      <c r="C4" s="129">
        <f>IF('DOE25'!F666+'DOE25'!F671=0,0,ROUND('DOE25'!F673,0))</f>
        <v>19526</v>
      </c>
    </row>
    <row r="5" spans="1:4" x14ac:dyDescent="0.2">
      <c r="B5" t="s">
        <v>700</v>
      </c>
      <c r="C5" s="129">
        <f>IF('DOE25'!G666+'DOE25'!G671=0,0,ROUND('DOE25'!G673,0))</f>
        <v>18288</v>
      </c>
    </row>
    <row r="6" spans="1:4" x14ac:dyDescent="0.2">
      <c r="B6" t="s">
        <v>62</v>
      </c>
      <c r="C6" s="129">
        <f>IF('DOE25'!H666+'DOE25'!H671=0,0,ROUND('DOE25'!H673,0))</f>
        <v>16099</v>
      </c>
    </row>
    <row r="7" spans="1:4" x14ac:dyDescent="0.2">
      <c r="B7" t="s">
        <v>701</v>
      </c>
      <c r="C7" s="129">
        <f>IF('DOE25'!I666+'DOE25'!I671=0,0,ROUND('DOE25'!I673,0))</f>
        <v>18107</v>
      </c>
    </row>
    <row r="9" spans="1:4" x14ac:dyDescent="0.2">
      <c r="A9" s="136" t="s">
        <v>94</v>
      </c>
      <c r="B9" s="137" t="s">
        <v>1800</v>
      </c>
      <c r="C9" s="131" t="s">
        <v>720</v>
      </c>
      <c r="D9" s="131" t="s">
        <v>721</v>
      </c>
    </row>
    <row r="10" spans="1:4" x14ac:dyDescent="0.2">
      <c r="A10">
        <v>1100</v>
      </c>
      <c r="B10" t="s">
        <v>702</v>
      </c>
      <c r="C10" s="129">
        <f>ROUND('DOE25'!L198+'DOE25'!L216+'DOE25'!L234+'DOE25'!L277+'DOE25'!L296+'DOE25'!L315,0)</f>
        <v>71610790</v>
      </c>
      <c r="D10" s="132">
        <f>ROUND((C10/$C$28)*100,1)</f>
        <v>36.299999999999997</v>
      </c>
    </row>
    <row r="11" spans="1:4" x14ac:dyDescent="0.2">
      <c r="A11">
        <v>1200</v>
      </c>
      <c r="B11" t="s">
        <v>703</v>
      </c>
      <c r="C11" s="129">
        <f>ROUND('DOE25'!L199+'DOE25'!L217+'DOE25'!L235+'DOE25'!L278+'DOE25'!L297+'DOE25'!L316,0)</f>
        <v>37064492</v>
      </c>
      <c r="D11" s="132">
        <f>ROUND((C11/$C$28)*100,1)</f>
        <v>18.8</v>
      </c>
    </row>
    <row r="12" spans="1:4" x14ac:dyDescent="0.2">
      <c r="A12">
        <v>1300</v>
      </c>
      <c r="B12" t="s">
        <v>704</v>
      </c>
      <c r="C12" s="129">
        <f>ROUND('DOE25'!L200+'DOE25'!L218+'DOE25'!L236+'DOE25'!L279+'DOE25'!L298+'DOE25'!L317,0)</f>
        <v>6140272</v>
      </c>
      <c r="D12" s="132">
        <f>ROUND((C12/$C$28)*100,1)</f>
        <v>3.1</v>
      </c>
    </row>
    <row r="13" spans="1:4" x14ac:dyDescent="0.2">
      <c r="A13">
        <v>1400</v>
      </c>
      <c r="B13" t="s">
        <v>705</v>
      </c>
      <c r="C13" s="129">
        <f>ROUND('DOE25'!L201+'DOE25'!L219+'DOE25'!L237+'DOE25'!L280+'DOE25'!L299+'DOE25'!L318,0)</f>
        <v>2953929</v>
      </c>
      <c r="D13" s="132">
        <f>ROUND((C13/$C$28)*100,1)</f>
        <v>1.5</v>
      </c>
    </row>
    <row r="14" spans="1:4" x14ac:dyDescent="0.2">
      <c r="D14" s="132"/>
    </row>
    <row r="15" spans="1:4" x14ac:dyDescent="0.2">
      <c r="A15">
        <v>2100</v>
      </c>
      <c r="B15" t="s">
        <v>706</v>
      </c>
      <c r="C15" s="129">
        <f>ROUND('DOE25'!L203+'DOE25'!L221+'DOE25'!L239+'DOE25'!L282+'DOE25'!L301+'DOE25'!L320,0)</f>
        <v>19672066</v>
      </c>
      <c r="D15" s="132">
        <f t="shared" ref="D15:D27" si="0">ROUND((C15/$C$28)*100,1)</f>
        <v>10</v>
      </c>
    </row>
    <row r="16" spans="1:4" x14ac:dyDescent="0.2">
      <c r="A16">
        <v>2200</v>
      </c>
      <c r="B16" t="s">
        <v>707</v>
      </c>
      <c r="C16" s="129">
        <f>ROUND('DOE25'!L204+'DOE25'!L222+'DOE25'!L240+'DOE25'!L283+'DOE25'!L302+'DOE25'!L321,0)</f>
        <v>10680334</v>
      </c>
      <c r="D16" s="132">
        <f t="shared" si="0"/>
        <v>5.4</v>
      </c>
    </row>
    <row r="17" spans="1:4" x14ac:dyDescent="0.2">
      <c r="A17" s="133" t="s">
        <v>723</v>
      </c>
      <c r="B17" t="s">
        <v>738</v>
      </c>
      <c r="C17" s="129">
        <f>ROUND('DOE25'!L205+'DOE25'!L210+'DOE25'!L223+'DOE25'!L228+'DOE25'!L241+'DOE25'!L246+'DOE25'!L284+'DOE25'!L289+'DOE25'!L303+'DOE25'!L308+'DOE25'!L322+'DOE25'!L327,0)</f>
        <v>4883371</v>
      </c>
      <c r="D17" s="132">
        <f t="shared" si="0"/>
        <v>2.5</v>
      </c>
    </row>
    <row r="18" spans="1:4" x14ac:dyDescent="0.2">
      <c r="A18">
        <v>2400</v>
      </c>
      <c r="B18" t="s">
        <v>711</v>
      </c>
      <c r="C18" s="129">
        <f>ROUND('DOE25'!L206+'DOE25'!L224+'DOE25'!L242+'DOE25'!L285+'DOE25'!L304+'DOE25'!L323,0)</f>
        <v>9960902</v>
      </c>
      <c r="D18" s="132">
        <f t="shared" si="0"/>
        <v>5.0999999999999996</v>
      </c>
    </row>
    <row r="19" spans="1:4" x14ac:dyDescent="0.2">
      <c r="A19">
        <v>2500</v>
      </c>
      <c r="B19" t="s">
        <v>708</v>
      </c>
      <c r="C19" s="129">
        <f>ROUND('DOE25'!L207+'DOE25'!L225+'DOE25'!L243+'DOE25'!L286+'DOE25'!L305+'DOE25'!L324,0)</f>
        <v>1719973</v>
      </c>
      <c r="D19" s="132">
        <f t="shared" si="0"/>
        <v>0.9</v>
      </c>
    </row>
    <row r="20" spans="1:4" x14ac:dyDescent="0.2">
      <c r="A20">
        <v>2600</v>
      </c>
      <c r="B20" t="s">
        <v>709</v>
      </c>
      <c r="C20" s="129">
        <f>ROUND('DOE25'!L208+'DOE25'!L226+'DOE25'!L244+'DOE25'!L287+'DOE25'!L306+'DOE25'!L325,0)</f>
        <v>16828206</v>
      </c>
      <c r="D20" s="132">
        <f t="shared" si="0"/>
        <v>8.5</v>
      </c>
    </row>
    <row r="21" spans="1:4" x14ac:dyDescent="0.2">
      <c r="A21">
        <v>2700</v>
      </c>
      <c r="B21" t="s">
        <v>710</v>
      </c>
      <c r="C21" s="129">
        <f>ROUND('DOE25'!L209+'DOE25'!L227+'DOE25'!L245+'DOE25'!L288+'DOE25'!L307+'DOE25'!L326,0)</f>
        <v>8427047</v>
      </c>
      <c r="D21" s="132">
        <f t="shared" si="0"/>
        <v>4.3</v>
      </c>
    </row>
    <row r="22" spans="1:4" x14ac:dyDescent="0.2">
      <c r="A22">
        <v>2900</v>
      </c>
      <c r="B22" t="s">
        <v>712</v>
      </c>
      <c r="C22" s="129">
        <v>0</v>
      </c>
      <c r="D22" s="132">
        <f t="shared" si="0"/>
        <v>0</v>
      </c>
    </row>
    <row r="23" spans="1:4" x14ac:dyDescent="0.2">
      <c r="A23">
        <v>1500</v>
      </c>
      <c r="B23" t="s">
        <v>714</v>
      </c>
      <c r="C23" s="129">
        <f>ROUND('DOE25'!L251+'DOE25'!L333,0)</f>
        <v>105337</v>
      </c>
      <c r="D23" s="132">
        <f t="shared" si="0"/>
        <v>0.1</v>
      </c>
    </row>
    <row r="24" spans="1:4" x14ac:dyDescent="0.2">
      <c r="A24" s="133" t="s">
        <v>722</v>
      </c>
      <c r="B24" t="s">
        <v>715</v>
      </c>
      <c r="C24" s="129">
        <f>ROUND('DOE25'!L252+'DOE25'!L253+'DOE25'!L254+'DOE25'!L255+'DOE25'!L334+'DOE25'!L335+'DOE25'!L336,0)</f>
        <v>243800</v>
      </c>
      <c r="D24" s="132">
        <f t="shared" si="0"/>
        <v>0.1</v>
      </c>
    </row>
    <row r="25" spans="1:4" x14ac:dyDescent="0.2">
      <c r="A25">
        <v>5120</v>
      </c>
      <c r="B25" t="s">
        <v>716</v>
      </c>
      <c r="C25" s="129">
        <f>ROUND('DOE25'!L262+'DOE25'!L343,0)</f>
        <v>3390908</v>
      </c>
      <c r="D25" s="132">
        <f t="shared" si="0"/>
        <v>1.7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3376063.56</v>
      </c>
      <c r="D27" s="132">
        <f t="shared" si="0"/>
        <v>1.7</v>
      </c>
    </row>
    <row r="28" spans="1:4" x14ac:dyDescent="0.2">
      <c r="B28" s="136" t="s">
        <v>719</v>
      </c>
      <c r="C28" s="130">
        <f>SUM(C10:C27)</f>
        <v>197057490.56</v>
      </c>
      <c r="D28" s="134">
        <f>ROUND(SUM(D10:D27),0)</f>
        <v>100</v>
      </c>
    </row>
    <row r="29" spans="1:4" x14ac:dyDescent="0.2">
      <c r="A29">
        <v>4000</v>
      </c>
      <c r="B29" t="s">
        <v>724</v>
      </c>
      <c r="C29" s="129">
        <f>ROUND('DOE25'!L256+'DOE25'!L337+'DOE25'!L375+'DOE25'!L376+'DOE25'!L377+'DOE25'!L378+'DOE25'!L379+'DOE25'!L380+'DOE25'!L381,0)</f>
        <v>64111705</v>
      </c>
    </row>
    <row r="30" spans="1:4" x14ac:dyDescent="0.2">
      <c r="B30" s="136" t="s">
        <v>725</v>
      </c>
      <c r="C30" s="130">
        <f>SUM(C28:C29)</f>
        <v>261169195.56</v>
      </c>
    </row>
    <row r="31" spans="1:4" x14ac:dyDescent="0.2">
      <c r="B31" s="32"/>
      <c r="C31" s="130"/>
    </row>
    <row r="32" spans="1:4" x14ac:dyDescent="0.2">
      <c r="A32">
        <v>5100</v>
      </c>
      <c r="B32" s="32" t="s">
        <v>726</v>
      </c>
      <c r="C32" s="130">
        <f>ROUND('DOE25'!L261+'DOE25'!L342,0)</f>
        <v>4897000</v>
      </c>
    </row>
    <row r="34" spans="1:4" x14ac:dyDescent="0.2">
      <c r="A34" s="136" t="s">
        <v>94</v>
      </c>
      <c r="B34" s="137" t="s">
        <v>1801</v>
      </c>
      <c r="C34" s="131" t="s">
        <v>720</v>
      </c>
      <c r="D34" s="131" t="s">
        <v>721</v>
      </c>
    </row>
    <row r="35" spans="1:4" x14ac:dyDescent="0.2">
      <c r="A35">
        <v>1100</v>
      </c>
      <c r="B35" s="71" t="s">
        <v>727</v>
      </c>
      <c r="C35" s="129">
        <f>ROUND('DOE25'!F60+'DOE25'!G60+'DOE25'!H60+'DOE25'!I60+'DOE25'!J60,0)</f>
        <v>111651182</v>
      </c>
      <c r="D35" s="132">
        <f t="shared" ref="D35:D40" si="1">ROUND((C35/$C$41)*100,1)</f>
        <v>52.3</v>
      </c>
    </row>
    <row r="36" spans="1:4" x14ac:dyDescent="0.2">
      <c r="B36" s="71" t="s">
        <v>739</v>
      </c>
      <c r="C36" s="129">
        <f>SUM('DOE25'!F112:J112)-SUM('DOE25'!G97:G110)+('DOE25'!F175+'DOE25'!F176+'DOE25'!I175+'DOE25'!I176)-C35</f>
        <v>2782902.1599999815</v>
      </c>
      <c r="D36" s="132">
        <f t="shared" si="1"/>
        <v>1.3</v>
      </c>
    </row>
    <row r="37" spans="1:4" x14ac:dyDescent="0.2">
      <c r="A37" s="133" t="s">
        <v>834</v>
      </c>
      <c r="B37" s="71" t="s">
        <v>728</v>
      </c>
      <c r="C37" s="129">
        <f>ROUND('DOE25'!F117+'DOE25'!F118,0)</f>
        <v>58845202</v>
      </c>
      <c r="D37" s="132">
        <f t="shared" si="1"/>
        <v>27.6</v>
      </c>
    </row>
    <row r="38" spans="1:4" x14ac:dyDescent="0.2">
      <c r="A38" s="133" t="s">
        <v>734</v>
      </c>
      <c r="B38" s="71" t="s">
        <v>729</v>
      </c>
      <c r="C38" s="129">
        <f>ROUND(SUM('DOE25'!F140:J140)-SUM('DOE25'!F117:F119),0)</f>
        <v>4043301</v>
      </c>
      <c r="D38" s="132">
        <f t="shared" si="1"/>
        <v>1.9</v>
      </c>
    </row>
    <row r="39" spans="1:4" x14ac:dyDescent="0.2">
      <c r="A39">
        <v>4000</v>
      </c>
      <c r="B39" s="71" t="s">
        <v>730</v>
      </c>
      <c r="C39" s="129">
        <f>ROUND('DOE25'!F170+'DOE25'!G170+'DOE25'!H170+'DOE25'!I170,0)</f>
        <v>35988868</v>
      </c>
      <c r="D39" s="132">
        <f t="shared" si="1"/>
        <v>16.899999999999999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213311455.15999997</v>
      </c>
      <c r="D41" s="134">
        <f>SUM(D35:D40)</f>
        <v>100</v>
      </c>
    </row>
    <row r="42" spans="1:4" x14ac:dyDescent="0.2">
      <c r="A42" s="133" t="s">
        <v>737</v>
      </c>
      <c r="B42" s="71" t="s">
        <v>733</v>
      </c>
      <c r="C42" s="129">
        <f>ROUND('DOE25'!F174+'DOE25'!I174+'DOE25'!F177+'DOE25'!I177,0)</f>
        <v>35000000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23" sqref="S23"/>
    </sheetView>
  </sheetViews>
  <sheetFormatPr defaultRowHeight="11.25" x14ac:dyDescent="0.2"/>
  <cols>
    <col min="1" max="1" width="10.33203125" customWidth="1"/>
    <col min="14" max="14" width="6.1640625" customWidth="1"/>
  </cols>
  <sheetData>
    <row r="1" spans="1:13" ht="16.5" thickTop="1" x14ac:dyDescent="0.25">
      <c r="A1" s="332" t="s">
        <v>766</v>
      </c>
      <c r="B1" s="333"/>
      <c r="C1" s="333"/>
      <c r="D1" s="333"/>
      <c r="E1" s="333"/>
      <c r="F1" s="333"/>
      <c r="G1" s="333"/>
      <c r="H1" s="333"/>
      <c r="I1" s="333"/>
      <c r="J1" s="155"/>
      <c r="K1" s="155"/>
      <c r="L1" s="155"/>
      <c r="M1" s="156"/>
    </row>
    <row r="2" spans="1:13" ht="12.75" x14ac:dyDescent="0.2">
      <c r="A2" s="337" t="s">
        <v>763</v>
      </c>
      <c r="B2" s="338"/>
      <c r="C2" s="338"/>
      <c r="D2" s="338"/>
      <c r="E2" s="338"/>
      <c r="F2" s="335" t="str">
        <f>'DOE25'!A2</f>
        <v>Nashua</v>
      </c>
      <c r="G2" s="336"/>
      <c r="H2" s="336"/>
      <c r="I2" s="336"/>
      <c r="M2" s="157"/>
    </row>
    <row r="3" spans="1:13" x14ac:dyDescent="0.2">
      <c r="A3" s="158" t="s">
        <v>764</v>
      </c>
      <c r="B3" s="131" t="s">
        <v>765</v>
      </c>
      <c r="C3" s="322" t="s">
        <v>767</v>
      </c>
      <c r="D3" s="322"/>
      <c r="E3" s="322"/>
      <c r="F3" s="322"/>
      <c r="G3" s="322"/>
      <c r="H3" s="322"/>
      <c r="I3" s="322"/>
      <c r="J3" s="322"/>
      <c r="K3" s="322"/>
      <c r="L3" s="322"/>
      <c r="M3" s="334"/>
    </row>
    <row r="4" spans="1:13" x14ac:dyDescent="0.2">
      <c r="A4" s="159"/>
      <c r="B4" s="150"/>
      <c r="C4" s="329"/>
      <c r="D4" s="329"/>
      <c r="E4" s="329"/>
      <c r="F4" s="329"/>
      <c r="G4" s="329"/>
      <c r="H4" s="329"/>
      <c r="I4" s="329"/>
      <c r="J4" s="329"/>
      <c r="K4" s="329"/>
      <c r="L4" s="329"/>
      <c r="M4" s="331"/>
    </row>
    <row r="5" spans="1:13" x14ac:dyDescent="0.2">
      <c r="A5" s="159"/>
      <c r="B5" s="150"/>
      <c r="C5" s="329"/>
      <c r="D5" s="329"/>
      <c r="E5" s="329"/>
      <c r="F5" s="329"/>
      <c r="G5" s="329"/>
      <c r="H5" s="329"/>
      <c r="I5" s="329"/>
      <c r="J5" s="329"/>
      <c r="K5" s="329"/>
      <c r="L5" s="329"/>
      <c r="M5" s="331"/>
    </row>
    <row r="6" spans="1:13" x14ac:dyDescent="0.2">
      <c r="A6" s="159"/>
      <c r="B6" s="150"/>
      <c r="C6" s="329"/>
      <c r="D6" s="329"/>
      <c r="E6" s="329"/>
      <c r="F6" s="329"/>
      <c r="G6" s="329"/>
      <c r="H6" s="329"/>
      <c r="I6" s="329"/>
      <c r="J6" s="329"/>
      <c r="K6" s="329"/>
      <c r="L6" s="329"/>
      <c r="M6" s="331"/>
    </row>
    <row r="7" spans="1:13" x14ac:dyDescent="0.2">
      <c r="A7" s="159"/>
      <c r="B7" s="150"/>
      <c r="C7" s="329"/>
      <c r="D7" s="329"/>
      <c r="E7" s="329"/>
      <c r="F7" s="329"/>
      <c r="G7" s="329"/>
      <c r="H7" s="329"/>
      <c r="I7" s="329"/>
      <c r="J7" s="329"/>
      <c r="K7" s="329"/>
      <c r="L7" s="329"/>
      <c r="M7" s="331"/>
    </row>
    <row r="8" spans="1:13" x14ac:dyDescent="0.2">
      <c r="A8" s="159"/>
      <c r="B8" s="150"/>
      <c r="C8" s="329"/>
      <c r="D8" s="329"/>
      <c r="E8" s="329"/>
      <c r="F8" s="329"/>
      <c r="G8" s="329"/>
      <c r="H8" s="329"/>
      <c r="I8" s="329"/>
      <c r="J8" s="329"/>
      <c r="K8" s="329"/>
      <c r="L8" s="329"/>
      <c r="M8" s="331"/>
    </row>
    <row r="9" spans="1:13" x14ac:dyDescent="0.2">
      <c r="A9" s="159"/>
      <c r="B9" s="150"/>
      <c r="C9" s="329"/>
      <c r="D9" s="329"/>
      <c r="E9" s="329"/>
      <c r="F9" s="329"/>
      <c r="G9" s="329"/>
      <c r="H9" s="329"/>
      <c r="I9" s="329"/>
      <c r="J9" s="329"/>
      <c r="K9" s="329"/>
      <c r="L9" s="329"/>
      <c r="M9" s="331"/>
    </row>
    <row r="10" spans="1:13" x14ac:dyDescent="0.2">
      <c r="A10" s="159"/>
      <c r="B10" s="150"/>
      <c r="C10" s="329"/>
      <c r="D10" s="329"/>
      <c r="E10" s="329"/>
      <c r="F10" s="329"/>
      <c r="G10" s="329"/>
      <c r="H10" s="329"/>
      <c r="I10" s="329"/>
      <c r="J10" s="329"/>
      <c r="K10" s="329"/>
      <c r="L10" s="329"/>
      <c r="M10" s="331"/>
    </row>
    <row r="11" spans="1:13" x14ac:dyDescent="0.2">
      <c r="A11" s="159"/>
      <c r="B11" s="150"/>
      <c r="C11" s="329"/>
      <c r="D11" s="329"/>
      <c r="E11" s="329"/>
      <c r="F11" s="329"/>
      <c r="G11" s="329"/>
      <c r="H11" s="329"/>
      <c r="I11" s="329"/>
      <c r="J11" s="329"/>
      <c r="K11" s="329"/>
      <c r="L11" s="329"/>
      <c r="M11" s="331"/>
    </row>
    <row r="12" spans="1:13" x14ac:dyDescent="0.2">
      <c r="A12" s="159"/>
      <c r="B12" s="150"/>
      <c r="C12" s="329"/>
      <c r="D12" s="329"/>
      <c r="E12" s="329"/>
      <c r="F12" s="329"/>
      <c r="G12" s="329"/>
      <c r="H12" s="329"/>
      <c r="I12" s="329"/>
      <c r="J12" s="329"/>
      <c r="K12" s="329"/>
      <c r="L12" s="329"/>
      <c r="M12" s="331"/>
    </row>
    <row r="13" spans="1:13" x14ac:dyDescent="0.2">
      <c r="A13" s="159"/>
      <c r="B13" s="150"/>
      <c r="C13" s="329"/>
      <c r="D13" s="329"/>
      <c r="E13" s="329"/>
      <c r="F13" s="329"/>
      <c r="G13" s="329"/>
      <c r="H13" s="329"/>
      <c r="I13" s="329"/>
      <c r="J13" s="329"/>
      <c r="K13" s="329"/>
      <c r="L13" s="329"/>
      <c r="M13" s="331"/>
    </row>
    <row r="14" spans="1:13" x14ac:dyDescent="0.2">
      <c r="A14" s="159"/>
      <c r="B14" s="150"/>
      <c r="C14" s="329"/>
      <c r="D14" s="329"/>
      <c r="E14" s="329"/>
      <c r="F14" s="329"/>
      <c r="G14" s="329"/>
      <c r="H14" s="329"/>
      <c r="I14" s="329"/>
      <c r="J14" s="329"/>
      <c r="K14" s="329"/>
      <c r="L14" s="329"/>
      <c r="M14" s="331"/>
    </row>
    <row r="15" spans="1:13" x14ac:dyDescent="0.2">
      <c r="A15" s="159"/>
      <c r="B15" s="150"/>
      <c r="C15" s="329"/>
      <c r="D15" s="329"/>
      <c r="E15" s="329"/>
      <c r="F15" s="329"/>
      <c r="G15" s="329"/>
      <c r="H15" s="329"/>
      <c r="I15" s="329"/>
      <c r="J15" s="329"/>
      <c r="K15" s="329"/>
      <c r="L15" s="329"/>
      <c r="M15" s="331"/>
    </row>
    <row r="16" spans="1:13" x14ac:dyDescent="0.2">
      <c r="A16" s="159"/>
      <c r="B16" s="150"/>
      <c r="C16" s="329"/>
      <c r="D16" s="329"/>
      <c r="E16" s="329"/>
      <c r="F16" s="329"/>
      <c r="G16" s="329"/>
      <c r="H16" s="329"/>
      <c r="I16" s="329"/>
      <c r="J16" s="329"/>
      <c r="K16" s="329"/>
      <c r="L16" s="329"/>
      <c r="M16" s="331"/>
    </row>
    <row r="17" spans="1:256" x14ac:dyDescent="0.2">
      <c r="A17" s="159"/>
      <c r="B17" s="150"/>
      <c r="C17" s="329"/>
      <c r="D17" s="329"/>
      <c r="E17" s="329"/>
      <c r="F17" s="329"/>
      <c r="G17" s="329"/>
      <c r="H17" s="329"/>
      <c r="I17" s="329"/>
      <c r="J17" s="329"/>
      <c r="K17" s="329"/>
      <c r="L17" s="329"/>
      <c r="M17" s="331"/>
    </row>
    <row r="18" spans="1:256" x14ac:dyDescent="0.2">
      <c r="A18" s="159"/>
      <c r="B18" s="150"/>
      <c r="C18" s="329"/>
      <c r="D18" s="329"/>
      <c r="E18" s="329"/>
      <c r="F18" s="329"/>
      <c r="G18" s="329"/>
      <c r="H18" s="329"/>
      <c r="I18" s="329"/>
      <c r="J18" s="329"/>
      <c r="K18" s="329"/>
      <c r="L18" s="329"/>
      <c r="M18" s="331"/>
    </row>
    <row r="19" spans="1:256" x14ac:dyDescent="0.2">
      <c r="A19" s="159"/>
      <c r="B19" s="150"/>
      <c r="C19" s="329"/>
      <c r="D19" s="329"/>
      <c r="E19" s="329"/>
      <c r="F19" s="329"/>
      <c r="G19" s="329"/>
      <c r="H19" s="329"/>
      <c r="I19" s="329"/>
      <c r="J19" s="329"/>
      <c r="K19" s="329"/>
      <c r="L19" s="329"/>
      <c r="M19" s="331"/>
    </row>
    <row r="20" spans="1:256" x14ac:dyDescent="0.2">
      <c r="A20" s="159"/>
      <c r="B20" s="150"/>
      <c r="C20" s="329"/>
      <c r="D20" s="329"/>
      <c r="E20" s="329"/>
      <c r="F20" s="329"/>
      <c r="G20" s="329"/>
      <c r="H20" s="329"/>
      <c r="I20" s="329"/>
      <c r="J20" s="329"/>
      <c r="K20" s="329"/>
      <c r="L20" s="329"/>
      <c r="M20" s="331"/>
    </row>
    <row r="21" spans="1:256" x14ac:dyDescent="0.2">
      <c r="A21" s="159"/>
      <c r="B21" s="150"/>
      <c r="C21" s="329"/>
      <c r="D21" s="329"/>
      <c r="E21" s="329"/>
      <c r="F21" s="329"/>
      <c r="G21" s="329"/>
      <c r="H21" s="329"/>
      <c r="I21" s="329"/>
      <c r="J21" s="329"/>
      <c r="K21" s="329"/>
      <c r="L21" s="329"/>
      <c r="M21" s="331"/>
    </row>
    <row r="22" spans="1:256" x14ac:dyDescent="0.2">
      <c r="A22" s="159"/>
      <c r="B22" s="150"/>
      <c r="C22" s="329"/>
      <c r="D22" s="329"/>
      <c r="E22" s="329"/>
      <c r="F22" s="329"/>
      <c r="G22" s="329"/>
      <c r="H22" s="329"/>
      <c r="I22" s="329"/>
      <c r="J22" s="329"/>
      <c r="K22" s="329"/>
      <c r="L22" s="329"/>
      <c r="M22" s="331"/>
    </row>
    <row r="23" spans="1:256" x14ac:dyDescent="0.2">
      <c r="A23" s="159"/>
      <c r="B23" s="150"/>
      <c r="C23" s="329"/>
      <c r="D23" s="329"/>
      <c r="E23" s="329"/>
      <c r="F23" s="329"/>
      <c r="G23" s="329"/>
      <c r="H23" s="329"/>
      <c r="I23" s="329"/>
      <c r="J23" s="329"/>
      <c r="K23" s="329"/>
      <c r="L23" s="329"/>
      <c r="M23" s="331"/>
    </row>
    <row r="24" spans="1:256" x14ac:dyDescent="0.2">
      <c r="A24" s="159"/>
      <c r="B24" s="150"/>
      <c r="C24" s="329"/>
      <c r="D24" s="329"/>
      <c r="E24" s="329"/>
      <c r="F24" s="329"/>
      <c r="G24" s="329"/>
      <c r="H24" s="329"/>
      <c r="I24" s="329"/>
      <c r="J24" s="329"/>
      <c r="K24" s="329"/>
      <c r="L24" s="329"/>
      <c r="M24" s="331"/>
    </row>
    <row r="25" spans="1:256" x14ac:dyDescent="0.2">
      <c r="A25" s="159"/>
      <c r="B25" s="150"/>
      <c r="C25" s="329"/>
      <c r="D25" s="329"/>
      <c r="E25" s="329"/>
      <c r="F25" s="329"/>
      <c r="G25" s="329"/>
      <c r="H25" s="329"/>
      <c r="I25" s="329"/>
      <c r="J25" s="329"/>
      <c r="K25" s="329"/>
      <c r="L25" s="329"/>
      <c r="M25" s="331"/>
    </row>
    <row r="26" spans="1:256" x14ac:dyDescent="0.2">
      <c r="A26" s="159"/>
      <c r="B26" s="150"/>
      <c r="C26" s="329"/>
      <c r="D26" s="329"/>
      <c r="E26" s="329"/>
      <c r="F26" s="329"/>
      <c r="G26" s="329"/>
      <c r="H26" s="329"/>
      <c r="I26" s="329"/>
      <c r="J26" s="329"/>
      <c r="K26" s="329"/>
      <c r="L26" s="329"/>
      <c r="M26" s="331"/>
    </row>
    <row r="27" spans="1:256" x14ac:dyDescent="0.2">
      <c r="A27" s="159"/>
      <c r="B27" s="150"/>
      <c r="C27" s="329"/>
      <c r="D27" s="329"/>
      <c r="E27" s="329"/>
      <c r="F27" s="329"/>
      <c r="G27" s="329"/>
      <c r="H27" s="329"/>
      <c r="I27" s="329"/>
      <c r="J27" s="329"/>
      <c r="K27" s="329"/>
      <c r="L27" s="329"/>
      <c r="M27" s="331"/>
    </row>
    <row r="28" spans="1:256" x14ac:dyDescent="0.2">
      <c r="A28" s="159"/>
      <c r="B28" s="150"/>
      <c r="C28" s="329"/>
      <c r="D28" s="329"/>
      <c r="E28" s="329"/>
      <c r="F28" s="329"/>
      <c r="G28" s="329"/>
      <c r="H28" s="329"/>
      <c r="I28" s="329"/>
      <c r="J28" s="329"/>
      <c r="K28" s="329"/>
      <c r="L28" s="329"/>
      <c r="M28" s="331"/>
    </row>
    <row r="29" spans="1:256" x14ac:dyDescent="0.2">
      <c r="A29" s="159"/>
      <c r="B29" s="150"/>
      <c r="C29" s="329"/>
      <c r="D29" s="329"/>
      <c r="E29" s="329"/>
      <c r="F29" s="329"/>
      <c r="G29" s="329"/>
      <c r="H29" s="329"/>
      <c r="I29" s="329"/>
      <c r="J29" s="329"/>
      <c r="K29" s="329"/>
      <c r="L29" s="329"/>
      <c r="M29" s="331"/>
      <c r="N29" s="153"/>
      <c r="O29" s="153"/>
      <c r="P29" s="330"/>
      <c r="Q29" s="330"/>
      <c r="R29" s="330"/>
      <c r="S29" s="330"/>
      <c r="T29" s="330"/>
      <c r="U29" s="330"/>
      <c r="V29" s="330"/>
      <c r="W29" s="330"/>
      <c r="X29" s="330"/>
      <c r="Y29" s="330"/>
      <c r="Z29" s="330"/>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1"/>
      <c r="N30" s="153"/>
      <c r="O30" s="153"/>
      <c r="P30" s="330"/>
      <c r="Q30" s="330"/>
      <c r="R30" s="330"/>
      <c r="S30" s="330"/>
      <c r="T30" s="330"/>
      <c r="U30" s="330"/>
      <c r="V30" s="330"/>
      <c r="W30" s="330"/>
      <c r="X30" s="330"/>
      <c r="Y30" s="330"/>
      <c r="Z30" s="330"/>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1"/>
      <c r="N31" s="153"/>
      <c r="O31" s="153"/>
      <c r="P31" s="330"/>
      <c r="Q31" s="330"/>
      <c r="R31" s="330"/>
      <c r="S31" s="330"/>
      <c r="T31" s="330"/>
      <c r="U31" s="330"/>
      <c r="V31" s="330"/>
      <c r="W31" s="330"/>
      <c r="X31" s="330"/>
      <c r="Y31" s="330"/>
      <c r="Z31" s="330"/>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1"/>
      <c r="N32" s="153"/>
      <c r="O32" s="153"/>
      <c r="P32" s="330"/>
      <c r="Q32" s="330"/>
      <c r="R32" s="330"/>
      <c r="S32" s="330"/>
      <c r="T32" s="330"/>
      <c r="U32" s="330"/>
      <c r="V32" s="330"/>
      <c r="W32" s="330"/>
      <c r="X32" s="330"/>
      <c r="Y32" s="330"/>
      <c r="Z32" s="339"/>
      <c r="AA32" s="159"/>
      <c r="AB32" s="150"/>
      <c r="AC32" s="329"/>
      <c r="AD32" s="329"/>
      <c r="AE32" s="329"/>
      <c r="AF32" s="329"/>
      <c r="AG32" s="329"/>
      <c r="AH32" s="329"/>
      <c r="AI32" s="329"/>
      <c r="AJ32" s="329"/>
      <c r="AK32" s="329"/>
      <c r="AL32" s="329"/>
      <c r="AM32" s="331"/>
      <c r="AN32" s="159"/>
      <c r="AO32" s="150"/>
      <c r="AP32" s="329"/>
      <c r="AQ32" s="329"/>
      <c r="AR32" s="329"/>
      <c r="AS32" s="329"/>
      <c r="AT32" s="329"/>
      <c r="AU32" s="329"/>
      <c r="AV32" s="329"/>
      <c r="AW32" s="329"/>
      <c r="AX32" s="329"/>
      <c r="AY32" s="329"/>
      <c r="AZ32" s="331"/>
      <c r="BA32" s="159"/>
      <c r="BB32" s="150"/>
      <c r="BC32" s="329"/>
      <c r="BD32" s="329"/>
      <c r="BE32" s="329"/>
      <c r="BF32" s="329"/>
      <c r="BG32" s="329"/>
      <c r="BH32" s="329"/>
      <c r="BI32" s="329"/>
      <c r="BJ32" s="329"/>
      <c r="BK32" s="329"/>
      <c r="BL32" s="329"/>
      <c r="BM32" s="331"/>
      <c r="BN32" s="159"/>
      <c r="BO32" s="150"/>
      <c r="BP32" s="329"/>
      <c r="BQ32" s="329"/>
      <c r="BR32" s="329"/>
      <c r="BS32" s="329"/>
      <c r="BT32" s="329"/>
      <c r="BU32" s="329"/>
      <c r="BV32" s="329"/>
      <c r="BW32" s="329"/>
      <c r="BX32" s="329"/>
      <c r="BY32" s="329"/>
      <c r="BZ32" s="331"/>
      <c r="CA32" s="159"/>
      <c r="CB32" s="150"/>
      <c r="CC32" s="329"/>
      <c r="CD32" s="329"/>
      <c r="CE32" s="329"/>
      <c r="CF32" s="329"/>
      <c r="CG32" s="329"/>
      <c r="CH32" s="329"/>
      <c r="CI32" s="329"/>
      <c r="CJ32" s="329"/>
      <c r="CK32" s="329"/>
      <c r="CL32" s="329"/>
      <c r="CM32" s="331"/>
      <c r="CN32" s="159"/>
      <c r="CO32" s="150"/>
      <c r="CP32" s="329"/>
      <c r="CQ32" s="329"/>
      <c r="CR32" s="329"/>
      <c r="CS32" s="329"/>
      <c r="CT32" s="329"/>
      <c r="CU32" s="329"/>
      <c r="CV32" s="329"/>
      <c r="CW32" s="329"/>
      <c r="CX32" s="329"/>
      <c r="CY32" s="329"/>
      <c r="CZ32" s="331"/>
      <c r="DA32" s="159"/>
      <c r="DB32" s="150"/>
      <c r="DC32" s="329"/>
      <c r="DD32" s="329"/>
      <c r="DE32" s="329"/>
      <c r="DF32" s="329"/>
      <c r="DG32" s="329"/>
      <c r="DH32" s="329"/>
      <c r="DI32" s="329"/>
      <c r="DJ32" s="329"/>
      <c r="DK32" s="329"/>
      <c r="DL32" s="329"/>
      <c r="DM32" s="331"/>
      <c r="DN32" s="159"/>
      <c r="DO32" s="150"/>
      <c r="DP32" s="329"/>
      <c r="DQ32" s="329"/>
      <c r="DR32" s="329"/>
      <c r="DS32" s="329"/>
      <c r="DT32" s="329"/>
      <c r="DU32" s="329"/>
      <c r="DV32" s="329"/>
      <c r="DW32" s="329"/>
      <c r="DX32" s="329"/>
      <c r="DY32" s="329"/>
      <c r="DZ32" s="331"/>
      <c r="EA32" s="159"/>
      <c r="EB32" s="150"/>
      <c r="EC32" s="329"/>
      <c r="ED32" s="329"/>
      <c r="EE32" s="329"/>
      <c r="EF32" s="329"/>
      <c r="EG32" s="329"/>
      <c r="EH32" s="329"/>
      <c r="EI32" s="329"/>
      <c r="EJ32" s="329"/>
      <c r="EK32" s="329"/>
      <c r="EL32" s="329"/>
      <c r="EM32" s="331"/>
      <c r="EN32" s="159"/>
      <c r="EO32" s="150"/>
      <c r="EP32" s="329"/>
      <c r="EQ32" s="329"/>
      <c r="ER32" s="329"/>
      <c r="ES32" s="329"/>
      <c r="ET32" s="329"/>
      <c r="EU32" s="329"/>
      <c r="EV32" s="329"/>
      <c r="EW32" s="329"/>
      <c r="EX32" s="329"/>
      <c r="EY32" s="329"/>
      <c r="EZ32" s="331"/>
      <c r="FA32" s="159"/>
      <c r="FB32" s="150"/>
      <c r="FC32" s="329"/>
      <c r="FD32" s="329"/>
      <c r="FE32" s="329"/>
      <c r="FF32" s="329"/>
      <c r="FG32" s="329"/>
      <c r="FH32" s="329"/>
      <c r="FI32" s="329"/>
      <c r="FJ32" s="329"/>
      <c r="FK32" s="329"/>
      <c r="FL32" s="329"/>
      <c r="FM32" s="331"/>
      <c r="FN32" s="159"/>
      <c r="FO32" s="150"/>
      <c r="FP32" s="329"/>
      <c r="FQ32" s="329"/>
      <c r="FR32" s="329"/>
      <c r="FS32" s="329"/>
      <c r="FT32" s="329"/>
      <c r="FU32" s="329"/>
      <c r="FV32" s="329"/>
      <c r="FW32" s="329"/>
      <c r="FX32" s="329"/>
      <c r="FY32" s="329"/>
      <c r="FZ32" s="331"/>
      <c r="GA32" s="159"/>
      <c r="GB32" s="150"/>
      <c r="GC32" s="329"/>
      <c r="GD32" s="329"/>
      <c r="GE32" s="329"/>
      <c r="GF32" s="329"/>
      <c r="GG32" s="329"/>
      <c r="GH32" s="329"/>
      <c r="GI32" s="329"/>
      <c r="GJ32" s="329"/>
      <c r="GK32" s="329"/>
      <c r="GL32" s="329"/>
      <c r="GM32" s="331"/>
      <c r="GN32" s="159"/>
      <c r="GO32" s="150"/>
      <c r="GP32" s="329"/>
      <c r="GQ32" s="329"/>
      <c r="GR32" s="329"/>
      <c r="GS32" s="329"/>
      <c r="GT32" s="329"/>
      <c r="GU32" s="329"/>
      <c r="GV32" s="329"/>
      <c r="GW32" s="329"/>
      <c r="GX32" s="329"/>
      <c r="GY32" s="329"/>
      <c r="GZ32" s="331"/>
      <c r="HA32" s="159"/>
      <c r="HB32" s="150"/>
      <c r="HC32" s="329"/>
      <c r="HD32" s="329"/>
      <c r="HE32" s="329"/>
      <c r="HF32" s="329"/>
      <c r="HG32" s="329"/>
      <c r="HH32" s="329"/>
      <c r="HI32" s="329"/>
      <c r="HJ32" s="329"/>
      <c r="HK32" s="329"/>
      <c r="HL32" s="329"/>
      <c r="HM32" s="331"/>
      <c r="HN32" s="159"/>
      <c r="HO32" s="150"/>
      <c r="HP32" s="329"/>
      <c r="HQ32" s="329"/>
      <c r="HR32" s="329"/>
      <c r="HS32" s="329"/>
      <c r="HT32" s="329"/>
      <c r="HU32" s="329"/>
      <c r="HV32" s="329"/>
      <c r="HW32" s="329"/>
      <c r="HX32" s="329"/>
      <c r="HY32" s="329"/>
      <c r="HZ32" s="331"/>
      <c r="IA32" s="159"/>
      <c r="IB32" s="150"/>
      <c r="IC32" s="329"/>
      <c r="ID32" s="329"/>
      <c r="IE32" s="329"/>
      <c r="IF32" s="329"/>
      <c r="IG32" s="329"/>
      <c r="IH32" s="329"/>
      <c r="II32" s="329"/>
      <c r="IJ32" s="329"/>
      <c r="IK32" s="329"/>
      <c r="IL32" s="329"/>
      <c r="IM32" s="331"/>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1"/>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1"/>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1"/>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1"/>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1"/>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1"/>
      <c r="N38" s="153"/>
      <c r="O38" s="153"/>
      <c r="P38" s="330"/>
      <c r="Q38" s="330"/>
      <c r="R38" s="330"/>
      <c r="S38" s="330"/>
      <c r="T38" s="330"/>
      <c r="U38" s="330"/>
      <c r="V38" s="330"/>
      <c r="W38" s="330"/>
      <c r="X38" s="330"/>
      <c r="Y38" s="330"/>
      <c r="Z38" s="330"/>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1"/>
      <c r="N39" s="153"/>
      <c r="O39" s="153"/>
      <c r="P39" s="330"/>
      <c r="Q39" s="330"/>
      <c r="R39" s="330"/>
      <c r="S39" s="330"/>
      <c r="T39" s="330"/>
      <c r="U39" s="330"/>
      <c r="V39" s="330"/>
      <c r="W39" s="330"/>
      <c r="X39" s="330"/>
      <c r="Y39" s="330"/>
      <c r="Z39" s="330"/>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1"/>
      <c r="N40" s="153"/>
      <c r="O40" s="153"/>
      <c r="P40" s="330"/>
      <c r="Q40" s="330"/>
      <c r="R40" s="330"/>
      <c r="S40" s="330"/>
      <c r="T40" s="330"/>
      <c r="U40" s="330"/>
      <c r="V40" s="330"/>
      <c r="W40" s="330"/>
      <c r="X40" s="330"/>
      <c r="Y40" s="330"/>
      <c r="Z40" s="330"/>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1"/>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1"/>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1"/>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1"/>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1"/>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1"/>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1"/>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1"/>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1"/>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1"/>
    </row>
    <row r="51" spans="1:256" x14ac:dyDescent="0.2">
      <c r="A51" s="159"/>
      <c r="B51" s="150"/>
      <c r="C51" s="329"/>
      <c r="D51" s="329"/>
      <c r="E51" s="329"/>
      <c r="F51" s="329"/>
      <c r="G51" s="329"/>
      <c r="H51" s="329"/>
      <c r="I51" s="329"/>
      <c r="J51" s="329"/>
      <c r="K51" s="329"/>
      <c r="L51" s="329"/>
      <c r="M51" s="331"/>
    </row>
    <row r="52" spans="1:256" x14ac:dyDescent="0.2">
      <c r="A52" s="159"/>
      <c r="B52" s="150"/>
      <c r="C52" s="329"/>
      <c r="D52" s="329"/>
      <c r="E52" s="329"/>
      <c r="F52" s="329"/>
      <c r="G52" s="329"/>
      <c r="H52" s="329"/>
      <c r="I52" s="329"/>
      <c r="J52" s="329"/>
      <c r="K52" s="329"/>
      <c r="L52" s="329"/>
      <c r="M52" s="331"/>
    </row>
    <row r="53" spans="1:256" x14ac:dyDescent="0.2">
      <c r="A53" s="159"/>
      <c r="B53" s="150"/>
      <c r="C53" s="329"/>
      <c r="D53" s="329"/>
      <c r="E53" s="329"/>
      <c r="F53" s="329"/>
      <c r="G53" s="329"/>
      <c r="H53" s="329"/>
      <c r="I53" s="329"/>
      <c r="J53" s="329"/>
      <c r="K53" s="329"/>
      <c r="L53" s="329"/>
      <c r="M53" s="331"/>
    </row>
    <row r="54" spans="1:256" x14ac:dyDescent="0.2">
      <c r="A54" s="159"/>
      <c r="B54" s="150"/>
      <c r="C54" s="329"/>
      <c r="D54" s="329"/>
      <c r="E54" s="329"/>
      <c r="F54" s="329"/>
      <c r="G54" s="329"/>
      <c r="H54" s="329"/>
      <c r="I54" s="329"/>
      <c r="J54" s="329"/>
      <c r="K54" s="329"/>
      <c r="L54" s="329"/>
      <c r="M54" s="331"/>
    </row>
    <row r="55" spans="1:256" x14ac:dyDescent="0.2">
      <c r="A55" s="159"/>
      <c r="B55" s="150"/>
      <c r="C55" s="329"/>
      <c r="D55" s="329"/>
      <c r="E55" s="329"/>
      <c r="F55" s="329"/>
      <c r="G55" s="329"/>
      <c r="H55" s="329"/>
      <c r="I55" s="329"/>
      <c r="J55" s="329"/>
      <c r="K55" s="329"/>
      <c r="L55" s="329"/>
      <c r="M55" s="331"/>
    </row>
    <row r="56" spans="1:256" x14ac:dyDescent="0.2">
      <c r="A56" s="159"/>
      <c r="B56" s="150"/>
      <c r="C56" s="329"/>
      <c r="D56" s="329"/>
      <c r="E56" s="329"/>
      <c r="F56" s="329"/>
      <c r="G56" s="329"/>
      <c r="H56" s="329"/>
      <c r="I56" s="329"/>
      <c r="J56" s="329"/>
      <c r="K56" s="329"/>
      <c r="L56" s="329"/>
      <c r="M56" s="331"/>
    </row>
    <row r="57" spans="1:256" x14ac:dyDescent="0.2">
      <c r="A57" s="159"/>
      <c r="B57" s="150"/>
      <c r="C57" s="329"/>
      <c r="D57" s="329"/>
      <c r="E57" s="329"/>
      <c r="F57" s="329"/>
      <c r="G57" s="329"/>
      <c r="H57" s="329"/>
      <c r="I57" s="329"/>
      <c r="J57" s="329"/>
      <c r="K57" s="329"/>
      <c r="L57" s="329"/>
      <c r="M57" s="331"/>
    </row>
    <row r="58" spans="1:256" x14ac:dyDescent="0.2">
      <c r="A58" s="159"/>
      <c r="B58" s="150"/>
      <c r="C58" s="329"/>
      <c r="D58" s="329"/>
      <c r="E58" s="329"/>
      <c r="F58" s="329"/>
      <c r="G58" s="329"/>
      <c r="H58" s="329"/>
      <c r="I58" s="329"/>
      <c r="J58" s="329"/>
      <c r="K58" s="329"/>
      <c r="L58" s="329"/>
      <c r="M58" s="331"/>
    </row>
    <row r="59" spans="1:256" x14ac:dyDescent="0.2">
      <c r="A59" s="159"/>
      <c r="B59" s="150"/>
      <c r="C59" s="329"/>
      <c r="D59" s="329"/>
      <c r="E59" s="329"/>
      <c r="F59" s="329"/>
      <c r="G59" s="329"/>
      <c r="H59" s="329"/>
      <c r="I59" s="329"/>
      <c r="J59" s="329"/>
      <c r="K59" s="329"/>
      <c r="L59" s="329"/>
      <c r="M59" s="331"/>
    </row>
    <row r="60" spans="1:256" x14ac:dyDescent="0.2">
      <c r="A60" s="159"/>
      <c r="B60" s="150"/>
      <c r="C60" s="329"/>
      <c r="D60" s="329"/>
      <c r="E60" s="329"/>
      <c r="F60" s="329"/>
      <c r="G60" s="329"/>
      <c r="H60" s="329"/>
      <c r="I60" s="329"/>
      <c r="J60" s="329"/>
      <c r="K60" s="329"/>
      <c r="L60" s="329"/>
      <c r="M60" s="331"/>
    </row>
    <row r="61" spans="1:256" x14ac:dyDescent="0.2">
      <c r="A61" s="159"/>
      <c r="B61" s="150"/>
      <c r="C61" s="329"/>
      <c r="D61" s="329"/>
      <c r="E61" s="329"/>
      <c r="F61" s="329"/>
      <c r="G61" s="329"/>
      <c r="H61" s="329"/>
      <c r="I61" s="329"/>
      <c r="J61" s="329"/>
      <c r="K61" s="329"/>
      <c r="L61" s="329"/>
      <c r="M61" s="331"/>
    </row>
    <row r="62" spans="1:256" x14ac:dyDescent="0.2">
      <c r="A62" s="159"/>
      <c r="B62" s="150"/>
      <c r="C62" s="329"/>
      <c r="D62" s="329"/>
      <c r="E62" s="329"/>
      <c r="F62" s="329"/>
      <c r="G62" s="329"/>
      <c r="H62" s="329"/>
      <c r="I62" s="329"/>
      <c r="J62" s="329"/>
      <c r="K62" s="329"/>
      <c r="L62" s="329"/>
      <c r="M62" s="331"/>
    </row>
    <row r="63" spans="1:256" x14ac:dyDescent="0.2">
      <c r="A63" s="159"/>
      <c r="B63" s="150"/>
      <c r="C63" s="329"/>
      <c r="D63" s="329"/>
      <c r="E63" s="329"/>
      <c r="F63" s="329"/>
      <c r="G63" s="329"/>
      <c r="H63" s="329"/>
      <c r="I63" s="329"/>
      <c r="J63" s="329"/>
      <c r="K63" s="329"/>
      <c r="L63" s="329"/>
      <c r="M63" s="331"/>
    </row>
    <row r="64" spans="1:256" x14ac:dyDescent="0.2">
      <c r="A64" s="159"/>
      <c r="B64" s="150"/>
      <c r="C64" s="329"/>
      <c r="D64" s="329"/>
      <c r="E64" s="329"/>
      <c r="F64" s="329"/>
      <c r="G64" s="329"/>
      <c r="H64" s="329"/>
      <c r="I64" s="329"/>
      <c r="J64" s="329"/>
      <c r="K64" s="329"/>
      <c r="L64" s="329"/>
      <c r="M64" s="331"/>
    </row>
    <row r="65" spans="1:13" x14ac:dyDescent="0.2">
      <c r="A65" s="159"/>
      <c r="B65" s="150"/>
      <c r="C65" s="329"/>
      <c r="D65" s="329"/>
      <c r="E65" s="329"/>
      <c r="F65" s="329"/>
      <c r="G65" s="329"/>
      <c r="H65" s="329"/>
      <c r="I65" s="329"/>
      <c r="J65" s="329"/>
      <c r="K65" s="329"/>
      <c r="L65" s="329"/>
      <c r="M65" s="331"/>
    </row>
    <row r="66" spans="1:13" x14ac:dyDescent="0.2">
      <c r="A66" s="159"/>
      <c r="B66" s="150"/>
      <c r="C66" s="329"/>
      <c r="D66" s="329"/>
      <c r="E66" s="329"/>
      <c r="F66" s="329"/>
      <c r="G66" s="329"/>
      <c r="H66" s="329"/>
      <c r="I66" s="329"/>
      <c r="J66" s="329"/>
      <c r="K66" s="329"/>
      <c r="L66" s="329"/>
      <c r="M66" s="331"/>
    </row>
    <row r="67" spans="1:13" x14ac:dyDescent="0.2">
      <c r="A67" s="159"/>
      <c r="B67" s="150"/>
      <c r="C67" s="329"/>
      <c r="D67" s="329"/>
      <c r="E67" s="329"/>
      <c r="F67" s="329"/>
      <c r="G67" s="329"/>
      <c r="H67" s="329"/>
      <c r="I67" s="329"/>
      <c r="J67" s="329"/>
      <c r="K67" s="329"/>
      <c r="L67" s="329"/>
      <c r="M67" s="331"/>
    </row>
    <row r="68" spans="1:13" x14ac:dyDescent="0.2">
      <c r="A68" s="159"/>
      <c r="B68" s="150"/>
      <c r="C68" s="329"/>
      <c r="D68" s="329"/>
      <c r="E68" s="329"/>
      <c r="F68" s="329"/>
      <c r="G68" s="329"/>
      <c r="H68" s="329"/>
      <c r="I68" s="329"/>
      <c r="J68" s="329"/>
      <c r="K68" s="329"/>
      <c r="L68" s="329"/>
      <c r="M68" s="331"/>
    </row>
    <row r="69" spans="1:13" x14ac:dyDescent="0.2">
      <c r="A69" s="159"/>
      <c r="B69" s="150"/>
      <c r="C69" s="329"/>
      <c r="D69" s="329"/>
      <c r="E69" s="329"/>
      <c r="F69" s="329"/>
      <c r="G69" s="329"/>
      <c r="H69" s="329"/>
      <c r="I69" s="329"/>
      <c r="J69" s="329"/>
      <c r="K69" s="329"/>
      <c r="L69" s="329"/>
      <c r="M69" s="331"/>
    </row>
    <row r="70" spans="1:13" ht="12" thickBot="1" x14ac:dyDescent="0.25">
      <c r="A70" s="160"/>
      <c r="B70" s="161"/>
      <c r="C70" s="340"/>
      <c r="D70" s="340"/>
      <c r="E70" s="340"/>
      <c r="F70" s="340"/>
      <c r="G70" s="340"/>
      <c r="H70" s="340"/>
      <c r="I70" s="340"/>
      <c r="J70" s="340"/>
      <c r="K70" s="340"/>
      <c r="L70" s="340"/>
      <c r="M70" s="341"/>
    </row>
    <row r="71" spans="1:13" ht="12" thickTop="1" x14ac:dyDescent="0.2">
      <c r="A71" s="151"/>
      <c r="B71" s="151"/>
      <c r="C71" s="152"/>
      <c r="D71" s="152"/>
      <c r="E71" s="152"/>
      <c r="F71" s="152"/>
      <c r="G71" s="152"/>
      <c r="H71" s="152"/>
      <c r="I71" s="152"/>
      <c r="J71" s="152"/>
      <c r="K71" s="152"/>
      <c r="L71" s="152"/>
    </row>
    <row r="72" spans="1:13" ht="12.75" x14ac:dyDescent="0.2">
      <c r="A72" s="342" t="s">
        <v>831</v>
      </c>
      <c r="B72" s="342"/>
      <c r="C72" s="342"/>
      <c r="D72" s="342"/>
      <c r="E72" s="342"/>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14</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61</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25</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f>IFERROR(SMALL($T$4:$T$75,ROWS($T$4:T5)),"")</f>
        <v>15</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f>IFERROR(SMALL(AE5:$AE$100,ROWS($AE$4:AE5)),"")</f>
        <v>62</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26</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f>IFERROR(SMALL($T$4:$T$75,ROWS($T$4:T6)),"")</f>
        <v>54</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32</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43</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67</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f>IF('School Level Expenditures'!$B$2=A10,'School Tables'!H10,"")</f>
        <v>7</v>
      </c>
      <c r="J10" s="282">
        <f>IFERROR(SMALL($I$4:$I$325,ROWS($I$4:I10)),"")</f>
        <v>83</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f>IFERROR(SMALL($I$4:$I$325,ROWS($I$4:I11)),"")</f>
        <v>157</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f>IFERROR(SMALL($I$4:$I$325,ROWS($I$4:I12)),"")</f>
        <v>168</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f>IFERROR(SMALL($I$4:$I$325,ROWS($I$4:I13)),"")</f>
        <v>202</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f>IFERROR(SMALL($I$4:$I$325,ROWS($I$4:I14)),"")</f>
        <v>210</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f>IFERROR(SMALL($I$4:$I$325,ROWS($I$4:I15)),"")</f>
        <v>247</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f>IFERROR(SMALL($I$4:$I$325,ROWS($I$4:I16)),"")</f>
        <v>283</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f>IF('School Level Expenditures'!$B$2='School Tables'!L17,'School Tables'!S17,"")</f>
        <v>14</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f>IF('School Level Expenditures'!$B$2='School Tables'!L18,'School Tables'!S18,"")</f>
        <v>15</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f>IF('School Level Expenditures'!$B$2=A28,'School Tables'!H28,"")</f>
        <v>25</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f>IF('School Level Expenditures'!$B$2=A29,'School Tables'!H29,"")</f>
        <v>26</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f>IF('School Level Expenditures'!$B$2=A35,'School Tables'!H35,"")</f>
        <v>32</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f>IF('School Level Expenditures'!$B$2=A46,'School Tables'!H46,"")</f>
        <v>43</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f>IF('School Level Expenditures'!$B$2='School Tables'!L57,'School Tables'!S57,"")</f>
        <v>54</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f>IF('School Level Expenditures'!$B$2='School Tables'!W64,'School Tables'!AD64,"")</f>
        <v>61</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f>IF('School Level Expenditures'!$B$2='School Tables'!W65,'School Tables'!AD65,"")</f>
        <v>62</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f>IF('School Level Expenditures'!$B$2=A70,'School Tables'!H70,"")</f>
        <v>67</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f>IF('School Level Expenditures'!$B$2=A86,'School Tables'!H86,"")</f>
        <v>83</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f>IF('School Level Expenditures'!$B$2=A160,'School Tables'!H160,"")</f>
        <v>157</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f>IF('School Level Expenditures'!$B$2=A171,'School Tables'!H171,"")</f>
        <v>168</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f>IF('School Level Expenditures'!$B$2=A205,'School Tables'!H205,"")</f>
        <v>202</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f>IF('School Level Expenditures'!$B$2=A213,'School Tables'!H213,"")</f>
        <v>210</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f>IF('School Level Expenditures'!$B$2=A250,'School Tables'!H250,"")</f>
        <v>247</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f>IF('School Level Expenditures'!$B$2=A286,'School Tables'!H286,"")</f>
        <v>283</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2023-11-14T22:33:52Z</cp:lastPrinted>
  <dcterms:created xsi:type="dcterms:W3CDTF">1997-12-04T19:04:30Z</dcterms:created>
  <dcterms:modified xsi:type="dcterms:W3CDTF">2023-12-28T19:58:56Z</dcterms:modified>
</cp:coreProperties>
</file>