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04BE31BE-8B85-46AA-AE8C-6A2F7E015B81}"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20" i="1" l="1"/>
  <c r="C48" i="2"/>
  <c r="C39" i="12"/>
  <c r="C37" i="12"/>
  <c r="C21" i="12"/>
  <c r="C20" i="12"/>
  <c r="C19" i="12"/>
  <c r="C12" i="12"/>
  <c r="C11" i="12"/>
  <c r="C10" i="12"/>
  <c r="J359" i="1"/>
  <c r="J361" i="1"/>
  <c r="I361" i="1"/>
  <c r="H361" i="1"/>
  <c r="I359" i="1"/>
  <c r="H359" i="1"/>
  <c r="I283" i="1"/>
  <c r="H283" i="1"/>
  <c r="J605" i="1"/>
  <c r="H605" i="1"/>
  <c r="G321" i="1" l="1"/>
  <c r="F321" i="1"/>
  <c r="I316" i="1"/>
  <c r="I321" i="1"/>
  <c r="H321" i="1"/>
  <c r="H316" i="1"/>
  <c r="I315" i="1"/>
  <c r="I278" i="1"/>
  <c r="H278" i="1"/>
  <c r="H469" i="1"/>
  <c r="H155" i="1"/>
  <c r="F50" i="1"/>
  <c r="G442" i="1"/>
  <c r="F442" i="1"/>
  <c r="G40" i="1"/>
  <c r="G13" i="1"/>
  <c r="F24" i="1"/>
  <c r="F9" i="1" l="1"/>
  <c r="G161" i="1"/>
  <c r="F110" i="1"/>
  <c r="F63" i="1"/>
  <c r="F68" i="1"/>
  <c r="H473" i="1" l="1"/>
  <c r="H593" i="1"/>
  <c r="J592" i="1"/>
  <c r="H592" i="1"/>
  <c r="I524" i="1"/>
  <c r="H524" i="1"/>
  <c r="G524" i="1"/>
  <c r="F524" i="1"/>
  <c r="I522" i="1"/>
  <c r="H522" i="1"/>
  <c r="G522" i="1"/>
  <c r="F522" i="1"/>
  <c r="I529" i="1"/>
  <c r="H529" i="1"/>
  <c r="G529" i="1"/>
  <c r="F529" i="1"/>
  <c r="I527" i="1"/>
  <c r="H527" i="1"/>
  <c r="G527" i="1"/>
  <c r="F527" i="1"/>
  <c r="H368" i="1" l="1"/>
  <c r="F368" i="1"/>
  <c r="I326" i="1"/>
  <c r="H208" i="1" l="1"/>
  <c r="H245" i="1"/>
  <c r="H244" i="1"/>
  <c r="G244" i="1"/>
  <c r="F244" i="1"/>
  <c r="J240" i="1"/>
  <c r="I240" i="1"/>
  <c r="H240" i="1"/>
  <c r="G240" i="1"/>
  <c r="F240" i="1"/>
  <c r="K239" i="1"/>
  <c r="I239" i="1"/>
  <c r="H239" i="1"/>
  <c r="G239" i="1"/>
  <c r="F239" i="1"/>
  <c r="I235" i="1"/>
  <c r="H235" i="1"/>
  <c r="G235" i="1"/>
  <c r="F235" i="1"/>
  <c r="H209" i="1"/>
  <c r="G208" i="1"/>
  <c r="F208" i="1"/>
  <c r="J204" i="1"/>
  <c r="I204" i="1"/>
  <c r="H204" i="1"/>
  <c r="G204" i="1"/>
  <c r="F204" i="1"/>
  <c r="K203" i="1"/>
  <c r="I203" i="1"/>
  <c r="H203" i="1"/>
  <c r="G203" i="1"/>
  <c r="F203" i="1"/>
  <c r="I199" i="1"/>
  <c r="H199" i="1"/>
  <c r="G199" i="1"/>
  <c r="F199" i="1"/>
  <c r="G234" i="1" l="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H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E111" i="2" s="1"/>
  <c r="L318" i="1"/>
  <c r="L320" i="1"/>
  <c r="L321" i="1"/>
  <c r="L322" i="1"/>
  <c r="L323" i="1"/>
  <c r="L324" i="1"/>
  <c r="L325" i="1"/>
  <c r="L326" i="1"/>
  <c r="E124" i="2" s="1"/>
  <c r="L327" i="1"/>
  <c r="L334" i="1"/>
  <c r="L335" i="1"/>
  <c r="L336" i="1"/>
  <c r="L261" i="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G121" i="1"/>
  <c r="G136" i="1"/>
  <c r="H121" i="1"/>
  <c r="H136" i="1"/>
  <c r="H140" i="1" s="1"/>
  <c r="I121" i="1"/>
  <c r="I136" i="1"/>
  <c r="J121" i="1"/>
  <c r="J136" i="1"/>
  <c r="J140" i="1" s="1"/>
  <c r="F147" i="1"/>
  <c r="F170" i="1" s="1"/>
  <c r="G147" i="1"/>
  <c r="D85" i="2" s="1"/>
  <c r="H147" i="1"/>
  <c r="H170" i="1" s="1"/>
  <c r="I147" i="1"/>
  <c r="I170" i="1" s="1"/>
  <c r="L251" i="1"/>
  <c r="C113" i="2" s="1"/>
  <c r="H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H9" i="2" s="1"/>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D77" i="2"/>
  <c r="D78" i="2" s="1"/>
  <c r="E77" i="2"/>
  <c r="F77" i="2"/>
  <c r="G77" i="2"/>
  <c r="G78" i="2" s="1"/>
  <c r="C79" i="2"/>
  <c r="D79" i="2"/>
  <c r="E79" i="2"/>
  <c r="C80" i="2"/>
  <c r="E80" i="2"/>
  <c r="C85" i="2"/>
  <c r="C87" i="2"/>
  <c r="H87" i="2" s="1"/>
  <c r="E87" i="2"/>
  <c r="F87" i="2"/>
  <c r="C89" i="2"/>
  <c r="D89" i="2"/>
  <c r="E89" i="2"/>
  <c r="F89" i="2"/>
  <c r="C90" i="2"/>
  <c r="H90" i="2" s="1"/>
  <c r="C93" i="2"/>
  <c r="H93" i="2" s="1"/>
  <c r="F93" i="2"/>
  <c r="C94" i="2"/>
  <c r="F94" i="2"/>
  <c r="D96" i="2"/>
  <c r="E96" i="2"/>
  <c r="F96" i="2"/>
  <c r="G96" i="2"/>
  <c r="C97" i="2"/>
  <c r="H97" i="2" s="1"/>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0"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H653" i="1"/>
  <c r="G654" i="1"/>
  <c r="H654" i="1"/>
  <c r="H655" i="1"/>
  <c r="H656" i="1"/>
  <c r="G646" i="1" l="1"/>
  <c r="C32" i="10"/>
  <c r="J652" i="1"/>
  <c r="H477" i="1"/>
  <c r="H625" i="1" s="1"/>
  <c r="J625" i="1" s="1"/>
  <c r="G477" i="1"/>
  <c r="H624" i="1" s="1"/>
  <c r="J624" i="1" s="1"/>
  <c r="D29" i="13"/>
  <c r="C29" i="13" s="1"/>
  <c r="G662" i="1"/>
  <c r="E112" i="2"/>
  <c r="C125" i="2"/>
  <c r="C119" i="2"/>
  <c r="L2" i="14"/>
  <c r="L3" i="14" s="1"/>
  <c r="C13" i="10"/>
  <c r="C110" i="2"/>
  <c r="C112" i="2"/>
  <c r="G409" i="1"/>
  <c r="H646" i="1" s="1"/>
  <c r="H13" i="2"/>
  <c r="F85" i="2"/>
  <c r="M2" i="14"/>
  <c r="M3" i="14" s="1"/>
  <c r="K2" i="14"/>
  <c r="K3" i="14" s="1"/>
  <c r="C121" i="2"/>
  <c r="C12" i="10"/>
  <c r="C120" i="2"/>
  <c r="H120" i="2" s="1"/>
  <c r="E121" i="2"/>
  <c r="N2" i="14"/>
  <c r="N3" i="14" s="1"/>
  <c r="I409" i="1"/>
  <c r="H22" i="2"/>
  <c r="G62" i="2"/>
  <c r="A40" i="12"/>
  <c r="H35" i="2"/>
  <c r="H80" i="2"/>
  <c r="H79" i="2"/>
  <c r="H76" i="2"/>
  <c r="H61" i="2"/>
  <c r="H30" i="2"/>
  <c r="H28" i="2"/>
  <c r="H25" i="2"/>
  <c r="H17" i="2"/>
  <c r="D6" i="13"/>
  <c r="C6" i="13" s="1"/>
  <c r="E13" i="13"/>
  <c r="C13" i="13" s="1"/>
  <c r="H102" i="2"/>
  <c r="H100" i="2"/>
  <c r="H98" i="2"/>
  <c r="H73" i="2"/>
  <c r="H23" i="2"/>
  <c r="H15" i="2"/>
  <c r="H11" i="2"/>
  <c r="H143" i="2"/>
  <c r="H38" i="2"/>
  <c r="H43" i="2"/>
  <c r="H47" i="2"/>
  <c r="H69" i="2"/>
  <c r="H34" i="2"/>
  <c r="H96" i="2"/>
  <c r="H125" i="2"/>
  <c r="H89" i="2"/>
  <c r="H72" i="2"/>
  <c r="H59" i="2"/>
  <c r="H94" i="2"/>
  <c r="H29" i="2"/>
  <c r="H27" i="2"/>
  <c r="H24" i="2"/>
  <c r="H12" i="2"/>
  <c r="H8" i="2"/>
  <c r="D18" i="13"/>
  <c r="C18" i="13" s="1"/>
  <c r="D15" i="13"/>
  <c r="C15" i="13" s="1"/>
  <c r="H101" i="2"/>
  <c r="H99" i="2"/>
  <c r="H132" i="2"/>
  <c r="H36" i="2"/>
  <c r="H44" i="2"/>
  <c r="D144" i="2"/>
  <c r="E119" i="2"/>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J645" i="1"/>
  <c r="G626" i="1"/>
  <c r="L530" i="1"/>
  <c r="H546" i="1"/>
  <c r="G164" i="2"/>
  <c r="G161" i="2"/>
  <c r="G157" i="2"/>
  <c r="G156" i="2"/>
  <c r="G81"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H50" i="2" s="1"/>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G63" i="2"/>
  <c r="J619" i="1"/>
  <c r="G42" i="2"/>
  <c r="G50" i="2" s="1"/>
  <c r="J51" i="1"/>
  <c r="G16" i="2"/>
  <c r="G18" i="2" s="1"/>
  <c r="J19" i="1"/>
  <c r="G622" i="1" s="1"/>
  <c r="F546" i="1"/>
  <c r="H435" i="1"/>
  <c r="D103" i="2"/>
  <c r="I140" i="1"/>
  <c r="A22" i="12"/>
  <c r="J653" i="1"/>
  <c r="G572" i="1"/>
  <c r="I435" i="1"/>
  <c r="G435" i="1"/>
  <c r="I664" i="1"/>
  <c r="B33" i="16" l="1"/>
  <c r="J646" i="1"/>
  <c r="H112" i="2"/>
  <c r="H121" i="2"/>
  <c r="H119" i="2"/>
  <c r="H110" i="2"/>
  <c r="I662" i="1"/>
  <c r="I663" i="1"/>
  <c r="L572" i="1"/>
  <c r="H123" i="2"/>
  <c r="H118" i="2"/>
  <c r="E51" i="2"/>
  <c r="H85" i="2"/>
  <c r="H16" i="2"/>
  <c r="H57" i="2"/>
  <c r="H134" i="2"/>
  <c r="H21" i="2"/>
  <c r="H31" i="2"/>
  <c r="H62" i="2"/>
  <c r="H103" i="2"/>
  <c r="E128" i="2"/>
  <c r="H18" i="2"/>
  <c r="H42" i="2"/>
  <c r="H91" i="2"/>
  <c r="D128" i="2"/>
  <c r="D145" i="2" s="1"/>
  <c r="H127" i="2"/>
  <c r="H114" i="2"/>
  <c r="D51"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H51" i="2" s="1"/>
  <c r="G632" i="1"/>
  <c r="J632" i="1" s="1"/>
  <c r="G194" i="1"/>
  <c r="G629" i="1" s="1"/>
  <c r="J629" i="1" s="1"/>
  <c r="G627" i="1"/>
  <c r="J627" i="1" s="1"/>
  <c r="J52" i="1"/>
  <c r="H622" i="1" s="1"/>
  <c r="J622" i="1" s="1"/>
  <c r="H128" i="2" l="1"/>
  <c r="H63" i="2"/>
  <c r="C144" i="2"/>
  <c r="C145" i="2" s="1"/>
  <c r="H141"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144" i="2" l="1"/>
  <c r="H145" i="2"/>
  <c r="I670" i="1"/>
  <c r="I673" i="1" s="1"/>
  <c r="C7" i="10" s="1"/>
  <c r="F673" i="1"/>
  <c r="C4" i="10" s="1"/>
  <c r="I668" i="1"/>
  <c r="D28" i="10"/>
  <c r="F136" i="1"/>
  <c r="F140" i="1" s="1"/>
  <c r="C77" i="2"/>
  <c r="C78" i="2" s="1"/>
  <c r="H78" i="2" l="1"/>
  <c r="C81" i="2"/>
  <c r="F194" i="1"/>
  <c r="G628" i="1" s="1"/>
  <c r="C38" i="10"/>
  <c r="H77" i="2"/>
  <c r="C41" i="10" l="1"/>
  <c r="J628" i="1"/>
  <c r="H657" i="1"/>
  <c r="C104" i="2"/>
  <c r="H104" i="2" s="1"/>
  <c r="H81" i="2"/>
  <c r="D36" i="10" l="1"/>
  <c r="D39" i="10"/>
  <c r="D37" i="10"/>
  <c r="D35" i="10"/>
  <c r="D40" i="10"/>
  <c r="D38"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<sst xmlns="http://schemas.openxmlformats.org/spreadsheetml/2006/main" count="6559" uniqueCount="1814">
  <si>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</si>
  <si>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</si>
  <si>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</si>
  <si>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</si>
  <si>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</si>
  <si>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</si>
  <si>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</si>
  <si>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</si>
  <si>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</si>
  <si>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</si>
  <si>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</si>
  <si>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</si>
  <si>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</si>
  <si>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</si>
  <si>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</si>
  <si>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</si>
  <si>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</si>
  <si>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</si>
  <si>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</si>
  <si>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</si>
  <si>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</si>
  <si>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</si>
  <si>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</si>
  <si>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</si>
  <si>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</si>
  <si>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</si>
  <si>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</si>
  <si>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</si>
  <si>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</si>
  <si>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</si>
  <si>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</si>
  <si>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</si>
  <si>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</si>
  <si>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</si>
  <si>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</si>
  <si>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</si>
  <si>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</si>
  <si>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</si>
  <si>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</si>
  <si>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</si>
  <si>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</si>
  <si>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</si>
  <si>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</si>
  <si>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</si>
  <si>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</si>
  <si>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</si>
  <si>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</si>
  <si>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</si>
  <si>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</si>
  <si>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</si>
  <si>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</si>
  <si>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</si>
  <si>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</si>
  <si>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</si>
  <si>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</si>
  <si>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</si>
  <si>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</si>
  <si>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</si>
  <si>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</si>
  <si>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</si>
  <si>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</si>
  <si>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</si>
  <si>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</si>
  <si>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</si>
  <si>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</si>
  <si>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</si>
  <si>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</si>
  <si>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</si>
  <si>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</si>
  <si>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</si>
  <si>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</si>
  <si>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</si>
  <si>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</si>
  <si>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</si>
  <si>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</si>
  <si>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</si>
  <si>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</si>
  <si>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</si>
  <si>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</si>
  <si>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</si>
  <si>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</si>
  <si>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</si>
  <si>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</si>
  <si>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</si>
  <si>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</si>
  <si>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</si>
  <si>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</si>
  <si>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</si>
  <si>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</si>
  <si>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</si>
  <si>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</si>
  <si>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</si>
  <si>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</si>
  <si>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</si>
  <si>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</si>
  <si>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</si>
  <si>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</si>
  <si>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</si>
  <si>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</si>
  <si>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</si>
  <si>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</si>
  <si>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</si>
  <si>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</si>
  <si>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</si>
  <si>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</si>
  <si>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</si>
  <si>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</si>
  <si>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</si>
  <si>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</si>
  <si>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</si>
  <si>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</si>
  <si>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</si>
  <si>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</si>
  <si>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</si>
  <si>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</si>
  <si>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</si>
  <si>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</si>
  <si>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</si>
  <si>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</si>
  <si>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</si>
  <si>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</si>
  <si>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</si>
  <si>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</si>
  <si>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</si>
  <si>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</si>
  <si>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</si>
  <si>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</si>
  <si>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</si>
  <si>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</si>
  <si>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</si>
  <si>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</si>
  <si>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</si>
  <si>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</si>
  <si>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</si>
  <si>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</si>
  <si>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</si>
  <si>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</si>
  <si>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</si>
  <si>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</si>
  <si>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</si>
  <si>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</si>
  <si>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</si>
  <si>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</si>
  <si>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</si>
  <si>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</si>
  <si>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</si>
  <si>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</si>
  <si>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</si>
  <si>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</si>
  <si>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</si>
  <si>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</si>
  <si>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</si>
  <si>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</si>
  <si>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</si>
  <si>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</si>
  <si>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</si>
  <si>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</si>
  <si>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</si>
  <si>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</si>
  <si>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</si>
  <si>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</si>
  <si>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</si>
  <si>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</si>
  <si>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</si>
  <si>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</si>
  <si>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</si>
  <si>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</si>
  <si>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</si>
  <si>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</si>
  <si>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</si>
  <si>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</si>
  <si>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</si>
  <si>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</si>
  <si>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</si>
  <si>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</si>
  <si>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</si>
  <si>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</si>
  <si>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</si>
  <si>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</si>
  <si>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</si>
  <si>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</si>
  <si>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</si>
  <si>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</si>
  <si>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</si>
  <si>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</si>
  <si>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</si>
  <si>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</si>
  <si>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</si>
  <si>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</si>
  <si>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</si>
  <si>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</si>
  <si>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</si>
  <si>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</si>
  <si>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</si>
  <si>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</si>
  <si>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</si>
  <si>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</si>
  <si>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</si>
  <si>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</si>
  <si>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</si>
  <si>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</si>
  <si>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</si>
  <si>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</si>
  <si>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</si>
  <si>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</si>
  <si>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</si>
  <si>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</si>
  <si>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</si>
  <si>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</si>
  <si>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</si>
  <si>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</si>
  <si>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</si>
  <si>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</si>
  <si>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</si>
  <si>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</si>
  <si>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</si>
  <si>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</si>
  <si>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</si>
  <si>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</si>
  <si>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</si>
  <si>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</si>
  <si>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</si>
  <si>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</si>
  <si>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</si>
  <si>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</si>
  <si>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</si>
  <si>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</si>
  <si>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</si>
  <si>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</si>
  <si>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</si>
  <si>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</si>
  <si>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</si>
  <si>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</si>
  <si>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</si>
  <si>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</si>
  <si>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</si>
  <si>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</si>
  <si>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</si>
  <si>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</si>
  <si>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</si>
  <si>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</si>
  <si>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</si>
  <si>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</si>
  <si>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</si>
  <si>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</si>
  <si>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</si>
  <si>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</si>
  <si>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</si>
  <si>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</si>
  <si>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</si>
  <si>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</si>
  <si>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</si>
  <si>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</si>
  <si>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</si>
  <si>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</si>
  <si>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</si>
  <si>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</si>
  <si>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</si>
  <si>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</si>
  <si>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</si>
  <si>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</si>
  <si>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</si>
  <si>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</si>
  <si>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</si>
  <si>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</si>
  <si>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</si>
  <si>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</si>
  <si>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</si>
  <si>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</si>
  <si>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</si>
  <si>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</si>
  <si>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</si>
  <si>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</si>
  <si>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</si>
  <si>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</si>
  <si>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</si>
  <si>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</si>
  <si>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</si>
  <si>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</si>
  <si>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</si>
  <si>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</si>
  <si>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</si>
  <si>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</si>
  <si>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</si>
  <si>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</si>
  <si>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</si>
  <si>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</si>
  <si>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</si>
  <si>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</si>
  <si>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</si>
  <si>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</si>
  <si>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</si>
  <si>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</si>
  <si>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</si>
  <si>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</si>
  <si>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</si>
  <si>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</si>
  <si>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</si>
  <si>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</si>
  <si>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</si>
  <si>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</si>
  <si>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</si>
  <si>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</si>
  <si>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</si>
  <si>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</si>
  <si>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</si>
  <si>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</si>
  <si>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</si>
  <si>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</si>
  <si>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</si>
  <si>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</si>
  <si>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</si>
  <si>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</si>
  <si>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</si>
  <si>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</si>
  <si>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</si>
  <si>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</si>
  <si>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</si>
  <si>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</si>
  <si>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</si>
  <si>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</si>
  <si>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</si>
  <si>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</si>
  <si>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</si>
  <si>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</si>
  <si>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</si>
  <si>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</si>
  <si>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</si>
  <si>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</si>
  <si>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</si>
  <si>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</si>
  <si>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</si>
  <si>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</si>
  <si>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</si>
  <si>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</si>
  <si>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</si>
  <si>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</si>
  <si>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</si>
  <si>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</si>
  <si>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</si>
  <si>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</si>
  <si>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</si>
  <si>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</si>
  <si>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</si>
  <si>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</si>
  <si>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</si>
  <si>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</si>
  <si>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</si>
  <si>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</si>
  <si>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</si>
  <si>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</si>
  <si>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</si>
  <si>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</si>
  <si>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</si>
  <si>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</si>
  <si>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</si>
  <si>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</si>
  <si>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</si>
  <si>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</si>
  <si>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</si>
  <si>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</si>
  <si>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</si>
  <si>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</si>
  <si>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</si>
  <si>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</si>
  <si>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</si>
  <si>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</si>
  <si>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</si>
  <si>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</si>
  <si>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</si>
  <si>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</si>
  <si>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</si>
  <si>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</si>
  <si>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</si>
  <si>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</si>
  <si>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</si>
  <si>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</si>
  <si>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</si>
  <si>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</si>
  <si>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</si>
  <si>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</si>
  <si>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</si>
  <si>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</si>
  <si>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</si>
  <si>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</si>
  <si>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</si>
  <si>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</si>
  <si>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</si>
  <si>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</si>
  <si>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</si>
  <si>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</si>
  <si>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</si>
  <si>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</si>
  <si>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</si>
  <si>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</si>
  <si>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</si>
  <si>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</si>
  <si>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</si>
  <si>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</si>
  <si>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</si>
  <si>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</si>
  <si>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</si>
  <si>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</si>
  <si>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</si>
  <si>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</si>
  <si>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</si>
  <si>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</si>
  <si>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</si>
  <si>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</si>
  <si>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</si>
  <si>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</si>
  <si>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</si>
  <si>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</si>
  <si>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</si>
  <si>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</si>
  <si>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</si>
  <si>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</si>
  <si>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</si>
  <si>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</si>
  <si>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</si>
  <si>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</si>
  <si>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</si>
  <si>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</si>
  <si>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</si>
  <si>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</si>
  <si>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</si>
  <si>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</si>
  <si>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</si>
  <si>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</si>
  <si>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</si>
  <si>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</si>
  <si>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</si>
  <si>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</si>
  <si>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</si>
  <si>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</si>
  <si>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</si>
  <si>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</si>
  <si>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</si>
  <si>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</si>
  <si>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</si>
  <si>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</si>
  <si>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</si>
  <si>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</si>
  <si>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</si>
  <si>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</si>
  <si>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</si>
  <si>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</si>
  <si>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</si>
  <si>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</si>
  <si>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</si>
  <si>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</si>
  <si>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</si>
  <si>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</si>
  <si>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</si>
  <si>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</si>
  <si>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</si>
  <si>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</si>
  <si>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</si>
  <si>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</si>
  <si>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</si>
  <si>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</si>
  <si>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</si>
  <si>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</si>
  <si>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</si>
  <si>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</si>
  <si>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</si>
  <si>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</si>
  <si>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</si>
  <si>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</si>
  <si>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</si>
  <si>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</si>
  <si>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</si>
  <si>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</si>
  <si>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</si>
  <si>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</si>
  <si>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</si>
  <si>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</si>
  <si>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</si>
  <si>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</si>
  <si>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</si>
  <si>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</si>
  <si>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</si>
  <si>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</si>
  <si>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</si>
  <si>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</si>
  <si>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</si>
  <si>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</si>
  <si>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</si>
  <si>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</si>
  <si>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</si>
  <si>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</si>
  <si>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</si>
  <si>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</si>
  <si>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</si>
  <si>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</si>
  <si>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</si>
  <si>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</si>
  <si>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</si>
  <si>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</si>
  <si>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</si>
  <si>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</si>
  <si>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</si>
  <si>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</si>
  <si>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</si>
  <si>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</si>
  <si>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</si>
  <si>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</si>
  <si>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</si>
  <si>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</si>
  <si>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</si>
  <si>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</si>
  <si>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</si>
  <si>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</si>
  <si>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</si>
  <si>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</si>
  <si>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</si>
  <si>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</si>
  <si>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</si>
  <si>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</si>
  <si>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</si>
  <si>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</si>
  <si>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</si>
  <si>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</si>
  <si>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</si>
  <si>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</si>
  <si>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</si>
  <si>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</si>
  <si>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</si>
  <si>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</si>
  <si>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</si>
  <si>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</si>
  <si>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</si>
  <si>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</si>
  <si>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</si>
  <si>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</si>
  <si>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</si>
  <si>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</si>
  <si>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</si>
  <si>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</si>
  <si>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</si>
  <si>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</si>
  <si>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</si>
  <si>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</si>
  <si>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</si>
  <si>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</si>
  <si>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</si>
  <si>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</si>
  <si>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</si>
  <si>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</si>
  <si>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</si>
  <si>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</si>
  <si>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</si>
  <si>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</si>
  <si>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</si>
  <si>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</si>
  <si>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</si>
  <si>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</si>
  <si>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</si>
  <si>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</si>
  <si>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</si>
  <si>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</si>
  <si>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</si>
  <si>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</si>
  <si>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</si>
  <si>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</si>
  <si>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</si>
  <si>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</si>
  <si>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</si>
  <si>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</si>
  <si>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</si>
  <si>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</si>
  <si>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</si>
  <si>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</si>
  <si>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</si>
  <si>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</si>
  <si>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</si>
  <si>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</si>
  <si>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</si>
  <si>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</si>
  <si>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</si>
  <si>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</si>
  <si>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</si>
  <si>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</si>
  <si>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</si>
  <si>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</si>
  <si>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</si>
  <si>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</si>
  <si>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</si>
  <si>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</si>
  <si>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</si>
  <si>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</si>
  <si>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</si>
  <si>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</si>
  <si>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</si>
  <si>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</si>
  <si>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</si>
  <si>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</si>
  <si>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</si>
  <si>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</si>
  <si>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</si>
  <si>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</si>
  <si>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</si>
  <si>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</si>
  <si>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</si>
  <si>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</si>
  <si>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</si>
  <si>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</si>
  <si>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</si>
  <si>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</si>
  <si>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</si>
  <si>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</si>
  <si>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</si>
  <si>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</si>
  <si>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</si>
  <si>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</si>
  <si>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</si>
  <si>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</si>
  <si>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</si>
  <si>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</si>
  <si>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</si>
  <si>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</si>
  <si>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</si>
  <si>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</si>
  <si>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</si>
  <si>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</si>
  <si>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</si>
  <si>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</si>
  <si>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</si>
  <si>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</si>
  <si>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</si>
  <si>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</si>
  <si>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</si>
  <si>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</si>
  <si>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</si>
  <si>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</si>
  <si>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</si>
  <si>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</si>
  <si>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</si>
  <si>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</si>
  <si>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</si>
  <si>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</si>
  <si>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</si>
  <si>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</si>
  <si>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</si>
  <si>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</si>
  <si>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</si>
  <si>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</si>
  <si>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</si>
  <si>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</si>
  <si>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</si>
  <si>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</si>
  <si>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</si>
  <si>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</si>
  <si>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</si>
  <si>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</si>
  <si>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</si>
  <si>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</si>
  <si>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</si>
  <si>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</si>
  <si>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</si>
  <si>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</si>
  <si>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</si>
  <si>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</si>
  <si>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</si>
  <si>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</si>
  <si>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</si>
  <si>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</si>
  <si>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</si>
  <si>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</si>
  <si>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</si>
  <si>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</si>
  <si>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</si>
  <si>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</si>
  <si>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</si>
  <si>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</si>
  <si>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</si>
  <si>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</si>
  <si>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</si>
  <si>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</si>
  <si>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</si>
  <si>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</si>
  <si>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</si>
  <si>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</si>
  <si>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</si>
  <si>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</si>
  <si>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</si>
  <si>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</si>
  <si>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</si>
  <si>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</si>
  <si>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</si>
  <si>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</si>
  <si>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</si>
  <si>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</si>
  <si>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</si>
  <si>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</si>
  <si>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</si>
  <si>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</si>
  <si>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</si>
  <si>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</si>
  <si>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</si>
  <si>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</si>
  <si>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</si>
  <si>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</si>
  <si>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</si>
  <si>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</si>
  <si>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</si>
  <si>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</si>
  <si>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</si>
  <si>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</si>
  <si>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</si>
  <si>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</si>
  <si>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</si>
  <si>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</si>
  <si>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</si>
  <si>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</si>
  <si>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</si>
  <si>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</si>
  <si>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</si>
  <si>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</si>
  <si>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</si>
  <si>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</si>
  <si>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</si>
  <si>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</si>
  <si>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</si>
  <si>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</si>
  <si>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</si>
  <si>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</si>
  <si>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</si>
  <si>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</si>
  <si>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</si>
  <si>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</si>
  <si>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</si>
  <si>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</si>
  <si>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</si>
  <si>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</si>
  <si>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</si>
  <si>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</si>
  <si>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</si>
  <si>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</si>
  <si>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</si>
  <si>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</si>
  <si>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</si>
  <si>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</si>
  <si>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</si>
  <si>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</si>
  <si>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</si>
  <si>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</si>
  <si>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</si>
  <si>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</si>
  <si>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</si>
  <si>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</si>
  <si>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</si>
  <si>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</si>
  <si>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</si>
  <si>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</si>
  <si>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</si>
  <si>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</si>
  <si>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</si>
  <si>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</si>
  <si>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</si>
  <si>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</si>
  <si>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</si>
  <si>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</si>
  <si>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</si>
  <si>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</si>
  <si>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</si>
  <si>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</si>
  <si>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</si>
  <si>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</si>
  <si>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</si>
  <si>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</si>
  <si>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</si>
  <si>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</si>
  <si>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</si>
  <si>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</si>
  <si>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</si>
  <si>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</si>
  <si>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</si>
  <si>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</si>
  <si>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</si>
  <si>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</si>
  <si>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</si>
  <si>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</si>
  <si>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</si>
  <si>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</si>
  <si>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</si>
  <si>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</si>
  <si>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</si>
  <si>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</si>
  <si>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</si>
  <si>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</si>
  <si>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</si>
  <si>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</si>
  <si>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</si>
  <si>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</si>
  <si>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</si>
  <si>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</si>
  <si>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</si>
  <si>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</si>
  <si>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</si>
  <si>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</si>
  <si>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</si>
  <si>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</si>
  <si>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</si>
  <si>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</si>
  <si>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</si>
  <si>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</si>
  <si>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</si>
  <si>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</si>
  <si>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</si>
  <si>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</si>
  <si>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</si>
  <si>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</si>
  <si>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</si>
  <si>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</si>
  <si>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</si>
  <si>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</si>
  <si>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</si>
  <si>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</si>
  <si>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</si>
  <si>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</si>
  <si>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</si>
  <si>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</si>
  <si>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</si>
  <si>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</si>
  <si>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</si>
  <si>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</si>
  <si>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</si>
  <si>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</si>
  <si>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</si>
  <si>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</si>
  <si>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</si>
  <si>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</si>
  <si>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</si>
  <si>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</si>
  <si>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</si>
  <si>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</si>
  <si>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</si>
  <si>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</si>
  <si>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</si>
  <si>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</si>
  <si>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</si>
  <si>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</si>
  <si>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</si>
  <si>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</si>
  <si>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</si>
  <si>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</si>
  <si>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</si>
  <si>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</si>
  <si>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</si>
  <si>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</si>
  <si>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</si>
  <si>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</si>
  <si>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</si>
  <si>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</si>
  <si>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</si>
  <si>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</si>
  <si>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</si>
  <si>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</si>
  <si>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</si>
  <si>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</si>
  <si>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</si>
  <si>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</si>
  <si>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</si>
  <si>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</si>
  <si>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</si>
  <si>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</si>
  <si>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</si>
  <si>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</si>
  <si>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</si>
  <si>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</si>
  <si>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</si>
  <si>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</si>
  <si>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</si>
  <si>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</si>
  <si>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</si>
  <si>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</si>
  <si>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</si>
  <si>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</si>
  <si>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</si>
  <si>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</si>
  <si>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</si>
  <si>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</si>
  <si>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</si>
  <si>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</si>
  <si>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</si>
  <si>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</si>
  <si>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</si>
  <si>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</si>
  <si>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</si>
  <si>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</si>
  <si>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</si>
  <si>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</si>
  <si>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</si>
  <si>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</si>
  <si>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</si>
  <si>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</si>
  <si>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</si>
  <si>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</si>
  <si>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</si>
  <si>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</si>
  <si>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</si>
  <si>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</si>
  <si>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</si>
  <si>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</si>
  <si>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</si>
  <si>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</si>
  <si>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</si>
  <si>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</si>
  <si>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</si>
  <si>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</si>
  <si>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</si>
  <si>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</si>
  <si>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</si>
  <si>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</si>
  <si>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</si>
  <si>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</si>
  <si>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</si>
  <si>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</si>
  <si>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</si>
  <si>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</si>
  <si>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</si>
  <si>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</si>
  <si>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</si>
  <si>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</si>
  <si>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</si>
  <si>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</si>
  <si>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</si>
  <si>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</si>
  <si>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</si>
  <si>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</si>
  <si>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</si>
  <si>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</si>
  <si>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</si>
  <si>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</si>
  <si>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</si>
  <si>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</si>
  <si>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</si>
  <si>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</si>
  <si>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</si>
  <si>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</si>
  <si>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</si>
  <si>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</si>
  <si>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</si>
  <si>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</si>
  <si>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</si>
  <si>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</si>
  <si>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</si>
  <si>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</si>
  <si>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</si>
  <si>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</si>
  <si>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</si>
  <si>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</si>
  <si>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</si>
  <si>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</si>
  <si>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</si>
  <si>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</si>
  <si>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</si>
  <si>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</si>
  <si>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</si>
  <si>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</si>
  <si>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</si>
  <si>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</si>
  <si>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</si>
  <si>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</si>
  <si>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</si>
  <si>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</si>
  <si>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</si>
  <si>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</si>
  <si>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</si>
  <si>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</si>
  <si>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</si>
  <si>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</si>
  <si>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</si>
  <si>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</si>
  <si>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</si>
  <si>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</si>
  <si>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</si>
  <si>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</si>
  <si>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</si>
  <si>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</si>
  <si>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</si>
  <si>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</si>
  <si>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</si>
  <si>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</si>
  <si>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</si>
  <si>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</si>
  <si>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</si>
  <si>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</si>
  <si>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</si>
  <si>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</si>
  <si>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</si>
  <si>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</si>
  <si>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</si>
  <si>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</si>
  <si>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</si>
  <si>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</si>
  <si>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</si>
  <si>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</si>
  <si>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</si>
  <si>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</si>
  <si>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</si>
  <si>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</si>
  <si>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</si>
  <si>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</si>
  <si>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</si>
  <si>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</si>
  <si>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</si>
  <si>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</si>
  <si>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</si>
  <si>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</si>
  <si>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</si>
  <si>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</si>
  <si>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</si>
  <si>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</si>
  <si>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</si>
  <si>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</si>
  <si>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</si>
  <si>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</si>
  <si>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</si>
  <si>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</si>
  <si>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</si>
  <si>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</si>
  <si>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</si>
  <si>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</si>
  <si>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</si>
  <si>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</si>
  <si>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</si>
  <si>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</si>
  <si>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</si>
  <si>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</si>
  <si>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</si>
  <si>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</si>
  <si>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</si>
  <si>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</si>
  <si>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</si>
  <si>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</si>
  <si>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</si>
  <si>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</si>
  <si>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</si>
  <si>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</si>
  <si>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</si>
  <si>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</si>
  <si>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</si>
  <si>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</si>
  <si>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</si>
  <si>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</si>
  <si>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</si>
  <si>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</si>
  <si>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</si>
  <si>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</si>
  <si>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</si>
  <si>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</si>
  <si>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</si>
  <si>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</si>
  <si>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</si>
  <si>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</si>
  <si>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</si>
  <si>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</si>
  <si>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</si>
  <si>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</si>
  <si>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</si>
  <si>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</si>
  <si>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</si>
  <si>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</si>
  <si>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</si>
  <si>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</si>
  <si>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</si>
  <si>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</si>
  <si>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</si>
  <si>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</si>
  <si>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</si>
  <si>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</si>
  <si>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</si>
  <si>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</si>
  <si>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</si>
  <si>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</si>
  <si>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</si>
  <si>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</si>
  <si>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</si>
  <si>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</si>
  <si>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</si>
  <si>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</si>
  <si>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</si>
  <si>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</si>
  <si>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</si>
  <si>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</si>
  <si>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</si>
  <si>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</si>
  <si>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</si>
  <si>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</si>
  <si>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</si>
  <si>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</si>
  <si>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</si>
  <si>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</si>
  <si>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</si>
  <si>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</si>
  <si>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</si>
  <si>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</si>
  <si>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</si>
  <si>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</si>
  <si>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</si>
  <si>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</si>
  <si>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</si>
  <si>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</si>
  <si>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</si>
  <si>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</si>
  <si>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</si>
  <si>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</si>
  <si>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</si>
  <si>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</si>
  <si>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</si>
  <si>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</si>
  <si>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</si>
  <si>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</si>
  <si>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</si>
  <si>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</si>
  <si>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</si>
  <si>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</si>
  <si>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</si>
  <si>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</si>
  <si>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</si>
  <si>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</si>
  <si>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</si>
  <si>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</si>
  <si>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</si>
  <si>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</si>
  <si>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</si>
  <si>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</si>
  <si>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</si>
  <si>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</si>
  <si>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</si>
  <si>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</si>
  <si>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</si>
  <si>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</si>
  <si>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</si>
  <si>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</si>
  <si>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</si>
  <si>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</si>
  <si>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</si>
  <si>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</si>
  <si>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</si>
  <si>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</si>
  <si>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</si>
  <si>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</si>
  <si>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</si>
  <si>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</si>
  <si>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</si>
  <si>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</si>
  <si>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</si>
  <si>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</si>
  <si>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</si>
  <si>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</si>
  <si>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</si>
  <si>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</si>
  <si>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</si>
  <si>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</si>
  <si>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</si>
  <si>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</si>
  <si>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</si>
  <si>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</si>
  <si>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</si>
  <si>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</si>
  <si>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</si>
  <si>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</si>
  <si>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</si>
  <si>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</si>
  <si>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</si>
  <si>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</si>
  <si>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</si>
  <si>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</si>
  <si>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</si>
  <si>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</si>
  <si>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</si>
  <si>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</si>
  <si>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</si>
  <si>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</si>
  <si>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</si>
  <si>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</si>
  <si>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</si>
  <si>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</si>
  <si>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</si>
  <si>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</si>
  <si>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</si>
  <si>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</si>
  <si>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</si>
  <si>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</si>
  <si>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</si>
  <si>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</si>
  <si>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</si>
  <si>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</si>
  <si>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</si>
  <si>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</si>
  <si>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</si>
  <si>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</si>
  <si>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</si>
  <si>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</si>
  <si>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</si>
  <si>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</si>
  <si>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</si>
  <si>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</si>
  <si>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</si>
  <si>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</si>
  <si>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</si>
  <si>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</si>
  <si>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</si>
  <si>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</si>
  <si>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</si>
  <si>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</si>
  <si>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</si>
  <si>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</si>
  <si>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</si>
  <si>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</si>
  <si>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</si>
  <si>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</si>
  <si>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</si>
  <si>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</si>
  <si>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</si>
  <si>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</si>
  <si>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</si>
  <si>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</si>
  <si>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</si>
  <si>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</si>
  <si>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</si>
  <si>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</si>
  <si>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</si>
  <si>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</si>
  <si>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</si>
  <si>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</si>
  <si>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</si>
  <si>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</si>
  <si>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</si>
  <si>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</si>
  <si>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</si>
  <si>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</si>
  <si>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</si>
  <si>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</si>
  <si>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</si>
  <si>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</si>
  <si>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</si>
  <si>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</si>
  <si>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</si>
  <si>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</si>
  <si>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</si>
  <si>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</si>
  <si>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</si>
  <si>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</si>
  <si>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</si>
  <si>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</si>
  <si>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</si>
  <si>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</si>
  <si>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</si>
  <si>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</si>
  <si>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</si>
  <si>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</si>
  <si>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</si>
  <si>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</si>
  <si>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</si>
  <si>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</si>
  <si>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</si>
  <si>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</si>
  <si>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</si>
  <si>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</si>
  <si>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</si>
  <si>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</si>
  <si>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</si>
  <si>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</si>
  <si>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</si>
  <si>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</si>
  <si>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</si>
  <si>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</si>
  <si>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</si>
  <si>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</si>
  <si>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</si>
  <si>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</si>
  <si>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</si>
  <si>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</si>
  <si>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</si>
  <si>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</si>
  <si>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</si>
  <si>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</si>
  <si>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</si>
  <si>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</si>
  <si>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</si>
  <si>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</si>
  <si>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</si>
  <si>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</si>
  <si>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</si>
  <si>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</si>
  <si>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</si>
  <si>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</si>
  <si>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</si>
  <si>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</si>
  <si>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</si>
  <si>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</si>
  <si>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</si>
  <si>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</si>
  <si>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</si>
  <si>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</si>
  <si>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</si>
  <si>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</si>
  <si>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</si>
  <si>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</si>
  <si>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</si>
  <si>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</si>
  <si>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</si>
  <si>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</si>
  <si>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</si>
  <si>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</si>
  <si>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</si>
  <si>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</si>
  <si>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</si>
  <si>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</si>
  <si>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</si>
  <si>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</si>
  <si>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</si>
  <si>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</si>
  <si>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</si>
  <si>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</si>
  <si>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</si>
  <si>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</si>
  <si>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</si>
  <si>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</si>
  <si>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</si>
  <si>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</si>
  <si>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</si>
  <si>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</si>
  <si>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</si>
  <si>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</si>
  <si>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</si>
  <si>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</si>
  <si>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</si>
  <si>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</si>
  <si>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</si>
  <si>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</si>
  <si>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</si>
  <si>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</si>
  <si>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</si>
  <si>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</si>
  <si>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</si>
  <si>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</si>
  <si>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</si>
  <si>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</si>
  <si>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</si>
  <si>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</si>
  <si>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</si>
  <si>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</si>
  <si>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</si>
  <si>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</si>
  <si>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</si>
  <si>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</si>
  <si>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</si>
  <si>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</si>
  <si>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</si>
  <si>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</si>
  <si>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</si>
  <si>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</si>
  <si>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</si>
  <si>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</si>
  <si>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</si>
  <si>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</si>
  <si>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</si>
  <si>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</si>
  <si>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</si>
  <si>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</si>
  <si>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</si>
  <si>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</si>
  <si>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</si>
  <si>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</si>
  <si>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</si>
  <si>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</si>
  <si>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</si>
  <si>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</si>
  <si>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</si>
  <si>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</si>
  <si>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</si>
  <si>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</si>
  <si>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</si>
  <si>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</si>
  <si>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</si>
  <si>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</si>
  <si>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</si>
  <si>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</si>
  <si>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</si>
  <si>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</si>
  <si>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</si>
  <si>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</si>
  <si>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</si>
  <si>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</si>
  <si>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</si>
  <si>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</si>
  <si>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</si>
  <si>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</si>
  <si>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</si>
  <si>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</si>
  <si>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</si>
  <si>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</si>
  <si>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</si>
  <si>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</si>
  <si>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</si>
  <si>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</si>
  <si>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</si>
  <si>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</si>
  <si>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</si>
  <si>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</si>
  <si>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</si>
  <si>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</si>
  <si>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</si>
  <si>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</si>
  <si>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</si>
  <si>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</si>
  <si>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</si>
  <si>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</si>
  <si>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</si>
  <si>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</si>
  <si>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</si>
  <si>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</si>
  <si>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</si>
  <si>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</si>
  <si>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</si>
  <si>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</si>
  <si>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</si>
  <si>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</si>
  <si>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</si>
  <si>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</si>
  <si>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</si>
  <si>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</si>
  <si>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</si>
  <si>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</si>
  <si>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</si>
  <si>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</si>
  <si>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</si>
  <si>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</si>
  <si>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</si>
  <si>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</si>
  <si>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</si>
  <si>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</si>
  <si>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</si>
  <si>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</si>
  <si>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</si>
  <si>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</si>
  <si>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</si>
  <si>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</si>
  <si>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</si>
  <si>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</si>
  <si>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</si>
  <si>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</si>
  <si>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</si>
  <si>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</si>
  <si>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</si>
  <si>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</si>
  <si>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</si>
  <si>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</si>
  <si>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</si>
  <si>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</si>
  <si>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</si>
  <si>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</si>
  <si>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</si>
  <si>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</si>
  <si>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</si>
  <si>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</si>
  <si>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</si>
  <si>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</si>
  <si>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</si>
  <si>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</si>
  <si>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</si>
  <si>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</si>
  <si>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</si>
  <si>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</si>
  <si>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</si>
  <si>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</si>
  <si>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</si>
  <si>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</si>
  <si>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</si>
  <si>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</si>
  <si>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</si>
  <si>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</si>
  <si>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</si>
  <si>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</si>
  <si>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</si>
  <si>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</si>
  <si>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</si>
  <si>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</si>
  <si>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</si>
  <si>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</si>
  <si>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</si>
  <si>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</si>
  <si>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</si>
  <si>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</si>
  <si>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</si>
  <si>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</si>
  <si>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</si>
  <si>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</si>
  <si>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</si>
  <si>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</si>
  <si>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</si>
  <si>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</si>
  <si>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</si>
  <si>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</si>
  <si>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</si>
  <si>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</si>
  <si>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</si>
  <si>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</si>
  <si>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</si>
  <si>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</si>
  <si>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</si>
  <si>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</si>
  <si>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</si>
  <si>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</si>
  <si>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</si>
  <si>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</si>
  <si>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</si>
  <si>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</si>
  <si>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</si>
  <si>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</si>
  <si>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</si>
  <si>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</si>
  <si>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</si>
  <si>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</si>
  <si>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</si>
  <si>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</si>
  <si>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</si>
  <si>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</si>
  <si>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</si>
  <si>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</si>
  <si>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</si>
  <si>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</si>
  <si>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</si>
  <si>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</si>
  <si>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</si>
  <si>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</si>
  <si>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</si>
  <si>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</si>
  <si>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</si>
  <si>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</si>
  <si>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</si>
  <si>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</si>
  <si>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</si>
  <si>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</si>
  <si>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</si>
  <si>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</si>
  <si>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</si>
  <si>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</si>
  <si>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</si>
  <si>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</si>
  <si>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</si>
  <si>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</si>
  <si>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</si>
  <si>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</si>
  <si>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</si>
  <si>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</si>
  <si>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</si>
  <si>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</si>
  <si>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</si>
  <si>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</si>
  <si>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</si>
  <si>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</si>
  <si>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</si>
  <si>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</si>
  <si>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</si>
  <si>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</si>
  <si>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</si>
  <si>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</si>
  <si>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</si>
  <si>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</si>
  <si>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</si>
  <si>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</si>
  <si>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</si>
  <si>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</si>
  <si>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</si>
  <si>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</si>
  <si>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</si>
  <si>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</si>
  <si>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</si>
  <si>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</si>
  <si>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</si>
  <si>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</si>
  <si>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</si>
  <si>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</si>
  <si>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</si>
  <si>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</si>
  <si>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</si>
  <si>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</si>
  <si>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</si>
  <si>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</si>
  <si>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</si>
  <si>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</si>
  <si>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</si>
  <si>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</si>
  <si>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</si>
  <si>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</si>
  <si>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</si>
  <si>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</si>
  <si>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</si>
  <si>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</si>
  <si>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</si>
  <si>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</si>
  <si>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</si>
  <si>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</si>
  <si>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</si>
  <si>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</si>
  <si>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</si>
  <si>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</si>
  <si>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</si>
  <si>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</si>
  <si>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</si>
  <si>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</si>
  <si>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</si>
  <si>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</si>
  <si>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</si>
  <si>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</si>
  <si>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</si>
  <si>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</si>
  <si>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</si>
  <si>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</si>
  <si>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</si>
  <si>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</si>
  <si>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</si>
  <si>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</si>
  <si>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</si>
  <si>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</si>
  <si>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</si>
  <si>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</si>
  <si>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</si>
  <si>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</si>
  <si>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</si>
  <si>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</si>
  <si>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</si>
  <si>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</si>
  <si>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</si>
  <si>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</si>
  <si>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</si>
  <si>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</si>
  <si>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</si>
  <si>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</si>
  <si>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</si>
  <si>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</si>
  <si>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</si>
  <si>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</si>
  <si>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</si>
  <si>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</si>
  <si>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</si>
  <si>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</si>
  <si>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</si>
  <si>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</si>
  <si>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</si>
  <si>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</si>
  <si>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</si>
  <si>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</si>
  <si>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</si>
  <si>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</si>
  <si>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</si>
  <si>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</si>
  <si>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</si>
  <si>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</si>
  <si>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</si>
  <si>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</si>
  <si>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</si>
  <si>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</si>
  <si>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</si>
  <si>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</si>
  <si>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</si>
  <si>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</si>
  <si>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</si>
  <si>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</si>
  <si>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</si>
  <si>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</si>
  <si>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</si>
  <si>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</si>
  <si>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</si>
  <si>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</si>
  <si>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</si>
  <si>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</si>
  <si>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</si>
  <si>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</si>
  <si>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</si>
  <si>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</si>
  <si>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</si>
  <si>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</si>
  <si>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</si>
  <si>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</si>
  <si>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</si>
  <si>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</si>
  <si>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</si>
  <si>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</si>
  <si>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</si>
  <si>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</si>
  <si>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</si>
  <si>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</si>
  <si>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</si>
  <si>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</si>
  <si>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</si>
  <si>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</si>
  <si>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</si>
  <si>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</si>
  <si>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</si>
  <si>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</si>
  <si>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</si>
  <si>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</si>
  <si>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</si>
  <si>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</si>
  <si>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</si>
  <si>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</si>
  <si>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</si>
  <si>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</si>
  <si>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</si>
  <si>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</si>
  <si>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</si>
  <si>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</si>
  <si>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</si>
  <si>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</si>
  <si>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</si>
  <si>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</si>
  <si>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</si>
  <si>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</si>
  <si>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</si>
  <si>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</si>
  <si>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</si>
  <si>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</si>
  <si>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</si>
  <si>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</si>
  <si>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</si>
  <si>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</si>
  <si>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</si>
  <si>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</si>
  <si>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</si>
  <si>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</si>
  <si>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</si>
  <si>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</si>
  <si>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</si>
  <si>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</si>
  <si>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</si>
  <si>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</si>
  <si>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</si>
  <si>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</si>
  <si>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</si>
  <si>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</si>
  <si>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</si>
  <si>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</si>
  <si>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</si>
  <si>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</si>
  <si>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</si>
  <si>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</si>
  <si>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</si>
  <si>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</si>
  <si>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</si>
  <si>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</si>
  <si>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</si>
  <si>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</si>
  <si>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</si>
  <si>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</si>
  <si>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</si>
  <si>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</si>
  <si>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</si>
  <si>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</si>
  <si>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</si>
  <si>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</si>
  <si>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</si>
  <si>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</si>
  <si>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</si>
  <si>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</si>
  <si>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</si>
  <si>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</si>
  <si>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</si>
  <si>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</si>
  <si>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</si>
  <si>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</si>
  <si>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</si>
  <si>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</si>
  <si>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</si>
  <si>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</si>
  <si>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</si>
  <si>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</si>
  <si>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</si>
  <si>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</si>
  <si>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</si>
  <si>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</si>
  <si>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</si>
  <si>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</si>
  <si>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</si>
  <si>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</si>
  <si>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</si>
  <si>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</si>
  <si>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</si>
  <si>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</si>
  <si>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</si>
  <si>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</si>
  <si>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</si>
  <si>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</si>
  <si>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</si>
  <si>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</si>
  <si>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</si>
  <si>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</si>
  <si>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</si>
  <si>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</si>
  <si>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</si>
  <si>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</si>
  <si>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</si>
  <si>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</si>
  <si>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</si>
  <si>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</si>
  <si>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</si>
  <si>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</si>
  <si>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</si>
  <si>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</si>
  <si>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</si>
  <si>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</si>
  <si>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</si>
  <si>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</si>
  <si>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</si>
  <si>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</si>
  <si>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</si>
  <si>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DOE-25</t>
  </si>
  <si>
    <t>Updated ADMA at bottom to the values found in i4see attendance report - Brian Eaton, NHED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</si>
</sst>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7" zoomScale="110" zoomScaleNormal="11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1309</v>
      </c>
      <c r="B2">
        <f>INDEX('School Tables'!$AH$3:$AH$209,MATCH('DOE25'!A2,'School Tables'!$AJ$3:$AJ$209,0))</f>
        <v>399</v>
      </c>
      <c r="C2">
        <f>INDEX('School Tables'!$AI$3:$AI$209,MATCH('DOE25'!A2,'School Tables'!$AJ$3:$AJ$209,0))</f>
        <v>399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3659767.72+100</f>
        <v>3659867.72</v>
      </c>
      <c r="G9" s="18">
        <v>111838.14</v>
      </c>
      <c r="H9" s="18">
        <v>17606.23</v>
      </c>
      <c r="I9" s="18">
        <v>220229.37</v>
      </c>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27367.360000000001</v>
      </c>
      <c r="G12" s="18"/>
      <c r="H12" s="18"/>
      <c r="I12" s="18"/>
      <c r="J12" s="13">
        <f>SUM(I442)</f>
        <v>1504899.74</v>
      </c>
      <c r="K12" s="23" t="s">
        <v>288</v>
      </c>
      <c r="L12" s="23" t="s">
        <v>288</v>
      </c>
      <c r="M12" s="8"/>
      <c r="N12" s="165"/>
    </row>
    <row r="13" spans="1:14" s="3" customFormat="1" ht="12.2" customHeight="1" x14ac:dyDescent="0.15">
      <c r="A13" s="1" t="s">
        <v>604</v>
      </c>
      <c r="B13" s="2" t="s">
        <v>289</v>
      </c>
      <c r="C13" s="6">
        <v>5</v>
      </c>
      <c r="D13" s="2" t="s">
        <v>428</v>
      </c>
      <c r="E13" s="6">
        <v>140</v>
      </c>
      <c r="F13" s="18">
        <v>47377.87</v>
      </c>
      <c r="G13" s="18">
        <f>35116-0.23</f>
        <v>35115.769999999997</v>
      </c>
      <c r="H13" s="18">
        <v>156811.82</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17800.060000000001</v>
      </c>
      <c r="G14" s="18">
        <v>1480</v>
      </c>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12027.44</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3752413.0100000002</v>
      </c>
      <c r="G19" s="38">
        <f>SUM(G9:G18)</f>
        <v>160461.35</v>
      </c>
      <c r="H19" s="38">
        <f>SUM(H9:H18)</f>
        <v>174418.05000000002</v>
      </c>
      <c r="I19" s="38">
        <f>SUM(I9:I18)</f>
        <v>220229.37</v>
      </c>
      <c r="J19" s="38">
        <f>SUM(J9:J18)</f>
        <v>1504899.74</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132167.67999999999</v>
      </c>
      <c r="G22" s="18"/>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16428.18</v>
      </c>
      <c r="G23" s="18">
        <v>0</v>
      </c>
      <c r="H23" s="18">
        <v>156811.82</v>
      </c>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f>52074.1+8663.36+60.02+26117.41</f>
        <v>86914.89</v>
      </c>
      <c r="G24" s="18">
        <v>11320.7</v>
      </c>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1441760</v>
      </c>
      <c r="G30" s="18">
        <v>27960</v>
      </c>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1677270.75</v>
      </c>
      <c r="G32" s="38">
        <f>SUM(G22:G31)</f>
        <v>39280.699999999997</v>
      </c>
      <c r="H32" s="38">
        <f>SUM(H22:H31)</f>
        <v>156811.82</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v>12026.99</v>
      </c>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f>119160.5-10006.84</f>
        <v>109153.66</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212110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4"/>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688718</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v>17606.23</v>
      </c>
      <c r="I48" s="18">
        <v>220229.37</v>
      </c>
      <c r="J48" s="13">
        <f>SUM(I460)</f>
        <v>1504899.74</v>
      </c>
      <c r="K48" s="23" t="s">
        <v>288</v>
      </c>
      <c r="L48" s="23" t="s">
        <v>288</v>
      </c>
      <c r="M48" s="8"/>
      <c r="N48" s="165"/>
    </row>
    <row r="49" spans="1:14" s="3" customFormat="1" ht="12.2" customHeight="1" x14ac:dyDescent="0.15">
      <c r="A49" s="1" t="s">
        <v>858</v>
      </c>
      <c r="B49" s="2" t="s">
        <v>289</v>
      </c>
      <c r="C49" s="6">
        <v>34</v>
      </c>
      <c r="D49" s="2"/>
      <c r="E49" s="6">
        <v>753</v>
      </c>
      <c r="F49" s="18">
        <v>402716.9</v>
      </c>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f>515415+256182.36</f>
        <v>771597.36</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2075142.2599999998</v>
      </c>
      <c r="G51" s="38">
        <f>SUM(G35:G50)</f>
        <v>121180.65000000001</v>
      </c>
      <c r="H51" s="38">
        <f>SUM(H35:H50)</f>
        <v>17606.23</v>
      </c>
      <c r="I51" s="38">
        <f>SUM(I35:I50)</f>
        <v>220229.37</v>
      </c>
      <c r="J51" s="38">
        <f>SUM(J35:J50)</f>
        <v>1504899.74</v>
      </c>
      <c r="K51" s="42" t="s">
        <v>288</v>
      </c>
      <c r="L51" s="42" t="s">
        <v>288</v>
      </c>
      <c r="N51" s="131"/>
    </row>
    <row r="52" spans="1:14" s="3" customFormat="1" ht="12.2" customHeight="1" thickTop="1" x14ac:dyDescent="0.15">
      <c r="A52" s="35" t="s">
        <v>455</v>
      </c>
      <c r="B52" s="36" t="s">
        <v>289</v>
      </c>
      <c r="C52" s="6">
        <v>37</v>
      </c>
      <c r="D52" s="36" t="s">
        <v>653</v>
      </c>
      <c r="E52" s="36"/>
      <c r="F52" s="38">
        <f>F51+F32</f>
        <v>3752413.01</v>
      </c>
      <c r="G52" s="38">
        <f>G51+G32</f>
        <v>160461.35</v>
      </c>
      <c r="H52" s="38">
        <f>H51+H32</f>
        <v>174418.05000000002</v>
      </c>
      <c r="I52" s="38">
        <f>I51+I32</f>
        <v>220229.37</v>
      </c>
      <c r="J52" s="38">
        <f>J51+J32</f>
        <v>1504899.74</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18270621.969999999</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18270621.969999999</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f>54998-17183.79</f>
        <v>37814.21</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4"/>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f>10009.6+7174.2</f>
        <v>17183.8</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54998.009999999995</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93962.9</v>
      </c>
      <c r="G96" s="18"/>
      <c r="H96" s="18"/>
      <c r="I96" s="18">
        <v>6251.24</v>
      </c>
      <c r="J96" s="18">
        <v>1585.01</v>
      </c>
      <c r="K96" s="23" t="s">
        <v>288</v>
      </c>
      <c r="L96" s="23" t="s">
        <v>288</v>
      </c>
      <c r="M96" s="8"/>
      <c r="N96" s="165"/>
    </row>
    <row r="97" spans="1:14" s="3" customFormat="1" ht="12.2" customHeight="1" x14ac:dyDescent="0.15">
      <c r="A97" s="1" t="s">
        <v>503</v>
      </c>
      <c r="B97" s="2" t="s">
        <v>315</v>
      </c>
      <c r="C97" s="6">
        <v>12</v>
      </c>
      <c r="D97" s="2" t="s">
        <v>430</v>
      </c>
      <c r="E97" s="6">
        <v>1600</v>
      </c>
      <c r="F97" s="23" t="s">
        <v>288</v>
      </c>
      <c r="G97" s="18">
        <v>263772.63</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1015.31</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176006.73+4522.66</f>
        <v>180529.39</v>
      </c>
      <c r="G110" s="18">
        <v>883.68</v>
      </c>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275507.59999999998</v>
      </c>
      <c r="G111" s="38">
        <f>SUM(G96:G110)</f>
        <v>264656.31</v>
      </c>
      <c r="H111" s="38">
        <f>SUM(H96:H110)</f>
        <v>0</v>
      </c>
      <c r="I111" s="38">
        <f>SUM(I96:I110)</f>
        <v>6251.24</v>
      </c>
      <c r="J111" s="38">
        <f>SUM(J96:J110)</f>
        <v>1585.01</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18601127.580000002</v>
      </c>
      <c r="G112" s="38">
        <f>G60+G111</f>
        <v>264656.31</v>
      </c>
      <c r="H112" s="38">
        <f>H60+H79+H94+H111</f>
        <v>0</v>
      </c>
      <c r="I112" s="38">
        <f>I60+I111</f>
        <v>6251.24</v>
      </c>
      <c r="J112" s="38">
        <f>J60+J111</f>
        <v>1585.01</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3067797.2</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1407023.04</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f>184439.64-39820</f>
        <v>144619.64000000001</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4619439.88</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505959.56</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14326.4</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6184.41</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v>39820</v>
      </c>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560105.96</v>
      </c>
      <c r="G136" s="38">
        <f>SUM(G123:G135)</f>
        <v>6184.41</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v>69922.62</v>
      </c>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5179545.84</v>
      </c>
      <c r="G140" s="38">
        <f>G121+SUM(G136:G137)</f>
        <v>6184.41</v>
      </c>
      <c r="H140" s="38">
        <f>H121+SUM(H136:H139)</f>
        <v>69922.62</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v>103372.9</v>
      </c>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103372.9</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155656.79999999999</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34223.36+44081.81+2572.33</f>
        <v>80877.5</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155250.41</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342697.57</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115441.14</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f>1161+21415.53</f>
        <v>22576.53</v>
      </c>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675886.05</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115441.14</v>
      </c>
      <c r="G163" s="38">
        <f>SUM(G150:G162)</f>
        <v>177826.94</v>
      </c>
      <c r="H163" s="38">
        <f>SUM(H150:H162)</f>
        <v>1255117.92</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218814.03999999998</v>
      </c>
      <c r="G170" s="38">
        <f>G147+G163+SUM(G164:G169)</f>
        <v>177826.94</v>
      </c>
      <c r="H170" s="38">
        <f>H147+H163+SUM(H164:H169)</f>
        <v>1255117.92</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50000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v>162110</v>
      </c>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162110</v>
      </c>
      <c r="G184" s="38">
        <f>SUM(G180:G183)</f>
        <v>0</v>
      </c>
      <c r="H184" s="38">
        <f>SUM(H180:H183)</f>
        <v>0</v>
      </c>
      <c r="I184" s="38">
        <f>SUM(I180:I183)</f>
        <v>0</v>
      </c>
      <c r="J184" s="38">
        <f>SUM(J180:J183)</f>
        <v>50000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161069.10999999999</v>
      </c>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161069.10999999999</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323179.11</v>
      </c>
      <c r="G193" s="38">
        <f>G184+SUM(G189:G192)</f>
        <v>0</v>
      </c>
      <c r="H193" s="38">
        <f>+H184+SUM(H189:H192)</f>
        <v>0</v>
      </c>
      <c r="I193" s="38">
        <f>I178+I184+SUM(I189:I192)</f>
        <v>0</v>
      </c>
      <c r="J193" s="38">
        <f>J184</f>
        <v>50000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24322666.57</v>
      </c>
      <c r="G194" s="38">
        <f>G112+G140+G170+G193</f>
        <v>448667.66</v>
      </c>
      <c r="H194" s="38">
        <f>H112+H140+H170+H193</f>
        <v>1325040.54</v>
      </c>
      <c r="I194" s="38">
        <f>I112+I140+I170+I193</f>
        <v>6251.24</v>
      </c>
      <c r="J194" s="38">
        <f>J112+J140+J193</f>
        <v>51585.01</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3826331.06</v>
      </c>
      <c r="G198" s="18">
        <v>1947938.9</v>
      </c>
      <c r="H198" s="18">
        <v>2136.59</v>
      </c>
      <c r="I198" s="18">
        <v>97730.37</v>
      </c>
      <c r="J198" s="18">
        <v>49284.43</v>
      </c>
      <c r="K198" s="18">
        <v>537.5</v>
      </c>
      <c r="L198" s="13">
        <f>SUM(F198:K198)</f>
        <v>5923958.8499999996</v>
      </c>
      <c r="M198" s="8"/>
      <c r="N198" s="165"/>
    </row>
    <row r="199" spans="1:14" s="3" customFormat="1" ht="12.2" customHeight="1" x14ac:dyDescent="0.15">
      <c r="A199" s="1" t="s">
        <v>439</v>
      </c>
      <c r="B199" s="2" t="s">
        <v>341</v>
      </c>
      <c r="C199" s="2" t="s">
        <v>291</v>
      </c>
      <c r="D199" s="2" t="s">
        <v>431</v>
      </c>
      <c r="E199" s="6">
        <v>1200</v>
      </c>
      <c r="F199" s="18">
        <f>1492791.05+34621.23</f>
        <v>1527412.28</v>
      </c>
      <c r="G199" s="18">
        <f>582799.24+8285.38</f>
        <v>591084.62</v>
      </c>
      <c r="H199" s="18">
        <f>164161.42+565763.53</f>
        <v>729924.95000000007</v>
      </c>
      <c r="I199" s="18">
        <f>8874.42+1568.6</f>
        <v>10443.02</v>
      </c>
      <c r="J199" s="18">
        <v>6111.41</v>
      </c>
      <c r="K199" s="18"/>
      <c r="L199" s="13">
        <f>SUM(F199:K199)</f>
        <v>2864976.2800000003</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39788.35</v>
      </c>
      <c r="G201" s="18">
        <v>7965.04</v>
      </c>
      <c r="H201" s="18">
        <v>8360</v>
      </c>
      <c r="I201" s="18">
        <v>1202.6500000000001</v>
      </c>
      <c r="J201" s="18"/>
      <c r="K201" s="18">
        <v>1134</v>
      </c>
      <c r="L201" s="13">
        <f>SUM(F201:K201)</f>
        <v>58450.04</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f>594185.07+152034.31</f>
        <v>746219.37999999989</v>
      </c>
      <c r="G203" s="18">
        <f>306334.6+68265.59</f>
        <v>374600.18999999994</v>
      </c>
      <c r="H203" s="18">
        <f>92740.78+695.46</f>
        <v>93436.24</v>
      </c>
      <c r="I203" s="18">
        <f>7483.7+4116.52</f>
        <v>11600.220000000001</v>
      </c>
      <c r="J203" s="18">
        <v>8122.89</v>
      </c>
      <c r="K203" s="18">
        <f>363+198.78</f>
        <v>561.78</v>
      </c>
      <c r="L203" s="13">
        <f t="shared" ref="L203:L209" si="0">SUM(F203:K203)</f>
        <v>1234540.6999999997</v>
      </c>
      <c r="M203" s="8"/>
      <c r="N203" s="165"/>
    </row>
    <row r="204" spans="1:14" s="3" customFormat="1" ht="12.2" customHeight="1" x14ac:dyDescent="0.15">
      <c r="A204" s="1" t="s">
        <v>443</v>
      </c>
      <c r="B204" s="2" t="s">
        <v>341</v>
      </c>
      <c r="C204" s="2" t="s">
        <v>295</v>
      </c>
      <c r="D204" s="2" t="s">
        <v>431</v>
      </c>
      <c r="E204" s="6">
        <v>2200</v>
      </c>
      <c r="F204" s="18">
        <f>87148.8+272134.86</f>
        <v>359283.66</v>
      </c>
      <c r="G204" s="18">
        <f>53842.91+104548.17</f>
        <v>158391.08000000002</v>
      </c>
      <c r="H204" s="18">
        <f>20307.37+31444.49</f>
        <v>51751.86</v>
      </c>
      <c r="I204" s="18">
        <f>37904.32+108046.5</f>
        <v>145950.82</v>
      </c>
      <c r="J204" s="18">
        <f>120787.83+1497.25</f>
        <v>122285.08</v>
      </c>
      <c r="K204" s="18">
        <v>244.87</v>
      </c>
      <c r="L204" s="13">
        <f t="shared" si="0"/>
        <v>837907.36999999988</v>
      </c>
      <c r="M204" s="8"/>
      <c r="N204" s="165"/>
    </row>
    <row r="205" spans="1:14" s="3" customFormat="1" ht="12.2" customHeight="1" x14ac:dyDescent="0.15">
      <c r="A205" s="1" t="s">
        <v>444</v>
      </c>
      <c r="B205" s="2" t="s">
        <v>341</v>
      </c>
      <c r="C205" s="2" t="s">
        <v>296</v>
      </c>
      <c r="D205" s="2" t="s">
        <v>431</v>
      </c>
      <c r="E205" s="6">
        <v>2300</v>
      </c>
      <c r="F205" s="18">
        <v>491490.13</v>
      </c>
      <c r="G205" s="18">
        <v>225355.1</v>
      </c>
      <c r="H205" s="18">
        <v>143353.54</v>
      </c>
      <c r="I205" s="18">
        <v>31032.799999999999</v>
      </c>
      <c r="J205" s="18">
        <v>1088.79</v>
      </c>
      <c r="K205" s="18">
        <v>11703.25</v>
      </c>
      <c r="L205" s="13">
        <f t="shared" si="0"/>
        <v>904023.6100000001</v>
      </c>
      <c r="M205" s="8"/>
      <c r="N205" s="165"/>
    </row>
    <row r="206" spans="1:14" s="3" customFormat="1" ht="12.2" customHeight="1" x14ac:dyDescent="0.15">
      <c r="A206" s="1" t="s">
        <v>445</v>
      </c>
      <c r="B206" s="2" t="s">
        <v>341</v>
      </c>
      <c r="C206" s="2" t="s">
        <v>297</v>
      </c>
      <c r="D206" s="2" t="s">
        <v>431</v>
      </c>
      <c r="E206" s="6">
        <v>2400</v>
      </c>
      <c r="F206" s="18">
        <v>533237.68000000005</v>
      </c>
      <c r="G206" s="18">
        <v>261975.6</v>
      </c>
      <c r="H206" s="18">
        <v>37909.49</v>
      </c>
      <c r="I206" s="18">
        <v>2713.59</v>
      </c>
      <c r="J206" s="18"/>
      <c r="K206" s="18">
        <v>3108</v>
      </c>
      <c r="L206" s="13">
        <f t="shared" si="0"/>
        <v>838944.36</v>
      </c>
      <c r="M206" s="8"/>
      <c r="N206" s="165"/>
    </row>
    <row r="207" spans="1:14" s="3" customFormat="1" ht="12.2" customHeight="1" x14ac:dyDescent="0.15">
      <c r="A207" s="1" t="s">
        <v>446</v>
      </c>
      <c r="B207" s="2" t="s">
        <v>341</v>
      </c>
      <c r="C207" s="2" t="s">
        <v>298</v>
      </c>
      <c r="D207" s="2" t="s">
        <v>431</v>
      </c>
      <c r="E207" s="6">
        <v>2500</v>
      </c>
      <c r="F207" s="18">
        <v>194923.98</v>
      </c>
      <c r="G207" s="18">
        <v>84229.81</v>
      </c>
      <c r="H207" s="18">
        <v>4260.18</v>
      </c>
      <c r="I207" s="18">
        <v>3508.38</v>
      </c>
      <c r="J207" s="18">
        <v>2187.98</v>
      </c>
      <c r="K207" s="18">
        <v>344.98</v>
      </c>
      <c r="L207" s="13">
        <f t="shared" si="0"/>
        <v>289455.31</v>
      </c>
      <c r="M207" s="8"/>
      <c r="N207" s="165"/>
    </row>
    <row r="208" spans="1:14" s="3" customFormat="1" ht="12.2" customHeight="1" x14ac:dyDescent="0.15">
      <c r="A208" s="1" t="s">
        <v>447</v>
      </c>
      <c r="B208" s="2" t="s">
        <v>341</v>
      </c>
      <c r="C208" s="2" t="s">
        <v>299</v>
      </c>
      <c r="D208" s="2" t="s">
        <v>431</v>
      </c>
      <c r="E208" s="6">
        <v>2600</v>
      </c>
      <c r="F208" s="18">
        <f>141423.33+65164.35</f>
        <v>206587.68</v>
      </c>
      <c r="G208" s="18">
        <f>41382.61+21195.08</f>
        <v>62577.69</v>
      </c>
      <c r="H208" s="18">
        <f>536791.51+38781.89</f>
        <v>575573.4</v>
      </c>
      <c r="I208" s="18">
        <v>286438.5</v>
      </c>
      <c r="J208" s="18">
        <v>11500.85</v>
      </c>
      <c r="K208" s="18"/>
      <c r="L208" s="13">
        <f t="shared" si="0"/>
        <v>1142678.1200000001</v>
      </c>
      <c r="M208" s="8"/>
      <c r="N208" s="165"/>
    </row>
    <row r="209" spans="1:14" s="3" customFormat="1" ht="12.2" customHeight="1" x14ac:dyDescent="0.15">
      <c r="A209" s="1" t="s">
        <v>448</v>
      </c>
      <c r="B209" s="2" t="s">
        <v>341</v>
      </c>
      <c r="C209" s="2" t="s">
        <v>300</v>
      </c>
      <c r="D209" s="2" t="s">
        <v>431</v>
      </c>
      <c r="E209" s="6">
        <v>2700</v>
      </c>
      <c r="F209" s="18">
        <v>5165.59</v>
      </c>
      <c r="G209" s="18">
        <v>697.44</v>
      </c>
      <c r="H209" s="18">
        <f>37181.68+540369.34</f>
        <v>577551.02</v>
      </c>
      <c r="I209" s="18"/>
      <c r="J209" s="18"/>
      <c r="K209" s="18"/>
      <c r="L209" s="13">
        <f t="shared" si="0"/>
        <v>583414.05000000005</v>
      </c>
      <c r="M209" s="8"/>
      <c r="N209" s="165"/>
    </row>
    <row r="210" spans="1:14" s="3" customFormat="1" ht="12.2" customHeight="1" x14ac:dyDescent="0.15">
      <c r="A210" s="1" t="s">
        <v>449</v>
      </c>
      <c r="B210" s="2" t="s">
        <v>341</v>
      </c>
      <c r="C210" s="2" t="s">
        <v>343</v>
      </c>
      <c r="D210" s="2" t="s">
        <v>431</v>
      </c>
      <c r="E210" s="6">
        <v>2800</v>
      </c>
      <c r="F210" s="18"/>
      <c r="G210" s="18">
        <v>47005.31</v>
      </c>
      <c r="H210" s="18"/>
      <c r="I210" s="18"/>
      <c r="J210" s="18"/>
      <c r="K210" s="18"/>
      <c r="L210" s="13">
        <f>SUM(F210:K210)</f>
        <v>47005.31</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7930439.7899999991</v>
      </c>
      <c r="G212" s="38">
        <f t="shared" si="1"/>
        <v>3761820.7800000003</v>
      </c>
      <c r="H212" s="38">
        <f t="shared" si="1"/>
        <v>2224257.27</v>
      </c>
      <c r="I212" s="38">
        <f t="shared" si="1"/>
        <v>590620.35000000009</v>
      </c>
      <c r="J212" s="38">
        <f t="shared" si="1"/>
        <v>200581.43000000002</v>
      </c>
      <c r="K212" s="38">
        <f t="shared" si="1"/>
        <v>17634.38</v>
      </c>
      <c r="L212" s="38">
        <f t="shared" si="1"/>
        <v>14725353.999999998</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1590441.58</v>
      </c>
      <c r="G234" s="18">
        <f>851897.36</f>
        <v>851897.36</v>
      </c>
      <c r="H234" s="18">
        <v>1647.47</v>
      </c>
      <c r="I234" s="18">
        <v>57785.47</v>
      </c>
      <c r="J234" s="18">
        <v>59280.95</v>
      </c>
      <c r="K234" s="18">
        <v>4722.5</v>
      </c>
      <c r="L234" s="13">
        <f>SUM(F234:K234)</f>
        <v>2565775.3300000005</v>
      </c>
      <c r="M234" s="8"/>
      <c r="N234" s="165"/>
    </row>
    <row r="235" spans="1:14" s="3" customFormat="1" ht="12.2" customHeight="1" x14ac:dyDescent="0.15">
      <c r="A235" s="1" t="s">
        <v>439</v>
      </c>
      <c r="B235" s="2" t="s">
        <v>350</v>
      </c>
      <c r="C235" s="2" t="s">
        <v>291</v>
      </c>
      <c r="D235" s="2" t="s">
        <v>431</v>
      </c>
      <c r="E235" s="6">
        <v>1200</v>
      </c>
      <c r="F235" s="18">
        <f>463228.21+13449.98</f>
        <v>476678.19</v>
      </c>
      <c r="G235" s="18">
        <f>201373.29+3218.78</f>
        <v>204592.07</v>
      </c>
      <c r="H235" s="18">
        <f>475471+219793.03</f>
        <v>695264.03</v>
      </c>
      <c r="I235" s="18">
        <f>1435.75+609.39</f>
        <v>2045.1399999999999</v>
      </c>
      <c r="J235" s="18">
        <v>1897.65</v>
      </c>
      <c r="K235" s="18"/>
      <c r="L235" s="13">
        <f>SUM(F235:K235)</f>
        <v>1380477.0799999998</v>
      </c>
      <c r="M235" s="8"/>
      <c r="N235" s="165"/>
    </row>
    <row r="236" spans="1:14" s="3" customFormat="1" ht="12.2" customHeight="1" x14ac:dyDescent="0.15">
      <c r="A236" s="1" t="s">
        <v>440</v>
      </c>
      <c r="B236" s="2" t="s">
        <v>350</v>
      </c>
      <c r="C236" s="2" t="s">
        <v>292</v>
      </c>
      <c r="D236" s="2" t="s">
        <v>431</v>
      </c>
      <c r="E236" s="6">
        <v>1300</v>
      </c>
      <c r="F236" s="18"/>
      <c r="G236" s="18"/>
      <c r="H236" s="18">
        <v>247227</v>
      </c>
      <c r="I236" s="18"/>
      <c r="J236" s="18"/>
      <c r="K236" s="18"/>
      <c r="L236" s="13">
        <f>SUM(F236:K236)</f>
        <v>247227</v>
      </c>
      <c r="M236" s="8"/>
      <c r="N236" s="165"/>
    </row>
    <row r="237" spans="1:14" s="3" customFormat="1" ht="12.2" customHeight="1" x14ac:dyDescent="0.15">
      <c r="A237" s="1" t="s">
        <v>441</v>
      </c>
      <c r="B237" s="2" t="s">
        <v>350</v>
      </c>
      <c r="C237" s="2" t="s">
        <v>293</v>
      </c>
      <c r="D237" s="2" t="s">
        <v>431</v>
      </c>
      <c r="E237" s="6">
        <v>1400</v>
      </c>
      <c r="F237" s="18">
        <v>113144.11</v>
      </c>
      <c r="G237" s="18">
        <v>26566.68</v>
      </c>
      <c r="H237" s="18">
        <v>39673.699999999997</v>
      </c>
      <c r="I237" s="18">
        <v>9883.07</v>
      </c>
      <c r="J237" s="18">
        <v>507.49</v>
      </c>
      <c r="K237" s="18">
        <v>13636.56</v>
      </c>
      <c r="L237" s="13">
        <f>SUM(F237:K237)</f>
        <v>203411.61</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f>233259.42+59063.69</f>
        <v>292323.11</v>
      </c>
      <c r="G239" s="18">
        <f>112814.11+26520.44</f>
        <v>139334.54999999999</v>
      </c>
      <c r="H239" s="18">
        <f>6340.83+270.18</f>
        <v>6611.01</v>
      </c>
      <c r="I239" s="18">
        <f>5703.14+1599.22</f>
        <v>7302.3600000000006</v>
      </c>
      <c r="J239" s="18"/>
      <c r="K239" s="18">
        <f>7738+77.22</f>
        <v>7815.22</v>
      </c>
      <c r="L239" s="13">
        <f t="shared" ref="L239:L245" si="4">SUM(F239:K239)</f>
        <v>453386.24999999994</v>
      </c>
      <c r="M239" s="8"/>
      <c r="N239" s="165"/>
    </row>
    <row r="240" spans="1:14" s="3" customFormat="1" ht="12.2" customHeight="1" x14ac:dyDescent="0.15">
      <c r="A240" s="1" t="s">
        <v>443</v>
      </c>
      <c r="B240" s="2" t="s">
        <v>350</v>
      </c>
      <c r="C240" s="2" t="s">
        <v>295</v>
      </c>
      <c r="D240" s="2" t="s">
        <v>431</v>
      </c>
      <c r="E240" s="6">
        <v>2200</v>
      </c>
      <c r="F240" s="18">
        <f>45775.2+105721.46</f>
        <v>151496.66</v>
      </c>
      <c r="G240" s="18">
        <f>48890.26+40615.84</f>
        <v>89506.1</v>
      </c>
      <c r="H240" s="18">
        <f>8429.45+12215.85</f>
        <v>20645.300000000003</v>
      </c>
      <c r="I240" s="18">
        <f>8053.12+41974.9</f>
        <v>50028.020000000004</v>
      </c>
      <c r="J240" s="18">
        <f>48529.61+581.67</f>
        <v>49111.28</v>
      </c>
      <c r="K240" s="18">
        <v>95.13</v>
      </c>
      <c r="L240" s="13">
        <f t="shared" si="4"/>
        <v>360882.49</v>
      </c>
      <c r="M240" s="8"/>
      <c r="N240" s="165"/>
    </row>
    <row r="241" spans="1:14" s="3" customFormat="1" ht="12.2" customHeight="1" x14ac:dyDescent="0.15">
      <c r="A241" s="1" t="s">
        <v>444</v>
      </c>
      <c r="B241" s="2" t="s">
        <v>350</v>
      </c>
      <c r="C241" s="2" t="s">
        <v>296</v>
      </c>
      <c r="D241" s="2" t="s">
        <v>431</v>
      </c>
      <c r="E241" s="6">
        <v>2300</v>
      </c>
      <c r="F241" s="18">
        <v>190938.61</v>
      </c>
      <c r="G241" s="18">
        <v>87548.03</v>
      </c>
      <c r="H241" s="18">
        <v>55691.3</v>
      </c>
      <c r="I241" s="18">
        <v>12055.91</v>
      </c>
      <c r="J241" s="18">
        <v>422.98</v>
      </c>
      <c r="K241" s="18">
        <v>4546.58</v>
      </c>
      <c r="L241" s="13">
        <f t="shared" si="4"/>
        <v>351203.41</v>
      </c>
      <c r="M241" s="8"/>
      <c r="N241" s="165"/>
    </row>
    <row r="242" spans="1:14" s="3" customFormat="1" ht="12.2" customHeight="1" x14ac:dyDescent="0.15">
      <c r="A242" s="1" t="s">
        <v>445</v>
      </c>
      <c r="B242" s="2" t="s">
        <v>350</v>
      </c>
      <c r="C242" s="2" t="s">
        <v>297</v>
      </c>
      <c r="D242" s="2" t="s">
        <v>431</v>
      </c>
      <c r="E242" s="6">
        <v>2400</v>
      </c>
      <c r="F242" s="18">
        <v>262559.87</v>
      </c>
      <c r="G242" s="18">
        <v>130041.7</v>
      </c>
      <c r="H242" s="18">
        <v>18929.96</v>
      </c>
      <c r="I242" s="18">
        <v>772.47</v>
      </c>
      <c r="J242" s="18"/>
      <c r="K242" s="18">
        <v>14182.93</v>
      </c>
      <c r="L242" s="13">
        <f t="shared" si="4"/>
        <v>426486.93</v>
      </c>
      <c r="M242" s="8"/>
      <c r="N242" s="165"/>
    </row>
    <row r="243" spans="1:14" s="3" customFormat="1" ht="12.2" customHeight="1" x14ac:dyDescent="0.15">
      <c r="A243" s="1" t="s">
        <v>446</v>
      </c>
      <c r="B243" s="2" t="s">
        <v>350</v>
      </c>
      <c r="C243" s="2" t="s">
        <v>298</v>
      </c>
      <c r="D243" s="2" t="s">
        <v>431</v>
      </c>
      <c r="E243" s="6">
        <v>2500</v>
      </c>
      <c r="F243" s="18">
        <v>75725.86</v>
      </c>
      <c r="G243" s="18">
        <v>32722.37</v>
      </c>
      <c r="H243" s="18">
        <v>1655.04</v>
      </c>
      <c r="I243" s="18">
        <v>1362.97</v>
      </c>
      <c r="J243" s="18">
        <v>850</v>
      </c>
      <c r="K243" s="18">
        <v>134.02000000000001</v>
      </c>
      <c r="L243" s="13">
        <f t="shared" si="4"/>
        <v>112450.26</v>
      </c>
      <c r="M243" s="8"/>
      <c r="N243" s="165"/>
    </row>
    <row r="244" spans="1:14" s="3" customFormat="1" ht="12.2" customHeight="1" x14ac:dyDescent="0.15">
      <c r="A244" s="1" t="s">
        <v>447</v>
      </c>
      <c r="B244" s="2" t="s">
        <v>350</v>
      </c>
      <c r="C244" s="2" t="s">
        <v>299</v>
      </c>
      <c r="D244" s="2" t="s">
        <v>431</v>
      </c>
      <c r="E244" s="6">
        <v>2600</v>
      </c>
      <c r="F244" s="18">
        <f>60384.47+25315.65</f>
        <v>85700.12</v>
      </c>
      <c r="G244" s="18">
        <f>17714.72+8234.06</f>
        <v>25948.78</v>
      </c>
      <c r="H244" s="18">
        <f>235945.35+15066.34</f>
        <v>251011.69</v>
      </c>
      <c r="I244" s="18">
        <v>150659.26999999999</v>
      </c>
      <c r="J244" s="18">
        <v>15463.29</v>
      </c>
      <c r="K244" s="18"/>
      <c r="L244" s="13">
        <f t="shared" si="4"/>
        <v>528783.15</v>
      </c>
      <c r="M244" s="8"/>
      <c r="N244" s="165"/>
    </row>
    <row r="245" spans="1:14" s="3" customFormat="1" ht="12.2" customHeight="1" x14ac:dyDescent="0.15">
      <c r="A245" s="1" t="s">
        <v>448</v>
      </c>
      <c r="B245" s="2" t="s">
        <v>350</v>
      </c>
      <c r="C245" s="2" t="s">
        <v>300</v>
      </c>
      <c r="D245" s="2" t="s">
        <v>431</v>
      </c>
      <c r="E245" s="6">
        <v>2700</v>
      </c>
      <c r="F245" s="18"/>
      <c r="G245" s="18"/>
      <c r="H245" s="18">
        <f>106015.45+209927.66</f>
        <v>315943.11</v>
      </c>
      <c r="I245" s="18"/>
      <c r="J245" s="18"/>
      <c r="K245" s="18"/>
      <c r="L245" s="13">
        <f t="shared" si="4"/>
        <v>315943.11</v>
      </c>
      <c r="M245" s="8"/>
      <c r="N245" s="165"/>
    </row>
    <row r="246" spans="1:14" s="3" customFormat="1" ht="12.2" customHeight="1" x14ac:dyDescent="0.15">
      <c r="A246" s="1" t="s">
        <v>449</v>
      </c>
      <c r="B246" s="2" t="s">
        <v>350</v>
      </c>
      <c r="C246" s="2" t="s">
        <v>343</v>
      </c>
      <c r="D246" s="2" t="s">
        <v>431</v>
      </c>
      <c r="E246" s="6">
        <v>2800</v>
      </c>
      <c r="F246" s="18"/>
      <c r="G246" s="18">
        <v>18261.060000000001</v>
      </c>
      <c r="H246" s="18"/>
      <c r="I246" s="18"/>
      <c r="J246" s="18"/>
      <c r="K246" s="18"/>
      <c r="L246" s="13">
        <f>SUM(F246:K246)</f>
        <v>18261.060000000001</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3239008.11</v>
      </c>
      <c r="G248" s="38">
        <f t="shared" si="5"/>
        <v>1606418.7000000002</v>
      </c>
      <c r="H248" s="38">
        <f t="shared" si="5"/>
        <v>1654299.6099999999</v>
      </c>
      <c r="I248" s="38">
        <f t="shared" si="5"/>
        <v>291894.68</v>
      </c>
      <c r="J248" s="38">
        <f t="shared" si="5"/>
        <v>127533.63999999998</v>
      </c>
      <c r="K248" s="38">
        <f t="shared" si="5"/>
        <v>45132.939999999995</v>
      </c>
      <c r="L248" s="38">
        <f t="shared" si="5"/>
        <v>6964287.6800000006</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v>211840.02</v>
      </c>
      <c r="I256" s="18"/>
      <c r="J256" s="18"/>
      <c r="K256" s="18">
        <v>15990.01</v>
      </c>
      <c r="L256" s="13">
        <f t="shared" si="6"/>
        <v>227830.03</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211840.02</v>
      </c>
      <c r="I257" s="38">
        <f t="shared" si="7"/>
        <v>0</v>
      </c>
      <c r="J257" s="38">
        <f t="shared" si="7"/>
        <v>0</v>
      </c>
      <c r="K257" s="38">
        <f t="shared" si="7"/>
        <v>15990.01</v>
      </c>
      <c r="L257" s="38">
        <f>SUM(F257:K257)</f>
        <v>227830.03</v>
      </c>
      <c r="M257" s="8"/>
      <c r="N257" s="165"/>
    </row>
    <row r="258" spans="1:14" s="3" customFormat="1" ht="12.2" customHeight="1" thickTop="1" x14ac:dyDescent="0.15">
      <c r="A258" s="35" t="s">
        <v>462</v>
      </c>
      <c r="B258" s="37">
        <v>10</v>
      </c>
      <c r="C258" s="37">
        <v>8</v>
      </c>
      <c r="D258" s="36" t="s">
        <v>431</v>
      </c>
      <c r="E258" s="37"/>
      <c r="F258" s="38">
        <f t="shared" ref="F258:L258" si="8">F212+F230+F248+F257</f>
        <v>11169447.899999999</v>
      </c>
      <c r="G258" s="38">
        <f t="shared" si="8"/>
        <v>5368239.4800000004</v>
      </c>
      <c r="H258" s="38">
        <f t="shared" si="8"/>
        <v>4090396.9</v>
      </c>
      <c r="I258" s="38">
        <f t="shared" si="8"/>
        <v>882515.03</v>
      </c>
      <c r="J258" s="38">
        <f t="shared" si="8"/>
        <v>328115.07</v>
      </c>
      <c r="K258" s="38">
        <f t="shared" si="8"/>
        <v>78757.329999999987</v>
      </c>
      <c r="L258" s="38">
        <f t="shared" si="8"/>
        <v>21917471.710000001</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765000</v>
      </c>
      <c r="L261" s="13">
        <f>SUM(F261:K261)</f>
        <v>765000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1334012.5</v>
      </c>
      <c r="L262" s="13">
        <f>SUM(F262:K262)</f>
        <v>1334012.5</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50000</v>
      </c>
      <c r="L267" s="13">
        <f t="shared" si="9"/>
        <v>50000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2149012.5</v>
      </c>
      <c r="L271" s="38">
        <f t="shared" si="9"/>
        <v>2149012.5</v>
      </c>
      <c r="M271" s="8"/>
      <c r="N271" s="165"/>
    </row>
    <row r="272" spans="1:14" s="33" customFormat="1" ht="12.2" customHeight="1" thickTop="1" x14ac:dyDescent="0.2">
      <c r="A272" s="40" t="s">
        <v>464</v>
      </c>
      <c r="B272" s="37">
        <v>10</v>
      </c>
      <c r="C272" s="37">
        <v>18</v>
      </c>
      <c r="D272" s="36" t="s">
        <v>431</v>
      </c>
      <c r="E272" s="37"/>
      <c r="F272" s="39">
        <f t="shared" ref="F272:L272" si="11">F258+F271</f>
        <v>11169447.899999999</v>
      </c>
      <c r="G272" s="39">
        <f t="shared" si="11"/>
        <v>5368239.4800000004</v>
      </c>
      <c r="H272" s="39">
        <f t="shared" si="11"/>
        <v>4090396.9</v>
      </c>
      <c r="I272" s="39">
        <f t="shared" si="11"/>
        <v>882515.03</v>
      </c>
      <c r="J272" s="39">
        <f t="shared" si="11"/>
        <v>328115.07</v>
      </c>
      <c r="K272" s="39">
        <f t="shared" si="11"/>
        <v>2227769.83</v>
      </c>
      <c r="L272" s="39">
        <f t="shared" si="11"/>
        <v>24066484.210000001</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215796.29</v>
      </c>
      <c r="G277" s="18">
        <v>87738.18</v>
      </c>
      <c r="H277" s="18">
        <v>12100</v>
      </c>
      <c r="I277" s="18">
        <v>58182.27</v>
      </c>
      <c r="J277" s="18">
        <v>58203.13</v>
      </c>
      <c r="K277" s="18"/>
      <c r="L277" s="13">
        <f>SUM(F277:K277)</f>
        <v>432019.87</v>
      </c>
      <c r="M277" s="8"/>
      <c r="N277" s="165"/>
    </row>
    <row r="278" spans="1:14" s="3" customFormat="1" ht="12.2" customHeight="1" x14ac:dyDescent="0.15">
      <c r="A278" s="1" t="s">
        <v>439</v>
      </c>
      <c r="B278" s="2" t="s">
        <v>357</v>
      </c>
      <c r="C278" s="2" t="s">
        <v>291</v>
      </c>
      <c r="D278" s="2" t="s">
        <v>431</v>
      </c>
      <c r="E278" s="6">
        <v>1200</v>
      </c>
      <c r="F278" s="18">
        <v>161788</v>
      </c>
      <c r="G278" s="18">
        <v>99608.13</v>
      </c>
      <c r="H278" s="18">
        <f>65160.14+7786.58</f>
        <v>72946.720000000001</v>
      </c>
      <c r="I278" s="18">
        <f>5413.34+182.51</f>
        <v>5595.85</v>
      </c>
      <c r="J278" s="18"/>
      <c r="K278" s="18"/>
      <c r="L278" s="13">
        <f>SUM(F278:K278)</f>
        <v>339938.69999999995</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12351.55</v>
      </c>
      <c r="G280" s="18">
        <v>3541.2</v>
      </c>
      <c r="H280" s="18">
        <v>1661.13</v>
      </c>
      <c r="I280" s="18"/>
      <c r="J280" s="18"/>
      <c r="K280" s="18"/>
      <c r="L280" s="13">
        <f>SUM(F280:K280)</f>
        <v>17553.88</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51030</v>
      </c>
      <c r="G282" s="18">
        <v>14662.53</v>
      </c>
      <c r="H282" s="18">
        <v>4000</v>
      </c>
      <c r="I282" s="18">
        <v>175.54</v>
      </c>
      <c r="J282" s="18"/>
      <c r="K282" s="18"/>
      <c r="L282" s="13">
        <f t="shared" ref="L282:L288" si="12">SUM(F282:K282)</f>
        <v>69868.069999999992</v>
      </c>
      <c r="M282" s="8"/>
      <c r="N282" s="165"/>
    </row>
    <row r="283" spans="1:14" s="3" customFormat="1" ht="12.2" customHeight="1" x14ac:dyDescent="0.15">
      <c r="A283" s="1" t="s">
        <v>443</v>
      </c>
      <c r="B283" s="2" t="s">
        <v>357</v>
      </c>
      <c r="C283" s="2" t="s">
        <v>295</v>
      </c>
      <c r="D283" s="2" t="s">
        <v>431</v>
      </c>
      <c r="E283" s="6">
        <v>2200</v>
      </c>
      <c r="F283" s="18">
        <v>14256.13</v>
      </c>
      <c r="G283" s="18">
        <v>3396.58</v>
      </c>
      <c r="H283" s="18">
        <f>48200+3529.02</f>
        <v>51729.02</v>
      </c>
      <c r="I283" s="18">
        <f>8628+51764.57</f>
        <v>60392.57</v>
      </c>
      <c r="J283" s="18"/>
      <c r="K283" s="18"/>
      <c r="L283" s="13">
        <f t="shared" si="12"/>
        <v>129774.29999999999</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v>954.27</v>
      </c>
      <c r="G285" s="18"/>
      <c r="H285" s="18"/>
      <c r="I285" s="18"/>
      <c r="J285" s="18">
        <v>15146.68</v>
      </c>
      <c r="K285" s="18"/>
      <c r="L285" s="13">
        <f t="shared" si="12"/>
        <v>16100.95</v>
      </c>
      <c r="M285" s="8"/>
      <c r="N285" s="165"/>
    </row>
    <row r="286" spans="1:14" s="3" customFormat="1" ht="12.2" customHeight="1" x14ac:dyDescent="0.15">
      <c r="A286" s="1" t="s">
        <v>446</v>
      </c>
      <c r="B286" s="2" t="s">
        <v>357</v>
      </c>
      <c r="C286" s="2" t="s">
        <v>298</v>
      </c>
      <c r="D286" s="2" t="s">
        <v>431</v>
      </c>
      <c r="E286" s="6">
        <v>2500</v>
      </c>
      <c r="F286" s="18"/>
      <c r="G286" s="18"/>
      <c r="H286" s="18">
        <v>14765.11</v>
      </c>
      <c r="I286" s="18"/>
      <c r="J286" s="18"/>
      <c r="K286" s="18"/>
      <c r="L286" s="13">
        <f t="shared" si="12"/>
        <v>14765.11</v>
      </c>
      <c r="M286" s="8"/>
      <c r="N286" s="165"/>
    </row>
    <row r="287" spans="1:14" s="3" customFormat="1" ht="12.2" customHeight="1" x14ac:dyDescent="0.15">
      <c r="A287" s="1" t="s">
        <v>447</v>
      </c>
      <c r="B287" s="2" t="s">
        <v>357</v>
      </c>
      <c r="C287" s="2" t="s">
        <v>299</v>
      </c>
      <c r="D287" s="2" t="s">
        <v>431</v>
      </c>
      <c r="E287" s="6">
        <v>2600</v>
      </c>
      <c r="F287" s="18"/>
      <c r="G287" s="18"/>
      <c r="H287" s="18">
        <v>3589.96</v>
      </c>
      <c r="I287" s="18"/>
      <c r="J287" s="18"/>
      <c r="K287" s="18"/>
      <c r="L287" s="13">
        <f t="shared" si="12"/>
        <v>3589.96</v>
      </c>
      <c r="M287" s="8"/>
      <c r="N287" s="165"/>
    </row>
    <row r="288" spans="1:14" s="3" customFormat="1" ht="12.2" customHeight="1" x14ac:dyDescent="0.15">
      <c r="A288" s="1" t="s">
        <v>448</v>
      </c>
      <c r="B288" s="2" t="s">
        <v>357</v>
      </c>
      <c r="C288" s="2" t="s">
        <v>300</v>
      </c>
      <c r="D288" s="2" t="s">
        <v>431</v>
      </c>
      <c r="E288" s="6">
        <v>2700</v>
      </c>
      <c r="F288" s="18"/>
      <c r="G288" s="18"/>
      <c r="H288" s="18">
        <v>9758.98</v>
      </c>
      <c r="I288" s="18"/>
      <c r="J288" s="18"/>
      <c r="K288" s="18"/>
      <c r="L288" s="13">
        <f t="shared" si="12"/>
        <v>9758.98</v>
      </c>
      <c r="M288" s="8"/>
      <c r="N288" s="165"/>
    </row>
    <row r="289" spans="1:14" s="3" customFormat="1" ht="12.2" customHeight="1" x14ac:dyDescent="0.15">
      <c r="A289" s="1" t="s">
        <v>449</v>
      </c>
      <c r="B289" s="2" t="s">
        <v>357</v>
      </c>
      <c r="C289" s="2" t="s">
        <v>343</v>
      </c>
      <c r="D289" s="2" t="s">
        <v>431</v>
      </c>
      <c r="E289" s="6">
        <v>2800</v>
      </c>
      <c r="F289" s="18"/>
      <c r="G289" s="18"/>
      <c r="H289" s="18"/>
      <c r="I289" s="18">
        <v>13.02</v>
      </c>
      <c r="J289" s="18"/>
      <c r="K289" s="18"/>
      <c r="L289" s="13">
        <f>SUM(F289:K289)</f>
        <v>13.02</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456176.24000000005</v>
      </c>
      <c r="G291" s="39">
        <f t="shared" si="13"/>
        <v>208946.62</v>
      </c>
      <c r="H291" s="39">
        <f t="shared" si="13"/>
        <v>170550.91999999998</v>
      </c>
      <c r="I291" s="39">
        <f t="shared" si="13"/>
        <v>124359.25</v>
      </c>
      <c r="J291" s="39">
        <f t="shared" si="13"/>
        <v>73349.81</v>
      </c>
      <c r="K291" s="39">
        <f t="shared" si="13"/>
        <v>0</v>
      </c>
      <c r="L291" s="38">
        <f t="shared" si="13"/>
        <v>1033382.8399999997</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8096.41</v>
      </c>
      <c r="G315" s="18">
        <v>2728.71</v>
      </c>
      <c r="H315" s="18"/>
      <c r="I315" s="18">
        <f>7213.6</f>
        <v>7213.6</v>
      </c>
      <c r="J315" s="18">
        <v>2876.89</v>
      </c>
      <c r="K315" s="18"/>
      <c r="L315" s="13">
        <f>SUM(F315:K315)</f>
        <v>20915.61</v>
      </c>
      <c r="M315" s="8"/>
      <c r="N315" s="165"/>
    </row>
    <row r="316" spans="1:14" s="3" customFormat="1" ht="12.2" customHeight="1" x14ac:dyDescent="0.15">
      <c r="A316" s="1" t="s">
        <v>439</v>
      </c>
      <c r="B316" s="2" t="s">
        <v>359</v>
      </c>
      <c r="C316" s="2" t="s">
        <v>291</v>
      </c>
      <c r="D316" s="2" t="s">
        <v>431</v>
      </c>
      <c r="E316" s="6">
        <v>1200</v>
      </c>
      <c r="F316" s="18"/>
      <c r="G316" s="18"/>
      <c r="H316" s="18">
        <f>687.5+3025</f>
        <v>3712.5</v>
      </c>
      <c r="I316" s="18">
        <f>1959.94+70.9</f>
        <v>2030.8400000000001</v>
      </c>
      <c r="J316" s="18"/>
      <c r="K316" s="18"/>
      <c r="L316" s="13">
        <f>SUM(F316:K316)</f>
        <v>5743.34</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v>4798.45</v>
      </c>
      <c r="G318" s="18">
        <v>1375.72</v>
      </c>
      <c r="H318" s="18">
        <v>500</v>
      </c>
      <c r="I318" s="18">
        <v>1500</v>
      </c>
      <c r="J318" s="18">
        <v>4758.3999999999996</v>
      </c>
      <c r="K318" s="18"/>
      <c r="L318" s="13">
        <f>SUM(F318:K318)</f>
        <v>12932.57</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75675</v>
      </c>
      <c r="G320" s="18">
        <v>41864.46</v>
      </c>
      <c r="H320" s="18">
        <v>4000</v>
      </c>
      <c r="I320" s="18">
        <v>15.48</v>
      </c>
      <c r="J320" s="18"/>
      <c r="K320" s="18"/>
      <c r="L320" s="13">
        <f t="shared" ref="L320:L326" si="16">SUM(F320:K320)</f>
        <v>121554.93999999999</v>
      </c>
      <c r="M320" s="8"/>
      <c r="N320" s="165"/>
    </row>
    <row r="321" spans="1:14" s="3" customFormat="1" ht="12.2" customHeight="1" x14ac:dyDescent="0.15">
      <c r="A321" s="1" t="s">
        <v>443</v>
      </c>
      <c r="B321" s="2" t="s">
        <v>359</v>
      </c>
      <c r="C321" s="2" t="s">
        <v>295</v>
      </c>
      <c r="D321" s="2" t="s">
        <v>431</v>
      </c>
      <c r="E321" s="6">
        <v>2200</v>
      </c>
      <c r="F321" s="18">
        <f>7800+5538.35</f>
        <v>13338.35</v>
      </c>
      <c r="G321" s="18">
        <f>2236.26+1319.54</f>
        <v>3555.8</v>
      </c>
      <c r="H321" s="18">
        <f>16296+1370.98</f>
        <v>17666.98</v>
      </c>
      <c r="I321" s="18">
        <f>3508+20109.98</f>
        <v>23617.98</v>
      </c>
      <c r="J321" s="18"/>
      <c r="K321" s="18"/>
      <c r="L321" s="13">
        <f t="shared" si="16"/>
        <v>58179.11</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v>370.73</v>
      </c>
      <c r="G323" s="18"/>
      <c r="H323" s="18"/>
      <c r="I323" s="18"/>
      <c r="J323" s="18">
        <v>5884.32</v>
      </c>
      <c r="K323" s="18"/>
      <c r="L323" s="13">
        <f t="shared" si="16"/>
        <v>6255.0499999999993</v>
      </c>
      <c r="M323" s="8"/>
      <c r="N323" s="165"/>
    </row>
    <row r="324" spans="1:14" s="3" customFormat="1" ht="12.2" customHeight="1" x14ac:dyDescent="0.15">
      <c r="A324" s="1" t="s">
        <v>446</v>
      </c>
      <c r="B324" s="2" t="s">
        <v>359</v>
      </c>
      <c r="C324" s="2" t="s">
        <v>298</v>
      </c>
      <c r="D324" s="2" t="s">
        <v>431</v>
      </c>
      <c r="E324" s="6">
        <v>2500</v>
      </c>
      <c r="F324" s="18"/>
      <c r="G324" s="18"/>
      <c r="H324" s="18"/>
      <c r="I324" s="18">
        <v>5736.09</v>
      </c>
      <c r="J324" s="18"/>
      <c r="K324" s="18"/>
      <c r="L324" s="13">
        <f t="shared" si="16"/>
        <v>5736.09</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f>1570.89+3791.26</f>
        <v>5362.1500000000005</v>
      </c>
      <c r="J326" s="18"/>
      <c r="K326" s="18"/>
      <c r="L326" s="13">
        <f t="shared" si="16"/>
        <v>5362.1500000000005</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102278.94</v>
      </c>
      <c r="G329" s="39">
        <f t="shared" si="17"/>
        <v>49524.69</v>
      </c>
      <c r="H329" s="39">
        <f t="shared" si="17"/>
        <v>25879.48</v>
      </c>
      <c r="I329" s="39">
        <f t="shared" si="17"/>
        <v>45476.140000000007</v>
      </c>
      <c r="J329" s="39">
        <f t="shared" si="17"/>
        <v>13519.609999999999</v>
      </c>
      <c r="K329" s="39">
        <f t="shared" si="17"/>
        <v>0</v>
      </c>
      <c r="L329" s="38">
        <f t="shared" si="17"/>
        <v>236678.86</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v>63559.62</v>
      </c>
      <c r="I337" s="18"/>
      <c r="J337" s="18"/>
      <c r="K337" s="18"/>
      <c r="L337" s="13">
        <f t="shared" si="18"/>
        <v>63559.62</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63559.62</v>
      </c>
      <c r="I338" s="38">
        <f t="shared" si="19"/>
        <v>0</v>
      </c>
      <c r="J338" s="38">
        <f t="shared" si="19"/>
        <v>0</v>
      </c>
      <c r="K338" s="38">
        <f t="shared" si="19"/>
        <v>0</v>
      </c>
      <c r="L338" s="38">
        <f t="shared" si="18"/>
        <v>63559.62</v>
      </c>
      <c r="M338" s="8"/>
      <c r="N338" s="165"/>
    </row>
    <row r="339" spans="1:43" s="3" customFormat="1" ht="12.2" customHeight="1" thickTop="1" x14ac:dyDescent="0.15">
      <c r="A339" s="35" t="s">
        <v>468</v>
      </c>
      <c r="B339" s="37">
        <v>14</v>
      </c>
      <c r="C339" s="37">
        <v>7</v>
      </c>
      <c r="D339" s="36" t="s">
        <v>431</v>
      </c>
      <c r="E339" s="37"/>
      <c r="F339" s="38">
        <f t="shared" ref="F339:L339" si="20">F291+F310+F329+F338</f>
        <v>558455.18000000005</v>
      </c>
      <c r="G339" s="38">
        <f t="shared" si="20"/>
        <v>258471.31</v>
      </c>
      <c r="H339" s="38">
        <f t="shared" si="20"/>
        <v>259990.02</v>
      </c>
      <c r="I339" s="38">
        <f t="shared" si="20"/>
        <v>169835.39</v>
      </c>
      <c r="J339" s="38">
        <f t="shared" si="20"/>
        <v>86869.42</v>
      </c>
      <c r="K339" s="38">
        <f t="shared" si="20"/>
        <v>0</v>
      </c>
      <c r="L339" s="38">
        <f t="shared" si="20"/>
        <v>1333621.3199999998</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558455.18000000005</v>
      </c>
      <c r="G353" s="38">
        <f>G339</f>
        <v>258471.31</v>
      </c>
      <c r="H353" s="38">
        <f>H339</f>
        <v>259990.02</v>
      </c>
      <c r="I353" s="38">
        <f>I339</f>
        <v>169835.39</v>
      </c>
      <c r="J353" s="38">
        <f>J339</f>
        <v>86869.42</v>
      </c>
      <c r="K353" s="38">
        <f>K339+K352</f>
        <v>0</v>
      </c>
      <c r="L353" s="38">
        <f>L339+L352</f>
        <v>1333621.3199999998</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f>300352.5</f>
        <v>300352.5</v>
      </c>
      <c r="I359" s="18">
        <f>15911.89+2350.71</f>
        <v>18262.599999999999</v>
      </c>
      <c r="J359" s="18">
        <f>2892.41+636.43</f>
        <v>3528.8399999999997</v>
      </c>
      <c r="K359" s="18"/>
      <c r="L359" s="13">
        <f>SUM(F359:K359)</f>
        <v>322143.94</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f>128109.3</f>
        <v>128109.3</v>
      </c>
      <c r="I361" s="18">
        <f>5755.66+913.22</f>
        <v>6668.88</v>
      </c>
      <c r="J361" s="18">
        <f>1505.13+247.33</f>
        <v>1752.46</v>
      </c>
      <c r="K361" s="18"/>
      <c r="L361" s="13">
        <f>SUM(F361:K361)</f>
        <v>136530.63999999998</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428461.8</v>
      </c>
      <c r="I363" s="38">
        <f t="shared" si="22"/>
        <v>24931.48</v>
      </c>
      <c r="J363" s="38">
        <f t="shared" si="22"/>
        <v>5281.2999999999993</v>
      </c>
      <c r="K363" s="38">
        <f t="shared" si="22"/>
        <v>0</v>
      </c>
      <c r="L363" s="38">
        <f t="shared" si="22"/>
        <v>458674.57999999996</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f>16165.21+2350.71</f>
        <v>18515.919999999998</v>
      </c>
      <c r="G368" s="18"/>
      <c r="H368" s="18">
        <f>5755.66+913.22</f>
        <v>6668.88</v>
      </c>
      <c r="I368" s="13">
        <f>SUM(F368:H368)</f>
        <v>25184.799999999999</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-253.32</v>
      </c>
      <c r="G369" s="53"/>
      <c r="H369" s="53"/>
      <c r="I369" s="13">
        <f>SUM(F369:H369)</f>
        <v>-253.32</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18262.599999999999</v>
      </c>
      <c r="G370" s="38">
        <f>SUM(G368:G369)</f>
        <v>0</v>
      </c>
      <c r="H370" s="38">
        <f>SUM(H368:H369)</f>
        <v>6668.88</v>
      </c>
      <c r="I370" s="38">
        <f>SUM(I368:I369)</f>
        <v>24931.48</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v>8903.8799999999992</v>
      </c>
      <c r="I377" s="18"/>
      <c r="J377" s="18"/>
      <c r="K377" s="18"/>
      <c r="L377" s="13">
        <f t="shared" si="23"/>
        <v>8903.8799999999992</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v>162110</v>
      </c>
      <c r="L382" s="13">
        <f t="shared" si="23"/>
        <v>162110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8903.8799999999992</v>
      </c>
      <c r="I383" s="38">
        <f t="shared" si="24"/>
        <v>0</v>
      </c>
      <c r="J383" s="38">
        <f t="shared" si="24"/>
        <v>0</v>
      </c>
      <c r="K383" s="38">
        <f t="shared" si="24"/>
        <v>162110</v>
      </c>
      <c r="L383" s="38">
        <f t="shared" si="24"/>
        <v>171013.88</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v>50000</v>
      </c>
      <c r="H390" s="18"/>
      <c r="I390" s="18"/>
      <c r="J390" s="23" t="s">
        <v>288</v>
      </c>
      <c r="K390" s="23" t="s">
        <v>288</v>
      </c>
      <c r="L390" s="13">
        <f t="shared" si="25"/>
        <v>50000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v>1585.01</v>
      </c>
      <c r="I393" s="18"/>
      <c r="J393" s="23" t="s">
        <v>288</v>
      </c>
      <c r="K393" s="23" t="s">
        <v>288</v>
      </c>
      <c r="L393" s="13">
        <f t="shared" si="25"/>
        <v>1585.01</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50000</v>
      </c>
      <c r="H394" s="97">
        <f>SUM(H388:H393)</f>
        <v>1585.01</v>
      </c>
      <c r="I394" s="54">
        <f>SUM(I388:I393)</f>
        <v>0</v>
      </c>
      <c r="J394" s="42" t="s">
        <v>288</v>
      </c>
      <c r="K394" s="42" t="s">
        <v>288</v>
      </c>
      <c r="L394" s="38">
        <f>SUM(L388:L393)</f>
        <v>51585.01</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50000</v>
      </c>
      <c r="H409" s="38">
        <f>H394+H402+H408</f>
        <v>1585.01</v>
      </c>
      <c r="I409" s="38">
        <f>I394+I402+I408</f>
        <v>0</v>
      </c>
      <c r="J409" s="23" t="s">
        <v>288</v>
      </c>
      <c r="K409" s="23" t="s">
        <v>288</v>
      </c>
      <c r="L409" s="38">
        <f>L394+L402+L408</f>
        <v>51585.01</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v>161069.10999999999</v>
      </c>
      <c r="L415" s="13">
        <f t="shared" si="27"/>
        <v>161069.10999999999</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161069.10999999999</v>
      </c>
      <c r="L420" s="38">
        <f t="shared" si="28"/>
        <v>161069.10999999999</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161069.10999999999</v>
      </c>
      <c r="L435" s="38">
        <f t="shared" si="32"/>
        <v>161069.10999999999</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f>370199.14+25490.87</f>
        <v>395690.01</v>
      </c>
      <c r="G442" s="18">
        <f>640054.86+300506.38+168648.49</f>
        <v>1109209.73</v>
      </c>
      <c r="H442" s="18"/>
      <c r="I442" s="13">
        <f t="shared" si="33"/>
        <v>1504899.74</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395690.01</v>
      </c>
      <c r="G447" s="13">
        <f>SUM(G440:G446)</f>
        <v>1109209.73</v>
      </c>
      <c r="H447" s="13">
        <f>SUM(H440:H446)</f>
        <v>0</v>
      </c>
      <c r="I447" s="13">
        <f>SUM(I440:I446)</f>
        <v>1504899.74</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395690.01</v>
      </c>
      <c r="G460" s="18">
        <v>1109209.73</v>
      </c>
      <c r="H460" s="18"/>
      <c r="I460" s="13">
        <f t="shared" si="34"/>
        <v>1504899.74</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395690.01</v>
      </c>
      <c r="G461" s="65">
        <f>SUM(G455:G460)</f>
        <v>1109209.73</v>
      </c>
      <c r="H461" s="65">
        <f>SUM(H455:H460)</f>
        <v>0</v>
      </c>
      <c r="I461" s="65">
        <f>SUM(I455:I460)</f>
        <v>1504899.74</v>
      </c>
      <c r="J461" s="23" t="s">
        <v>288</v>
      </c>
      <c r="K461" s="23" t="s">
        <v>288</v>
      </c>
      <c r="L461" s="23" t="s">
        <v>288</v>
      </c>
      <c r="N461" s="131"/>
    </row>
    <row r="462" spans="1:86" ht="12.2" customHeight="1" thickTop="1" x14ac:dyDescent="0.2">
      <c r="A462" s="40" t="s">
        <v>424</v>
      </c>
      <c r="B462" s="41">
        <v>18</v>
      </c>
      <c r="C462" s="64">
        <v>21</v>
      </c>
      <c r="D462" s="114" t="s">
        <v>432</v>
      </c>
      <c r="E462" s="64"/>
      <c r="F462" s="39">
        <f>F453+F461</f>
        <v>395690.01</v>
      </c>
      <c r="G462" s="39">
        <f>G453+G461</f>
        <v>1109209.73</v>
      </c>
      <c r="H462" s="39">
        <f>H453+H461</f>
        <v>0</v>
      </c>
      <c r="I462" s="39">
        <f>I453+I461</f>
        <v>1504899.74</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1818959.9</v>
      </c>
      <c r="G466" s="18">
        <v>131187.57</v>
      </c>
      <c r="H466" s="18">
        <v>26187.01</v>
      </c>
      <c r="I466" s="18">
        <v>384992.01</v>
      </c>
      <c r="J466" s="18">
        <v>1614383.84</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24322666.57</v>
      </c>
      <c r="G469" s="18">
        <v>448667.66</v>
      </c>
      <c r="H469" s="18">
        <f>1255117.92+69922.62</f>
        <v>1325040.54</v>
      </c>
      <c r="I469" s="18">
        <v>6251.24</v>
      </c>
      <c r="J469" s="18">
        <v>51585.01</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24322666.57</v>
      </c>
      <c r="G471" s="19">
        <f>SUM(G469:G470)</f>
        <v>448667.66</v>
      </c>
      <c r="H471" s="19">
        <f>SUM(H469:H470)</f>
        <v>1325040.54</v>
      </c>
      <c r="I471" s="19">
        <f>SUM(I469:I470)</f>
        <v>6251.24</v>
      </c>
      <c r="J471" s="19">
        <f>SUM(J469:J470)</f>
        <v>51585.01</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24066484.210000001</v>
      </c>
      <c r="G473" s="18">
        <v>458674.58</v>
      </c>
      <c r="H473" s="18">
        <f>1255117.92+78503.4</f>
        <v>1333621.3199999998</v>
      </c>
      <c r="I473" s="18">
        <v>171013.88</v>
      </c>
      <c r="J473" s="18">
        <v>161069.10999999999</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24066484.210000001</v>
      </c>
      <c r="G475" s="19">
        <f>SUM(G473:G474)</f>
        <v>458674.58</v>
      </c>
      <c r="H475" s="19">
        <f>SUM(H473:H474)</f>
        <v>1333621.3199999998</v>
      </c>
      <c r="I475" s="19">
        <f>SUM(I473:I474)</f>
        <v>171013.88</v>
      </c>
      <c r="J475" s="19">
        <f>SUM(J473:J474)</f>
        <v>161069.10999999999</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2075142.2599999979</v>
      </c>
      <c r="G477" s="19">
        <f>(G466+G471)- G475</f>
        <v>121180.64999999997</v>
      </c>
      <c r="H477" s="19">
        <f>(H466+H471)- H475</f>
        <v>17606.230000000214</v>
      </c>
      <c r="I477" s="19">
        <f>(I466+I471)- I475</f>
        <v>220229.37</v>
      </c>
      <c r="J477" s="19">
        <f>(J466+J471)- J475</f>
        <v>1504899.7400000002</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v>35816700</v>
      </c>
      <c r="G494" s="18"/>
      <c r="H494" s="18"/>
      <c r="I494" s="18"/>
      <c r="J494" s="18"/>
      <c r="K494" s="23" t="s">
        <v>288</v>
      </c>
      <c r="L494" s="23" t="s">
        <v>288</v>
      </c>
      <c r="N494" s="131"/>
    </row>
    <row r="495" spans="1:14" ht="12.2" customHeight="1" x14ac:dyDescent="0.2">
      <c r="A495" s="21" t="s">
        <v>618</v>
      </c>
      <c r="B495" s="22">
        <v>20</v>
      </c>
      <c r="C495" s="22">
        <v>5</v>
      </c>
      <c r="D495" s="2" t="s">
        <v>432</v>
      </c>
      <c r="E495" s="22"/>
      <c r="F495" s="18">
        <v>3.33</v>
      </c>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765000</v>
      </c>
      <c r="G498" s="18"/>
      <c r="H498" s="18"/>
      <c r="I498" s="18"/>
      <c r="J498" s="18"/>
      <c r="K498" s="19">
        <f t="shared" si="35"/>
        <v>765000</v>
      </c>
      <c r="L498" s="23" t="s">
        <v>288</v>
      </c>
      <c r="N498" s="131"/>
    </row>
    <row r="499" spans="1:14" ht="12.2" customHeight="1" x14ac:dyDescent="0.2">
      <c r="A499" s="144" t="s">
        <v>622</v>
      </c>
      <c r="B499" s="145">
        <v>20</v>
      </c>
      <c r="C499" s="145">
        <v>9</v>
      </c>
      <c r="D499" s="146" t="s">
        <v>432</v>
      </c>
      <c r="E499" s="145"/>
      <c r="F499" s="147">
        <v>32355000</v>
      </c>
      <c r="G499" s="147"/>
      <c r="H499" s="147"/>
      <c r="I499" s="147"/>
      <c r="J499" s="147"/>
      <c r="K499" s="148">
        <f t="shared" si="35"/>
        <v>32355000</v>
      </c>
      <c r="L499" s="149" t="s">
        <v>288</v>
      </c>
      <c r="N499" s="131"/>
    </row>
    <row r="500" spans="1:14" ht="12.2" customHeight="1" thickBot="1" x14ac:dyDescent="0.25">
      <c r="A500" s="21" t="s">
        <v>623</v>
      </c>
      <c r="B500" s="22">
        <v>20</v>
      </c>
      <c r="C500" s="22">
        <v>10</v>
      </c>
      <c r="D500" s="2" t="s">
        <v>432</v>
      </c>
      <c r="E500" s="22"/>
      <c r="F500" s="18">
        <v>17641677.5</v>
      </c>
      <c r="G500" s="18"/>
      <c r="H500" s="18"/>
      <c r="I500" s="18"/>
      <c r="J500" s="18"/>
      <c r="K500" s="19">
        <f t="shared" si="35"/>
        <v>17641677.5</v>
      </c>
      <c r="L500" s="23" t="s">
        <v>288</v>
      </c>
      <c r="N500" s="131"/>
    </row>
    <row r="501" spans="1:14" ht="12.2" customHeight="1" thickTop="1" x14ac:dyDescent="0.2">
      <c r="A501" s="97" t="s">
        <v>624</v>
      </c>
      <c r="B501" s="41">
        <v>20</v>
      </c>
      <c r="C501" s="41">
        <v>11</v>
      </c>
      <c r="D501" s="36" t="s">
        <v>432</v>
      </c>
      <c r="E501" s="41"/>
      <c r="F501" s="39">
        <f>SUM(F499:F500)</f>
        <v>49996677.5</v>
      </c>
      <c r="G501" s="39">
        <f>SUM(G499:G500)</f>
        <v>0</v>
      </c>
      <c r="H501" s="39">
        <f>SUM(H499:H500)</f>
        <v>0</v>
      </c>
      <c r="I501" s="39">
        <f>SUM(I499:I500)</f>
        <v>0</v>
      </c>
      <c r="J501" s="39">
        <f>SUM(J499:J500)</f>
        <v>0</v>
      </c>
      <c r="K501" s="39">
        <f t="shared" si="35"/>
        <v>49996677.5</v>
      </c>
      <c r="L501" s="42" t="s">
        <v>288</v>
      </c>
      <c r="N501" s="131"/>
    </row>
    <row r="502" spans="1:14" ht="12.2" customHeight="1" x14ac:dyDescent="0.2">
      <c r="A502" s="144" t="s">
        <v>651</v>
      </c>
      <c r="B502" s="145">
        <v>20</v>
      </c>
      <c r="C502" s="145">
        <v>12</v>
      </c>
      <c r="D502" s="146" t="s">
        <v>432</v>
      </c>
      <c r="E502" s="145"/>
      <c r="F502" s="147">
        <v>805000</v>
      </c>
      <c r="G502" s="147"/>
      <c r="H502" s="147"/>
      <c r="I502" s="147"/>
      <c r="J502" s="147"/>
      <c r="K502" s="148">
        <f t="shared" si="35"/>
        <v>805000</v>
      </c>
      <c r="L502" s="149" t="s">
        <v>288</v>
      </c>
      <c r="N502" s="131"/>
    </row>
    <row r="503" spans="1:14" ht="12.2" customHeight="1" thickBot="1" x14ac:dyDescent="0.25">
      <c r="A503" s="21" t="s">
        <v>625</v>
      </c>
      <c r="B503" s="22">
        <v>20</v>
      </c>
      <c r="C503" s="22">
        <v>13</v>
      </c>
      <c r="D503" s="2" t="s">
        <v>432</v>
      </c>
      <c r="E503" s="22"/>
      <c r="F503" s="18">
        <v>1293977.5</v>
      </c>
      <c r="G503" s="18"/>
      <c r="H503" s="18"/>
      <c r="I503" s="18"/>
      <c r="J503" s="18"/>
      <c r="K503" s="19">
        <f t="shared" si="35"/>
        <v>1293977.5</v>
      </c>
      <c r="L503" s="23" t="s">
        <v>288</v>
      </c>
      <c r="N503" s="131"/>
    </row>
    <row r="504" spans="1:14" ht="12.2" customHeight="1" thickTop="1" x14ac:dyDescent="0.2">
      <c r="A504" s="97" t="s">
        <v>626</v>
      </c>
      <c r="B504" s="41">
        <v>20</v>
      </c>
      <c r="C504" s="41">
        <v>14</v>
      </c>
      <c r="D504" s="36" t="s">
        <v>432</v>
      </c>
      <c r="E504" s="41"/>
      <c r="F504" s="39">
        <f>SUM(F502:F503)</f>
        <v>2098977.5</v>
      </c>
      <c r="G504" s="39">
        <f>SUM(G502:G503)</f>
        <v>0</v>
      </c>
      <c r="H504" s="39">
        <f>SUM(H502:H503)</f>
        <v>0</v>
      </c>
      <c r="I504" s="39">
        <f>SUM(I502:I503)</f>
        <v>0</v>
      </c>
      <c r="J504" s="39">
        <f>SUM(J502:J503)</f>
        <v>0</v>
      </c>
      <c r="K504" s="39">
        <f t="shared" si="35"/>
        <v>2098977.5</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1577023.98+34621.23</f>
        <v>1611645.21</v>
      </c>
      <c r="G522" s="18">
        <f>654838.35+8285.38</f>
        <v>663123.73</v>
      </c>
      <c r="H522" s="18">
        <f>223451.13+565763.53</f>
        <v>789214.66</v>
      </c>
      <c r="I522" s="18">
        <f>11943.36+1751.11</f>
        <v>13694.470000000001</v>
      </c>
      <c r="J522" s="18">
        <v>5957.76</v>
      </c>
      <c r="K522" s="18"/>
      <c r="L522" s="69">
        <f>SUM(F522:K522)</f>
        <v>3083635.83</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f>454700.92+13449.98</f>
        <v>468150.89999999997</v>
      </c>
      <c r="G524" s="18">
        <f>198331.1+3218.78</f>
        <v>201549.88</v>
      </c>
      <c r="H524" s="18">
        <f>476158.5+219793.03</f>
        <v>695951.53</v>
      </c>
      <c r="I524" s="18">
        <f>2387.27+680.29</f>
        <v>3067.56</v>
      </c>
      <c r="J524" s="18">
        <v>1744</v>
      </c>
      <c r="K524" s="18"/>
      <c r="L524" s="69">
        <f>SUM(F524:K524)</f>
        <v>1370463.87</v>
      </c>
      <c r="N524" s="131"/>
    </row>
    <row r="525" spans="1:14" ht="12.2" customHeight="1" thickTop="1" x14ac:dyDescent="0.2">
      <c r="A525" s="97" t="s">
        <v>63</v>
      </c>
      <c r="B525" s="41">
        <v>21</v>
      </c>
      <c r="C525" s="41">
        <v>4</v>
      </c>
      <c r="D525" s="115" t="s">
        <v>432</v>
      </c>
      <c r="E525" s="41"/>
      <c r="F525" s="81">
        <f>SUM(F522:F524)</f>
        <v>2079796.1099999999</v>
      </c>
      <c r="G525" s="81">
        <f t="shared" ref="G525:L525" si="36">SUM(G522:G524)</f>
        <v>864673.61</v>
      </c>
      <c r="H525" s="81">
        <f t="shared" si="36"/>
        <v>1485166.19</v>
      </c>
      <c r="I525" s="81">
        <f t="shared" si="36"/>
        <v>16762.030000000002</v>
      </c>
      <c r="J525" s="81">
        <f t="shared" si="36"/>
        <v>7701.76</v>
      </c>
      <c r="K525" s="81">
        <f t="shared" si="36"/>
        <v>0</v>
      </c>
      <c r="L525" s="70">
        <f t="shared" si="36"/>
        <v>4454099.7</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f>312463.83+104769.99</f>
        <v>417233.82</v>
      </c>
      <c r="G527" s="18">
        <f>126571.78+47666.94</f>
        <v>174238.72</v>
      </c>
      <c r="H527" s="18">
        <f>984.97+695.46</f>
        <v>1680.43</v>
      </c>
      <c r="I527" s="18">
        <f>2402.66+3694.18</f>
        <v>6096.84</v>
      </c>
      <c r="J527" s="18">
        <v>7835.63</v>
      </c>
      <c r="K527" s="18">
        <v>225</v>
      </c>
      <c r="L527" s="69">
        <f>SUM(F527:K527)</f>
        <v>607310.44000000006</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f>30751.79+40702.01</f>
        <v>71453.8</v>
      </c>
      <c r="G529" s="18">
        <f>8334.67+18518.09</f>
        <v>26852.760000000002</v>
      </c>
      <c r="H529" s="18">
        <f>1117.9+270.18</f>
        <v>1388.0800000000002</v>
      </c>
      <c r="I529" s="18">
        <f>501.79+1435.15</f>
        <v>1936.94</v>
      </c>
      <c r="J529" s="18"/>
      <c r="K529" s="18"/>
      <c r="L529" s="69">
        <f>SUM(F529:K529)</f>
        <v>101631.58</v>
      </c>
      <c r="M529" s="8"/>
      <c r="N529" s="165"/>
    </row>
    <row r="530" spans="1:14" s="3" customFormat="1" ht="12.2" customHeight="1" thickTop="1" x14ac:dyDescent="0.15">
      <c r="A530" s="97" t="s">
        <v>65</v>
      </c>
      <c r="B530" s="41">
        <v>21</v>
      </c>
      <c r="C530" s="41">
        <v>8</v>
      </c>
      <c r="D530" s="115" t="s">
        <v>432</v>
      </c>
      <c r="E530" s="41"/>
      <c r="F530" s="70">
        <f>SUM(F527:F529)</f>
        <v>488687.62</v>
      </c>
      <c r="G530" s="70">
        <f t="shared" ref="G530:L530" si="37">SUM(G527:G529)</f>
        <v>201091.48</v>
      </c>
      <c r="H530" s="70">
        <f t="shared" si="37"/>
        <v>3068.51</v>
      </c>
      <c r="I530" s="70">
        <f t="shared" si="37"/>
        <v>8033.7800000000007</v>
      </c>
      <c r="J530" s="70">
        <f t="shared" si="37"/>
        <v>7835.63</v>
      </c>
      <c r="K530" s="70">
        <f t="shared" si="37"/>
        <v>225</v>
      </c>
      <c r="L530" s="70">
        <f t="shared" si="37"/>
        <v>708942.02</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198261.95</v>
      </c>
      <c r="G532" s="18">
        <v>96056.71</v>
      </c>
      <c r="H532" s="18">
        <v>6380.73</v>
      </c>
      <c r="I532" s="18"/>
      <c r="J532" s="18">
        <v>125.32</v>
      </c>
      <c r="K532" s="18">
        <v>2296.3200000000002</v>
      </c>
      <c r="L532" s="69">
        <f>SUM(F532:K532)</f>
        <v>303121.03000000003</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v>77022.63</v>
      </c>
      <c r="G534" s="18">
        <v>37317</v>
      </c>
      <c r="H534" s="18">
        <v>2478.85</v>
      </c>
      <c r="I534" s="18"/>
      <c r="J534" s="18">
        <v>48.68</v>
      </c>
      <c r="K534" s="18">
        <v>892.09</v>
      </c>
      <c r="L534" s="69">
        <f>SUM(F534:K534)</f>
        <v>117759.25</v>
      </c>
      <c r="M534" s="8"/>
      <c r="N534" s="165"/>
    </row>
    <row r="535" spans="1:14" s="3" customFormat="1" ht="12.2" customHeight="1" thickTop="1" x14ac:dyDescent="0.15">
      <c r="A535" s="97" t="s">
        <v>67</v>
      </c>
      <c r="B535" s="41">
        <v>21</v>
      </c>
      <c r="C535" s="41">
        <v>12</v>
      </c>
      <c r="D535" s="115" t="s">
        <v>432</v>
      </c>
      <c r="E535" s="41"/>
      <c r="F535" s="70">
        <f>SUM(F532:F534)</f>
        <v>275284.58</v>
      </c>
      <c r="G535" s="70">
        <f t="shared" ref="G535:L535" si="38">SUM(G532:G534)</f>
        <v>133373.71000000002</v>
      </c>
      <c r="H535" s="70">
        <f t="shared" si="38"/>
        <v>8859.58</v>
      </c>
      <c r="I535" s="70">
        <f t="shared" si="38"/>
        <v>0</v>
      </c>
      <c r="J535" s="70">
        <f t="shared" si="38"/>
        <v>174</v>
      </c>
      <c r="K535" s="70">
        <f t="shared" si="38"/>
        <v>3188.4100000000003</v>
      </c>
      <c r="L535" s="70">
        <f t="shared" si="38"/>
        <v>420880.28</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v>5165.59</v>
      </c>
      <c r="G542" s="18">
        <v>697.44</v>
      </c>
      <c r="H542" s="18">
        <v>273817.33</v>
      </c>
      <c r="I542" s="18"/>
      <c r="J542" s="18"/>
      <c r="K542" s="18"/>
      <c r="L542" s="69">
        <f>SUM(F542:K542)</f>
        <v>279680.36000000004</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v>106375.08</v>
      </c>
      <c r="I544" s="18"/>
      <c r="J544" s="18"/>
      <c r="K544" s="18"/>
      <c r="L544" s="69">
        <f>SUM(F544:K544)</f>
        <v>106375.08</v>
      </c>
      <c r="M544" s="8"/>
      <c r="N544" s="165"/>
    </row>
    <row r="545" spans="1:14" s="3" customFormat="1" ht="12.2" customHeight="1" thickTop="1" thickBot="1" x14ac:dyDescent="0.2">
      <c r="A545" s="93" t="s">
        <v>71</v>
      </c>
      <c r="B545" s="63">
        <v>21</v>
      </c>
      <c r="C545" s="63">
        <v>20</v>
      </c>
      <c r="D545" s="140" t="s">
        <v>432</v>
      </c>
      <c r="E545" s="63"/>
      <c r="F545" s="141">
        <f>SUM(F542:F544)</f>
        <v>5165.59</v>
      </c>
      <c r="G545" s="141">
        <f t="shared" ref="G545:L545" si="40">SUM(G542:G544)</f>
        <v>697.44</v>
      </c>
      <c r="H545" s="141">
        <f t="shared" si="40"/>
        <v>380192.41000000003</v>
      </c>
      <c r="I545" s="141">
        <f t="shared" si="40"/>
        <v>0</v>
      </c>
      <c r="J545" s="141">
        <f t="shared" si="40"/>
        <v>0</v>
      </c>
      <c r="K545" s="141">
        <f t="shared" si="40"/>
        <v>0</v>
      </c>
      <c r="L545" s="141">
        <f t="shared" si="40"/>
        <v>386055.44000000006</v>
      </c>
      <c r="M545" s="8"/>
      <c r="N545" s="165"/>
    </row>
    <row r="546" spans="1:14" s="3" customFormat="1" ht="12.2" customHeight="1" thickTop="1" x14ac:dyDescent="0.15">
      <c r="A546" s="75" t="s">
        <v>72</v>
      </c>
      <c r="B546" s="41">
        <v>21</v>
      </c>
      <c r="C546" s="41">
        <v>21</v>
      </c>
      <c r="D546" s="115" t="s">
        <v>432</v>
      </c>
      <c r="E546" s="41"/>
      <c r="F546" s="70">
        <f>F525+F530+F535+F540+F545</f>
        <v>2848933.9</v>
      </c>
      <c r="G546" s="70">
        <f t="shared" ref="G546:L546" si="41">G525+G530+G535+G540+G545</f>
        <v>1199836.24</v>
      </c>
      <c r="H546" s="70">
        <f t="shared" si="41"/>
        <v>1877286.69</v>
      </c>
      <c r="I546" s="70">
        <f t="shared" si="41"/>
        <v>24795.810000000005</v>
      </c>
      <c r="J546" s="70">
        <f t="shared" si="41"/>
        <v>15711.39</v>
      </c>
      <c r="K546" s="70">
        <f t="shared" si="41"/>
        <v>3413.4100000000003</v>
      </c>
      <c r="L546" s="70">
        <f t="shared" si="41"/>
        <v>5969977.4400000013</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3083635.83</v>
      </c>
      <c r="G550" s="69">
        <f>L527</f>
        <v>607310.44000000006</v>
      </c>
      <c r="H550" s="69">
        <f>L532</f>
        <v>303121.03000000003</v>
      </c>
      <c r="I550" s="69">
        <f>L537</f>
        <v>0</v>
      </c>
      <c r="J550" s="69">
        <f>L542</f>
        <v>279680.36000000004</v>
      </c>
      <c r="K550" s="69">
        <f>SUM(F550:J550)</f>
        <v>4273747.66</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1370463.87</v>
      </c>
      <c r="G552" s="69">
        <f>L529</f>
        <v>101631.58</v>
      </c>
      <c r="H552" s="69">
        <f>L534</f>
        <v>117759.25</v>
      </c>
      <c r="I552" s="69">
        <f>L539</f>
        <v>0</v>
      </c>
      <c r="J552" s="69">
        <f>L544</f>
        <v>106375.08</v>
      </c>
      <c r="K552" s="69">
        <f>SUM(F552:J552)</f>
        <v>1696229.7800000003</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4454099.7</v>
      </c>
      <c r="G553" s="70">
        <f t="shared" si="42"/>
        <v>708942.02</v>
      </c>
      <c r="H553" s="70">
        <f t="shared" si="42"/>
        <v>420880.28</v>
      </c>
      <c r="I553" s="70">
        <f t="shared" si="42"/>
        <v>0</v>
      </c>
      <c r="J553" s="70">
        <f t="shared" si="42"/>
        <v>386055.44000000006</v>
      </c>
      <c r="K553" s="70">
        <f t="shared" si="42"/>
        <v>5969977.4400000004</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77555.070000000007</v>
      </c>
      <c r="G563" s="18">
        <v>27569.02</v>
      </c>
      <c r="H563" s="18">
        <v>161</v>
      </c>
      <c r="I563" s="18">
        <v>198.44</v>
      </c>
      <c r="J563" s="18">
        <v>153.65</v>
      </c>
      <c r="K563" s="18"/>
      <c r="L563" s="69">
        <f>SUM(F563:K563)</f>
        <v>105637.18000000001</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v>8527.2900000000009</v>
      </c>
      <c r="G565" s="18">
        <v>3042.19</v>
      </c>
      <c r="H565" s="18"/>
      <c r="I565" s="18">
        <v>1008.42</v>
      </c>
      <c r="J565" s="18">
        <v>153.65</v>
      </c>
      <c r="K565" s="18"/>
      <c r="L565" s="69">
        <f>SUM(F565:K565)</f>
        <v>12731.550000000001</v>
      </c>
      <c r="M565" s="8"/>
      <c r="N565" s="165"/>
    </row>
    <row r="566" spans="1:14" s="3" customFormat="1" ht="12.2" customHeight="1" thickTop="1" x14ac:dyDescent="0.15">
      <c r="A566" s="97" t="s">
        <v>65</v>
      </c>
      <c r="B566" s="41">
        <v>22</v>
      </c>
      <c r="C566" s="41">
        <v>8</v>
      </c>
      <c r="D566" s="115" t="s">
        <v>432</v>
      </c>
      <c r="E566" s="41"/>
      <c r="F566" s="70">
        <f t="shared" ref="F566:L566" si="44">SUM(F563:F565)</f>
        <v>86082.360000000015</v>
      </c>
      <c r="G566" s="70">
        <f t="shared" si="44"/>
        <v>30611.21</v>
      </c>
      <c r="H566" s="70">
        <f t="shared" si="44"/>
        <v>161</v>
      </c>
      <c r="I566" s="70">
        <f t="shared" si="44"/>
        <v>1206.8599999999999</v>
      </c>
      <c r="J566" s="70">
        <f t="shared" si="44"/>
        <v>307.3</v>
      </c>
      <c r="K566" s="70">
        <f t="shared" si="44"/>
        <v>0</v>
      </c>
      <c r="L566" s="70">
        <f t="shared" si="44"/>
        <v>118368.73000000001</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v>5580.25</v>
      </c>
      <c r="I568" s="18">
        <v>33.979999999999997</v>
      </c>
      <c r="J568" s="18"/>
      <c r="K568" s="18"/>
      <c r="L568" s="69">
        <f>SUM(F568:K568)</f>
        <v>5614.23</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5580.25</v>
      </c>
      <c r="I571" s="141">
        <f t="shared" si="45"/>
        <v>33.979999999999997</v>
      </c>
      <c r="J571" s="141">
        <f t="shared" si="45"/>
        <v>0</v>
      </c>
      <c r="K571" s="141">
        <f t="shared" si="45"/>
        <v>0</v>
      </c>
      <c r="L571" s="141">
        <f t="shared" si="45"/>
        <v>5614.23</v>
      </c>
      <c r="M571" s="8"/>
      <c r="N571" s="165"/>
    </row>
    <row r="572" spans="1:14" s="3" customFormat="1" ht="12.2" customHeight="1" thickTop="1" x14ac:dyDescent="0.15">
      <c r="A572" s="75" t="s">
        <v>88</v>
      </c>
      <c r="B572" s="41">
        <v>22</v>
      </c>
      <c r="C572" s="41">
        <v>13</v>
      </c>
      <c r="D572" s="115" t="s">
        <v>432</v>
      </c>
      <c r="E572" s="41"/>
      <c r="F572" s="70">
        <f>F561+F566+F571</f>
        <v>86082.360000000015</v>
      </c>
      <c r="G572" s="70">
        <f t="shared" ref="G572:L572" si="46">G561+G566+G571</f>
        <v>30611.21</v>
      </c>
      <c r="H572" s="70">
        <f t="shared" si="46"/>
        <v>5741.25</v>
      </c>
      <c r="I572" s="70">
        <f t="shared" si="46"/>
        <v>1240.8399999999999</v>
      </c>
      <c r="J572" s="70">
        <f t="shared" si="46"/>
        <v>307.3</v>
      </c>
      <c r="K572" s="70">
        <f t="shared" si="46"/>
        <v>0</v>
      </c>
      <c r="L572" s="70">
        <f t="shared" si="46"/>
        <v>123982.96</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156486.54999999999</v>
      </c>
      <c r="G583" s="18"/>
      <c r="H583" s="18">
        <v>474865.91999999998</v>
      </c>
      <c r="I583" s="69">
        <f t="shared" si="47"/>
        <v>631352.47</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v>247227</v>
      </c>
      <c r="I585" s="69">
        <f t="shared" si="47"/>
        <v>247227</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f>15337.98+266552.01</f>
        <v>281889.99</v>
      </c>
      <c r="I592" s="18"/>
      <c r="J592" s="18">
        <f>15416.58+103552.58</f>
        <v>118969.16</v>
      </c>
      <c r="K592" s="80">
        <f t="shared" ref="K592:K598" si="48">SUM(H592:J592)</f>
        <v>400859.15</v>
      </c>
      <c r="L592" s="23" t="s">
        <v>288</v>
      </c>
      <c r="M592" s="8"/>
      <c r="N592" s="165"/>
    </row>
    <row r="593" spans="1:14" s="3" customFormat="1" ht="12.2" customHeight="1" x14ac:dyDescent="0.15">
      <c r="A593" s="3" t="s">
        <v>638</v>
      </c>
      <c r="B593" s="22">
        <v>23</v>
      </c>
      <c r="C593" s="22">
        <v>2</v>
      </c>
      <c r="D593" s="2" t="s">
        <v>432</v>
      </c>
      <c r="E593" s="22"/>
      <c r="F593" s="78">
        <v>2722</v>
      </c>
      <c r="G593" s="79" t="s">
        <v>97</v>
      </c>
      <c r="H593" s="18">
        <f>5863.03+273817.33</f>
        <v>279680.36000000004</v>
      </c>
      <c r="I593" s="18"/>
      <c r="J593" s="18">
        <v>106375.08</v>
      </c>
      <c r="K593" s="80">
        <f t="shared" si="48"/>
        <v>386055.44000000006</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v>50051.43</v>
      </c>
      <c r="K594" s="80">
        <f t="shared" si="48"/>
        <v>50051.43</v>
      </c>
      <c r="L594" s="23" t="s">
        <v>288</v>
      </c>
      <c r="M594" s="8"/>
      <c r="N594" s="165"/>
    </row>
    <row r="595" spans="1:14" s="3" customFormat="1" ht="12.2" customHeight="1" x14ac:dyDescent="0.15">
      <c r="A595" s="21" t="s">
        <v>640</v>
      </c>
      <c r="B595" s="22">
        <v>23</v>
      </c>
      <c r="C595" s="22">
        <v>4</v>
      </c>
      <c r="D595" s="2" t="s">
        <v>432</v>
      </c>
      <c r="E595" s="22"/>
      <c r="F595" s="78">
        <v>2724</v>
      </c>
      <c r="G595" s="79" t="s">
        <v>97</v>
      </c>
      <c r="H595" s="18">
        <v>7845.5</v>
      </c>
      <c r="I595" s="18"/>
      <c r="J595" s="18">
        <v>35022.68</v>
      </c>
      <c r="K595" s="80">
        <f t="shared" si="48"/>
        <v>42868.18</v>
      </c>
      <c r="L595" s="23" t="s">
        <v>288</v>
      </c>
      <c r="M595" s="8"/>
      <c r="N595" s="165"/>
    </row>
    <row r="596" spans="1:14" s="3" customFormat="1" ht="12.2" customHeight="1" x14ac:dyDescent="0.15">
      <c r="A596" s="103" t="s">
        <v>652</v>
      </c>
      <c r="B596" s="22">
        <v>23</v>
      </c>
      <c r="C596" s="22">
        <v>5</v>
      </c>
      <c r="D596" s="2" t="s">
        <v>432</v>
      </c>
      <c r="E596" s="22"/>
      <c r="F596" s="78">
        <v>2725</v>
      </c>
      <c r="G596" s="79" t="s">
        <v>97</v>
      </c>
      <c r="H596" s="18">
        <v>13998.2</v>
      </c>
      <c r="I596" s="18"/>
      <c r="J596" s="18">
        <v>5524.76</v>
      </c>
      <c r="K596" s="80">
        <f t="shared" si="48"/>
        <v>19522.96</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583414.05000000005</v>
      </c>
      <c r="I599" s="81">
        <f>SUM(I592:I598)</f>
        <v>0</v>
      </c>
      <c r="J599" s="81">
        <f>SUM(J592:J598)</f>
        <v>315943.11</v>
      </c>
      <c r="K599" s="81">
        <f>SUM(K592:K598)</f>
        <v>899357.16000000015</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254010.54+19920.69</f>
        <v>273931.23</v>
      </c>
      <c r="I605" s="18"/>
      <c r="J605" s="18">
        <f>133314.28+7738.98</f>
        <v>141053.26</v>
      </c>
      <c r="K605" s="80">
        <f>SUM(H605:J605)</f>
        <v>414984.49</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273931.23</v>
      </c>
      <c r="I606" s="81">
        <f>SUM(I603:I605)</f>
        <v>0</v>
      </c>
      <c r="J606" s="81">
        <f>SUM(J603:J605)</f>
        <v>141053.26</v>
      </c>
      <c r="K606" s="81">
        <f>SUM(K603:K605)</f>
        <v>414984.49</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1422.15</v>
      </c>
      <c r="G612" s="18">
        <v>308.74</v>
      </c>
      <c r="H612" s="18"/>
      <c r="I612" s="18"/>
      <c r="J612" s="18"/>
      <c r="K612" s="18"/>
      <c r="L612" s="69">
        <f>SUM(F612:K612)</f>
        <v>1730.89</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v>1237.98</v>
      </c>
      <c r="G614" s="18">
        <v>220.83</v>
      </c>
      <c r="H614" s="18"/>
      <c r="I614" s="18"/>
      <c r="J614" s="18"/>
      <c r="K614" s="18"/>
      <c r="L614" s="69">
        <f>SUM(F614:K614)</f>
        <v>1458.81</v>
      </c>
      <c r="M614" s="8"/>
      <c r="N614" s="165"/>
    </row>
    <row r="615" spans="1:14" s="3" customFormat="1" ht="12.2" customHeight="1" thickTop="1" x14ac:dyDescent="0.15">
      <c r="A615" s="75" t="s">
        <v>340</v>
      </c>
      <c r="B615" s="41">
        <v>23</v>
      </c>
      <c r="C615" s="41">
        <v>16</v>
      </c>
      <c r="D615" s="36" t="s">
        <v>432</v>
      </c>
      <c r="E615" s="41"/>
      <c r="F615" s="81">
        <f t="shared" ref="F615:L615" si="49">SUM(F612:F614)</f>
        <v>2660.13</v>
      </c>
      <c r="G615" s="81">
        <f t="shared" si="49"/>
        <v>529.57000000000005</v>
      </c>
      <c r="H615" s="81">
        <f t="shared" si="49"/>
        <v>0</v>
      </c>
      <c r="I615" s="81">
        <f t="shared" si="49"/>
        <v>0</v>
      </c>
      <c r="J615" s="81">
        <f t="shared" si="49"/>
        <v>0</v>
      </c>
      <c r="K615" s="81">
        <f t="shared" si="49"/>
        <v>0</v>
      </c>
      <c r="L615" s="70">
        <f t="shared" si="49"/>
        <v>3189.7</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3752413.0100000002</v>
      </c>
      <c r="H618" s="80">
        <f>SUM(F52)</f>
        <v>3752413.01</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160461.35</v>
      </c>
      <c r="H619" s="80">
        <f>SUM(G52)</f>
        <v>160461.35</v>
      </c>
      <c r="I619" s="87" t="s">
        <v>875</v>
      </c>
      <c r="J619" s="80">
        <f>G619-H619</f>
        <v>0</v>
      </c>
      <c r="K619" s="80"/>
      <c r="L619" s="80"/>
      <c r="M619" s="8"/>
    </row>
    <row r="620" spans="1:14" s="3" customFormat="1" ht="12.2" customHeight="1" x14ac:dyDescent="0.15">
      <c r="A620" s="74"/>
      <c r="B620" s="22"/>
      <c r="C620" s="22"/>
      <c r="D620" s="22"/>
      <c r="E620" s="22"/>
      <c r="F620" s="87" t="s">
        <v>685</v>
      </c>
      <c r="G620" s="80">
        <f>SUM(H19)</f>
        <v>174418.05000000002</v>
      </c>
      <c r="H620" s="80">
        <f>SUM(H52)</f>
        <v>174418.05000000002</v>
      </c>
      <c r="I620" s="87" t="s">
        <v>876</v>
      </c>
      <c r="J620" s="80">
        <f>G620-H620</f>
        <v>0</v>
      </c>
      <c r="K620" s="80"/>
      <c r="L620" s="80"/>
      <c r="M620" s="8"/>
    </row>
    <row r="621" spans="1:14" s="3" customFormat="1" ht="12.2" customHeight="1" x14ac:dyDescent="0.15">
      <c r="A621" s="74"/>
      <c r="B621" s="22"/>
      <c r="C621" s="22"/>
      <c r="D621" s="22"/>
      <c r="E621" s="22"/>
      <c r="F621" s="87" t="s">
        <v>686</v>
      </c>
      <c r="G621" s="80">
        <f>SUM(I19)</f>
        <v>220229.37</v>
      </c>
      <c r="H621" s="80">
        <f>SUM(I52)</f>
        <v>220229.37</v>
      </c>
      <c r="I621" s="87" t="s">
        <v>877</v>
      </c>
      <c r="J621" s="80">
        <f>G621-H621</f>
        <v>0</v>
      </c>
      <c r="K621" s="80"/>
      <c r="L621" s="80"/>
      <c r="M621" s="8"/>
    </row>
    <row r="622" spans="1:14" s="3" customFormat="1" ht="12.2" customHeight="1" x14ac:dyDescent="0.15">
      <c r="A622" s="74"/>
      <c r="B622" s="22"/>
      <c r="C622" s="22"/>
      <c r="D622" s="22"/>
      <c r="E622" s="22"/>
      <c r="F622" s="87" t="s">
        <v>687</v>
      </c>
      <c r="G622" s="80">
        <f>SUM(J19)</f>
        <v>1504899.74</v>
      </c>
      <c r="H622" s="80">
        <f>SUM(J52)</f>
        <v>1504899.74</v>
      </c>
      <c r="I622" s="87" t="s">
        <v>878</v>
      </c>
      <c r="J622" s="80">
        <f>G622-H622</f>
        <v>0</v>
      </c>
      <c r="K622" s="80"/>
      <c r="L622" s="80"/>
      <c r="M622" s="8"/>
    </row>
    <row r="623" spans="1:14" s="3" customFormat="1" ht="12.2" customHeight="1" x14ac:dyDescent="0.15">
      <c r="A623" s="74"/>
      <c r="B623" s="22"/>
      <c r="C623" s="22"/>
      <c r="D623" s="22"/>
      <c r="E623" s="22"/>
      <c r="F623" s="87" t="s">
        <v>864</v>
      </c>
      <c r="G623" s="80">
        <f>F51</f>
        <v>2075142.2599999998</v>
      </c>
      <c r="H623" s="80">
        <f>F477</f>
        <v>2075142.2599999979</v>
      </c>
      <c r="I623" s="87" t="s">
        <v>101</v>
      </c>
      <c r="J623" s="80">
        <f t="shared" ref="J623:J656" si="50">G623-H623</f>
        <v>1.862645149230957E-9</v>
      </c>
      <c r="K623" s="80"/>
      <c r="L623" s="80"/>
      <c r="M623" s="8"/>
    </row>
    <row r="624" spans="1:14" s="3" customFormat="1" ht="12.2" customHeight="1" x14ac:dyDescent="0.15">
      <c r="A624" s="74"/>
      <c r="B624" s="22"/>
      <c r="C624" s="85"/>
      <c r="D624" s="85"/>
      <c r="E624" s="85"/>
      <c r="F624" s="85" t="s">
        <v>865</v>
      </c>
      <c r="G624" s="80">
        <f>G51</f>
        <v>121180.65000000001</v>
      </c>
      <c r="H624" s="80">
        <f>G477</f>
        <v>121180.64999999997</v>
      </c>
      <c r="I624" s="87" t="s">
        <v>102</v>
      </c>
      <c r="J624" s="80">
        <f t="shared" si="50"/>
        <v>0</v>
      </c>
      <c r="K624" s="80"/>
      <c r="L624" s="80"/>
      <c r="M624" s="8"/>
    </row>
    <row r="625" spans="1:13" s="3" customFormat="1" ht="12.2" customHeight="1" x14ac:dyDescent="0.15">
      <c r="A625" s="74"/>
      <c r="B625" s="22"/>
      <c r="C625" s="22"/>
      <c r="D625" s="22"/>
      <c r="E625" s="22"/>
      <c r="F625" s="86" t="s">
        <v>866</v>
      </c>
      <c r="G625" s="80">
        <f>H51</f>
        <v>17606.23</v>
      </c>
      <c r="H625" s="80">
        <f>H477</f>
        <v>17606.230000000214</v>
      </c>
      <c r="I625" s="87" t="s">
        <v>103</v>
      </c>
      <c r="J625" s="80">
        <f t="shared" si="50"/>
        <v>-2.1464074961841106E-10</v>
      </c>
      <c r="K625" s="80"/>
      <c r="L625" s="80"/>
      <c r="M625" s="8"/>
    </row>
    <row r="626" spans="1:13" s="3" customFormat="1" ht="12.2" customHeight="1" x14ac:dyDescent="0.15">
      <c r="A626" s="74"/>
      <c r="B626" s="22"/>
      <c r="C626" s="22"/>
      <c r="D626" s="22"/>
      <c r="E626" s="22"/>
      <c r="F626" s="86" t="s">
        <v>867</v>
      </c>
      <c r="G626" s="80">
        <f>I51</f>
        <v>220229.37</v>
      </c>
      <c r="H626" s="80">
        <f>I477</f>
        <v>220229.37</v>
      </c>
      <c r="I626" s="87" t="s">
        <v>104</v>
      </c>
      <c r="J626" s="80">
        <f t="shared" si="50"/>
        <v>0</v>
      </c>
      <c r="K626" s="80"/>
      <c r="L626" s="80"/>
      <c r="M626" s="8"/>
    </row>
    <row r="627" spans="1:13" s="3" customFormat="1" ht="12.2" customHeight="1" x14ac:dyDescent="0.15">
      <c r="A627" s="21"/>
      <c r="B627" s="22"/>
      <c r="C627" s="22"/>
      <c r="D627" s="22"/>
      <c r="E627" s="22"/>
      <c r="F627" s="86" t="s">
        <v>868</v>
      </c>
      <c r="G627" s="80">
        <f>J51</f>
        <v>1504899.74</v>
      </c>
      <c r="H627" s="80">
        <f>J477</f>
        <v>1504899.7400000002</v>
      </c>
      <c r="I627" s="87" t="s">
        <v>105</v>
      </c>
      <c r="J627" s="80">
        <f t="shared" si="50"/>
        <v>0</v>
      </c>
      <c r="K627" s="67"/>
      <c r="L627" s="69"/>
      <c r="M627" s="8"/>
    </row>
    <row r="628" spans="1:13" s="3" customFormat="1" ht="12.2" customHeight="1" x14ac:dyDescent="0.15">
      <c r="A628" s="21"/>
      <c r="B628" s="22"/>
      <c r="C628" s="22"/>
      <c r="D628" s="22"/>
      <c r="E628" s="22"/>
      <c r="F628" s="86" t="s">
        <v>658</v>
      </c>
      <c r="G628" s="80">
        <f>F194</f>
        <v>24322666.57</v>
      </c>
      <c r="H628" s="80">
        <f>SUM(F469)</f>
        <v>24322666.57</v>
      </c>
      <c r="I628" s="87" t="s">
        <v>106</v>
      </c>
      <c r="J628" s="80">
        <f>G628-H628</f>
        <v>0</v>
      </c>
      <c r="K628" s="67"/>
      <c r="L628" s="69"/>
      <c r="M628" s="8"/>
    </row>
    <row r="629" spans="1:13" s="3" customFormat="1" ht="12.2" customHeight="1" x14ac:dyDescent="0.15">
      <c r="A629" s="21"/>
      <c r="B629" s="22"/>
      <c r="C629" s="22"/>
      <c r="D629" s="22"/>
      <c r="E629" s="22"/>
      <c r="F629" s="86" t="s">
        <v>659</v>
      </c>
      <c r="G629" s="80">
        <f>G194</f>
        <v>448667.66</v>
      </c>
      <c r="H629" s="80">
        <f>SUM(G469)</f>
        <v>448667.66</v>
      </c>
      <c r="I629" s="87" t="s">
        <v>107</v>
      </c>
      <c r="J629" s="80">
        <f>G629-H629</f>
        <v>0</v>
      </c>
      <c r="K629" s="67"/>
      <c r="L629" s="69"/>
      <c r="M629" s="8"/>
    </row>
    <row r="630" spans="1:13" s="3" customFormat="1" ht="12.2" customHeight="1" x14ac:dyDescent="0.15">
      <c r="A630" s="21"/>
      <c r="B630" s="22"/>
      <c r="C630" s="22"/>
      <c r="D630" s="22"/>
      <c r="E630" s="22"/>
      <c r="F630" s="86" t="s">
        <v>660</v>
      </c>
      <c r="G630" s="80">
        <f>H194</f>
        <v>1325040.54</v>
      </c>
      <c r="H630" s="80">
        <f>SUM(H469)</f>
        <v>1325040.54</v>
      </c>
      <c r="I630" s="87" t="s">
        <v>108</v>
      </c>
      <c r="J630" s="80">
        <f>G630-H630</f>
        <v>0</v>
      </c>
      <c r="K630" s="67"/>
      <c r="L630" s="69"/>
      <c r="M630" s="8"/>
    </row>
    <row r="631" spans="1:13" s="3" customFormat="1" ht="12.2" customHeight="1" x14ac:dyDescent="0.15">
      <c r="A631" s="21"/>
      <c r="B631" s="22"/>
      <c r="C631" s="22"/>
      <c r="D631" s="22"/>
      <c r="E631" s="22"/>
      <c r="F631" s="86" t="s">
        <v>661</v>
      </c>
      <c r="G631" s="80">
        <f>I194</f>
        <v>6251.24</v>
      </c>
      <c r="H631" s="80">
        <f>SUM(I469)</f>
        <v>6251.24</v>
      </c>
      <c r="I631" s="87" t="s">
        <v>109</v>
      </c>
      <c r="J631" s="80">
        <f>G631-H631</f>
        <v>0</v>
      </c>
      <c r="K631" s="67"/>
      <c r="L631" s="69"/>
      <c r="M631" s="8"/>
    </row>
    <row r="632" spans="1:13" s="3" customFormat="1" ht="12.2" customHeight="1" x14ac:dyDescent="0.15">
      <c r="A632" s="21"/>
      <c r="B632" s="22"/>
      <c r="C632" s="22"/>
      <c r="D632" s="22"/>
      <c r="E632" s="22"/>
      <c r="F632" s="86" t="s">
        <v>662</v>
      </c>
      <c r="G632" s="80">
        <f>J194</f>
        <v>51585.01</v>
      </c>
      <c r="H632" s="80">
        <f>SUM(J469)</f>
        <v>51585.01</v>
      </c>
      <c r="I632" s="87" t="s">
        <v>110</v>
      </c>
      <c r="J632" s="80">
        <f>G632-H632</f>
        <v>0</v>
      </c>
      <c r="K632" s="67"/>
      <c r="L632" s="69"/>
      <c r="M632" s="8"/>
    </row>
    <row r="633" spans="1:13" s="3" customFormat="1" ht="12.2" customHeight="1" x14ac:dyDescent="0.15">
      <c r="A633" s="21"/>
      <c r="B633" s="22"/>
      <c r="C633" s="22"/>
      <c r="D633" s="22"/>
      <c r="E633" s="22"/>
      <c r="F633" s="86" t="s">
        <v>394</v>
      </c>
      <c r="G633" s="80">
        <f>SUM(L272)</f>
        <v>24066484.210000001</v>
      </c>
      <c r="H633" s="80">
        <f>SUM(F473)</f>
        <v>24066484.210000001</v>
      </c>
      <c r="I633" s="87" t="s">
        <v>111</v>
      </c>
      <c r="J633" s="80">
        <f t="shared" si="50"/>
        <v>0</v>
      </c>
      <c r="K633" s="67"/>
      <c r="L633" s="69"/>
      <c r="M633" s="8"/>
    </row>
    <row r="634" spans="1:13" s="3" customFormat="1" ht="12.2" customHeight="1" x14ac:dyDescent="0.15">
      <c r="A634" s="21"/>
      <c r="B634" s="22"/>
      <c r="C634" s="22"/>
      <c r="D634" s="22"/>
      <c r="E634" s="22"/>
      <c r="F634" s="86" t="s">
        <v>395</v>
      </c>
      <c r="G634" s="80">
        <f>SUM(L353)</f>
        <v>1333621.3199999998</v>
      </c>
      <c r="H634" s="80">
        <f>SUM(H473)</f>
        <v>1333621.3199999998</v>
      </c>
      <c r="I634" s="87" t="s">
        <v>112</v>
      </c>
      <c r="J634" s="80">
        <f>G634-H634</f>
        <v>0</v>
      </c>
      <c r="K634" s="67"/>
      <c r="L634" s="69"/>
      <c r="M634" s="8"/>
    </row>
    <row r="635" spans="1:13" s="124" customFormat="1" ht="12.2" customHeight="1" x14ac:dyDescent="0.15">
      <c r="A635" s="21"/>
      <c r="B635" s="22"/>
      <c r="C635" s="22"/>
      <c r="D635" s="22"/>
      <c r="E635" s="22"/>
      <c r="F635" s="99" t="s">
        <v>247</v>
      </c>
      <c r="G635" s="80">
        <f>I363</f>
        <v>24931.48</v>
      </c>
      <c r="H635" s="80">
        <f>I370</f>
        <v>24931.48</v>
      </c>
      <c r="I635" s="100" t="s">
        <v>248</v>
      </c>
      <c r="J635" s="80">
        <f>G635-H635</f>
        <v>0</v>
      </c>
      <c r="K635" s="67"/>
      <c r="L635" s="69"/>
      <c r="M635" s="123"/>
    </row>
    <row r="636" spans="1:13" s="124" customFormat="1" ht="12.2" customHeight="1" x14ac:dyDescent="0.15">
      <c r="A636" s="21"/>
      <c r="B636" s="22"/>
      <c r="C636" s="22"/>
      <c r="D636" s="22"/>
      <c r="E636" s="22"/>
      <c r="F636" s="86" t="s">
        <v>113</v>
      </c>
      <c r="G636" s="80">
        <f>SUM(L363)</f>
        <v>458674.57999999996</v>
      </c>
      <c r="H636" s="80">
        <f>SUM(G473)</f>
        <v>458674.58</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171013.88</v>
      </c>
      <c r="H637" s="80">
        <f>SUM(I473)</f>
        <v>171013.88</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51585.01</v>
      </c>
      <c r="H638" s="108">
        <f>SUM(J469)</f>
        <v>51585.01</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161069.10999999999</v>
      </c>
      <c r="H639" s="108">
        <f>SUM(J473)</f>
        <v>161069.10999999999</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395690.01</v>
      </c>
      <c r="H640" s="80">
        <f>SUM(F462)</f>
        <v>395690.01</v>
      </c>
      <c r="I640" s="87" t="s">
        <v>840</v>
      </c>
      <c r="J640" s="80">
        <f t="shared" si="50"/>
        <v>0</v>
      </c>
      <c r="K640" s="67"/>
      <c r="L640" s="69"/>
      <c r="M640" s="8"/>
    </row>
    <row r="641" spans="1:13" s="3" customFormat="1" ht="12.2" customHeight="1" x14ac:dyDescent="0.15">
      <c r="A641" s="21"/>
      <c r="B641" s="22"/>
      <c r="C641" s="22"/>
      <c r="D641" s="22"/>
      <c r="E641" s="22"/>
      <c r="F641" s="86" t="s">
        <v>119</v>
      </c>
      <c r="G641" s="80">
        <f>SUM(G447)</f>
        <v>1109209.73</v>
      </c>
      <c r="H641" s="80">
        <f>SUM(G462)</f>
        <v>1109209.73</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1504899.74</v>
      </c>
      <c r="H643" s="80">
        <f>SUM(I462)</f>
        <v>1504899.74</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1585.01</v>
      </c>
      <c r="H645" s="80">
        <f>H409</f>
        <v>1585.01</v>
      </c>
      <c r="I645" s="87" t="s">
        <v>480</v>
      </c>
      <c r="J645" s="80">
        <f t="shared" si="50"/>
        <v>0</v>
      </c>
      <c r="K645" s="67"/>
      <c r="L645" s="69"/>
      <c r="M645" s="8"/>
    </row>
    <row r="646" spans="1:13" s="3" customFormat="1" ht="12.2" customHeight="1" x14ac:dyDescent="0.15">
      <c r="A646" s="21"/>
      <c r="B646" s="22"/>
      <c r="C646" s="22"/>
      <c r="D646" s="22"/>
      <c r="E646" s="22"/>
      <c r="F646" s="86" t="s">
        <v>664</v>
      </c>
      <c r="G646" s="80">
        <f>J184</f>
        <v>50000</v>
      </c>
      <c r="H646" s="80">
        <f>G409</f>
        <v>50000</v>
      </c>
      <c r="I646" s="87" t="s">
        <v>481</v>
      </c>
      <c r="J646" s="80">
        <f t="shared" si="50"/>
        <v>0</v>
      </c>
      <c r="K646" s="67"/>
      <c r="L646" s="69"/>
      <c r="M646" s="8"/>
    </row>
    <row r="647" spans="1:13" s="3" customFormat="1" ht="12.2" customHeight="1" x14ac:dyDescent="0.15">
      <c r="A647" s="21"/>
      <c r="B647" s="22"/>
      <c r="C647" s="22"/>
      <c r="D647" s="22"/>
      <c r="E647" s="22"/>
      <c r="F647" s="86" t="s">
        <v>662</v>
      </c>
      <c r="G647" s="80">
        <f>J194</f>
        <v>51585.01</v>
      </c>
      <c r="H647" s="80">
        <f>L409</f>
        <v>51585.01</v>
      </c>
      <c r="I647" s="87" t="s">
        <v>477</v>
      </c>
      <c r="J647" s="80">
        <f t="shared" si="50"/>
        <v>0</v>
      </c>
      <c r="K647" s="67"/>
      <c r="L647" s="69"/>
      <c r="M647" s="8"/>
    </row>
    <row r="648" spans="1:13" s="3" customFormat="1" ht="12.2" customHeight="1" x14ac:dyDescent="0.15">
      <c r="A648" s="21"/>
      <c r="B648" s="22"/>
      <c r="C648" s="22"/>
      <c r="D648" s="22"/>
      <c r="E648" s="22"/>
      <c r="F648" s="86" t="s">
        <v>51</v>
      </c>
      <c r="G648" s="80">
        <f>K599</f>
        <v>899357.16000000015</v>
      </c>
      <c r="H648" s="80">
        <f>L209+L227+L245</f>
        <v>899357.16</v>
      </c>
      <c r="I648" s="87" t="s">
        <v>396</v>
      </c>
      <c r="J648" s="80">
        <f t="shared" si="50"/>
        <v>0</v>
      </c>
      <c r="K648" s="67"/>
      <c r="L648" s="69"/>
      <c r="M648" s="8"/>
    </row>
    <row r="649" spans="1:13" s="3" customFormat="1" ht="12.2" customHeight="1" x14ac:dyDescent="0.15">
      <c r="A649" s="21"/>
      <c r="B649" s="22"/>
      <c r="C649" s="22"/>
      <c r="D649" s="22"/>
      <c r="E649" s="22"/>
      <c r="F649" s="86" t="s">
        <v>52</v>
      </c>
      <c r="G649" s="80">
        <f>K606</f>
        <v>414984.49</v>
      </c>
      <c r="H649" s="80">
        <f>(J258+J339)-(J256+J337)</f>
        <v>414984.49</v>
      </c>
      <c r="I649" s="87" t="s">
        <v>699</v>
      </c>
      <c r="J649" s="80">
        <f t="shared" si="50"/>
        <v>0</v>
      </c>
      <c r="K649" s="67"/>
      <c r="L649" s="69"/>
      <c r="M649" s="8"/>
    </row>
    <row r="650" spans="1:13" s="3" customFormat="1" ht="12.2" customHeight="1" x14ac:dyDescent="0.15">
      <c r="A650" s="21"/>
      <c r="B650" s="22"/>
      <c r="C650" s="22"/>
      <c r="D650" s="22"/>
      <c r="E650" s="22"/>
      <c r="F650" s="86" t="s">
        <v>387</v>
      </c>
      <c r="G650" s="80">
        <f>L209</f>
        <v>583414.05000000005</v>
      </c>
      <c r="H650" s="80">
        <f>H599</f>
        <v>583414.05000000005</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315943.11</v>
      </c>
      <c r="H652" s="80">
        <f>J599</f>
        <v>315943.11</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50000</v>
      </c>
      <c r="H656" s="80">
        <f>K267+K348</f>
        <v>50000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16080880.779999997</v>
      </c>
      <c r="G661" s="13">
        <f>(L230+L310+L360)</f>
        <v>0</v>
      </c>
      <c r="H661" s="13">
        <f>(L248+L329+L361)</f>
        <v>7337497.1800000006</v>
      </c>
      <c r="I661" s="13">
        <f>SUM(F661:H661)</f>
        <v>23418377.959999997</v>
      </c>
      <c r="J661" s="13"/>
      <c r="K661" s="13"/>
      <c r="L661" s="13"/>
      <c r="M661" s="9"/>
    </row>
    <row r="662" spans="1:13" s="3" customFormat="1" ht="12.2" customHeight="1" x14ac:dyDescent="0.2">
      <c r="A662" s="1" t="s">
        <v>127</v>
      </c>
      <c r="F662" s="13">
        <f>(L359/IF(SUM(L359:L361)=0,1,SUM(L359:L361))*(SUM(G97:G110)))</f>
        <v>185877.81003530088</v>
      </c>
      <c r="G662" s="13">
        <f>(L360/IF(SUM(L359:L361)=0,1,SUM(L359:L361))*(SUM(G97:G110)))</f>
        <v>0</v>
      </c>
      <c r="H662" s="13">
        <f>(L361/IF(SUM(L359:L361)=0,1,SUM(L359:L361))*(SUM(G97:G110)))</f>
        <v>78778.499964699164</v>
      </c>
      <c r="I662" s="13">
        <f>SUM(F662:H662)</f>
        <v>264656.31000000006</v>
      </c>
      <c r="J662"/>
      <c r="K662" s="13"/>
      <c r="L662" s="13"/>
      <c r="M662" s="8"/>
    </row>
    <row r="663" spans="1:13" s="3" customFormat="1" ht="12.2" customHeight="1" x14ac:dyDescent="0.2">
      <c r="A663" s="1" t="s">
        <v>128</v>
      </c>
      <c r="F663" s="13">
        <f>(L209+L288)-(J209+J288)</f>
        <v>593173.03</v>
      </c>
      <c r="G663" s="13">
        <f>(L227+L307)-(J227+J307)</f>
        <v>0</v>
      </c>
      <c r="H663" s="13">
        <f>(L245+L326)-(J245+J326)</f>
        <v>321305.26</v>
      </c>
      <c r="I663" s="13">
        <f>SUM(F663:H663)</f>
        <v>914478.29</v>
      </c>
      <c r="J663"/>
      <c r="K663" s="13"/>
      <c r="L663" s="13"/>
      <c r="M663" s="9"/>
    </row>
    <row r="664" spans="1:13" s="3" customFormat="1" ht="12.2" customHeight="1" x14ac:dyDescent="0.15">
      <c r="A664" s="142" t="s">
        <v>129</v>
      </c>
      <c r="B664" s="124"/>
      <c r="C664" s="124"/>
      <c r="D664" s="124"/>
      <c r="E664" s="124"/>
      <c r="F664" s="143">
        <f>SUM(F576:F588)+SUM(H603:H605)+SUM(L612)</f>
        <v>432148.67</v>
      </c>
      <c r="G664" s="143">
        <f>SUM(G576:G588)+SUM(I603:I605)+L613</f>
        <v>0</v>
      </c>
      <c r="H664" s="143">
        <f>SUM(H576:H588)+SUM(J603:J605)+L614</f>
        <v>864604.99</v>
      </c>
      <c r="I664" s="13">
        <f>SUM(F664:H664)</f>
        <v>1296753.6599999999</v>
      </c>
      <c r="J664" s="13"/>
      <c r="K664" s="13"/>
      <c r="L664" s="13"/>
      <c r="M664" s="9"/>
    </row>
    <row r="665" spans="1:13" s="3" customFormat="1" ht="12.2" customHeight="1" x14ac:dyDescent="0.15">
      <c r="A665" s="1" t="s">
        <v>130</v>
      </c>
      <c r="F665" s="13">
        <f>F661-SUM(F662:F664)</f>
        <v>14869681.269964697</v>
      </c>
      <c r="G665" s="13">
        <f>G661-SUM(G662:G664)</f>
        <v>0</v>
      </c>
      <c r="H665" s="13">
        <f>H661-SUM(H662:H664)</f>
        <v>6072808.4300353015</v>
      </c>
      <c r="I665" s="13">
        <f>I661-SUM(I662:I664)</f>
        <v>20942489.699999996</v>
      </c>
      <c r="J665" s="13"/>
      <c r="K665" s="13"/>
      <c r="L665" s="13"/>
      <c r="M665" s="8"/>
    </row>
    <row r="666" spans="1:13" s="3" customFormat="1" ht="12.2" customHeight="1" x14ac:dyDescent="0.2">
      <c r="A666" s="1" t="s">
        <v>131</v>
      </c>
      <c r="F666" s="183">
        <v>673.03</v>
      </c>
      <c r="G666" s="184"/>
      <c r="H666" s="184">
        <v>264.22000000000003</v>
      </c>
      <c r="I666" s="13">
        <f>SUM(F666:H666)</f>
        <v>937.25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22093.64</v>
      </c>
      <c r="G668" s="13" t="e">
        <f>ROUND(G665/G666,2)</f>
        <v>#DIV/0!</v>
      </c>
      <c r="H668" s="13">
        <f>ROUND(H665/H666,2)</f>
        <v>22983.91</v>
      </c>
      <c r="I668" s="13">
        <f>ROUND(I665/I666,2)</f>
        <v>22344.61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-21.39</v>
      </c>
      <c r="I671" s="13">
        <f>SUM(F671:H671)</f>
        <v>-21.39</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22093.64</v>
      </c>
      <c r="G673" s="13" t="e">
        <f>ROUND((G665+G670)/(G666+G671),2)</f>
        <v>#DIV/0!</v>
      </c>
      <c r="H673" s="13">
        <f>ROUND((H665+H670)/(H666+H671),2)</f>
        <v>25008.48</v>
      </c>
      <c r="I673" s="13">
        <f>ROUND((I665+I670)/(I666+I671),2)</f>
        <v>22866.47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20" sqref="C20"/>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80877.5</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44081.81</v>
      </c>
      <c r="F9" s="272" t="s">
        <v>1627</v>
      </c>
    </row>
    <row r="10" spans="2:8" x14ac:dyDescent="0.25">
      <c r="B10" s="271"/>
      <c r="C10" s="271"/>
      <c r="D10" s="271"/>
      <c r="E10" s="271"/>
      <c r="F10" s="271"/>
    </row>
    <row r="11" spans="2:8" x14ac:dyDescent="0.25">
      <c r="B11" s="271"/>
      <c r="C11" s="275" t="s">
        <v>1631</v>
      </c>
      <c r="D11" s="272" t="s">
        <v>1634</v>
      </c>
      <c r="E11" s="260">
        <v>2572.33</v>
      </c>
      <c r="F11" s="272" t="s">
        <v>1628</v>
      </c>
    </row>
    <row r="12" spans="2:8" x14ac:dyDescent="0.25">
      <c r="B12" s="271"/>
      <c r="C12" s="271"/>
      <c r="D12" s="272"/>
      <c r="E12" s="271"/>
      <c r="F12" s="271"/>
    </row>
    <row r="13" spans="2:8" x14ac:dyDescent="0.25">
      <c r="B13" s="271"/>
      <c r="C13" s="272" t="s">
        <v>1621</v>
      </c>
      <c r="D13" s="272" t="s">
        <v>1635</v>
      </c>
      <c r="E13" s="260">
        <v>34223.360000000001</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1605</v>
      </c>
      <c r="C3" s="243"/>
      <c r="D3" s="243"/>
      <c r="E3" s="243"/>
      <c r="F3" s="243"/>
      <c r="G3" s="243"/>
      <c r="H3" s="243"/>
      <c r="I3" t="s">
        <v>1605</v>
      </c>
    </row>
    <row r="4" spans="1:9" x14ac:dyDescent="0.2">
      <c r="I4" t="s">
        <v>1606</v>
      </c>
    </row>
    <row r="5" spans="1:9" ht="15.75" x14ac:dyDescent="0.25">
      <c r="A5" s="239" t="s">
        <v>900</v>
      </c>
      <c r="B5" s="316" t="str">
        <f>'DOE25'!A2</f>
        <v>Newmarket</v>
      </c>
      <c r="C5" s="317"/>
      <c r="D5" s="317"/>
      <c r="E5" s="317"/>
      <c r="F5" s="317"/>
    </row>
    <row r="8" spans="1:9" ht="18" x14ac:dyDescent="0.25">
      <c r="A8" s="240" t="s">
        <v>1560</v>
      </c>
      <c r="F8" s="247" t="s">
        <v>1578</v>
      </c>
    </row>
    <row r="9" spans="1:9" ht="15" x14ac:dyDescent="0.2">
      <c r="A9" s="238" t="s">
        <v>1561</v>
      </c>
      <c r="B9" s="241">
        <f>'DOE25'!G97</f>
        <v>263772.63</v>
      </c>
      <c r="F9" s="238" t="s">
        <v>1574</v>
      </c>
    </row>
    <row r="10" spans="1:9" ht="15" x14ac:dyDescent="0.2">
      <c r="A10" s="238" t="s">
        <v>1562</v>
      </c>
      <c r="B10" s="241">
        <f>'DOE25'!G112-'DOE25'!G97</f>
        <v>883.67999999999302</v>
      </c>
      <c r="F10" s="238" t="s">
        <v>1575</v>
      </c>
    </row>
    <row r="11" spans="1:9" ht="15" x14ac:dyDescent="0.2">
      <c r="A11" s="238" t="s">
        <v>1563</v>
      </c>
      <c r="B11" s="241">
        <f>'DOE25'!G140</f>
        <v>6184.41</v>
      </c>
      <c r="F11" s="238" t="s">
        <v>1576</v>
      </c>
    </row>
    <row r="12" spans="1:9" ht="15" x14ac:dyDescent="0.2">
      <c r="A12" s="238" t="s">
        <v>1564</v>
      </c>
      <c r="B12" s="241">
        <f>'DOE25'!G170</f>
        <v>177826.94</v>
      </c>
      <c r="F12" s="238" t="s">
        <v>1577</v>
      </c>
    </row>
    <row r="13" spans="1:9" ht="15" x14ac:dyDescent="0.2">
      <c r="A13" s="238" t="s">
        <v>1565</v>
      </c>
      <c r="B13" s="241">
        <f>'DOE25'!G193-'DOE25'!G180</f>
        <v>0</v>
      </c>
      <c r="F13" s="238" t="s">
        <v>1587</v>
      </c>
    </row>
    <row r="14" spans="1:9" ht="18" x14ac:dyDescent="0.25">
      <c r="A14" s="240" t="s">
        <v>732</v>
      </c>
      <c r="B14" s="242">
        <f>SUM(B9:B13)</f>
        <v>448667.66</v>
      </c>
    </row>
    <row r="16" spans="1:9" ht="18" x14ac:dyDescent="0.25">
      <c r="A16" s="240" t="s">
        <v>786</v>
      </c>
      <c r="F16" s="247" t="s">
        <v>1579</v>
      </c>
    </row>
    <row r="17" spans="1:6" ht="15" x14ac:dyDescent="0.2">
      <c r="A17" s="238" t="s">
        <v>1566</v>
      </c>
      <c r="B17" s="241">
        <f>'DOE25'!L363-'DOE25'!L362</f>
        <v>458674.57999999996</v>
      </c>
      <c r="F17" s="238" t="s">
        <v>1580</v>
      </c>
    </row>
    <row r="18" spans="1:6" ht="15" x14ac:dyDescent="0.2">
      <c r="A18" s="238" t="s">
        <v>1567</v>
      </c>
      <c r="B18" s="251"/>
      <c r="F18" s="247" t="s">
        <v>1604</v>
      </c>
    </row>
    <row r="19" spans="1:6" ht="18" x14ac:dyDescent="0.25">
      <c r="A19" s="240" t="s">
        <v>725</v>
      </c>
      <c r="B19" s="242">
        <f>SUM(B17:B18)</f>
        <v>458674.57999999996</v>
      </c>
    </row>
    <row r="21" spans="1:6" ht="18.75" thickBot="1" x14ac:dyDescent="0.3">
      <c r="A21" s="240" t="s">
        <v>1568</v>
      </c>
    </row>
    <row r="22" spans="1:6" ht="18.75" thickTop="1" x14ac:dyDescent="0.25">
      <c r="A22" s="240" t="s">
        <v>1569</v>
      </c>
      <c r="B22" s="246">
        <f>B14-B19</f>
        <v>-10006.919999999984</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131187.57</v>
      </c>
      <c r="F31" s="238" t="s">
        <v>1584</v>
      </c>
    </row>
    <row r="33" spans="1:6" ht="15" x14ac:dyDescent="0.2">
      <c r="A33" s="238" t="s">
        <v>1798</v>
      </c>
      <c r="B33" s="241">
        <f>'DOE25'!G477</f>
        <v>121180.64999999997</v>
      </c>
      <c r="F33" s="238" t="s">
        <v>1585</v>
      </c>
    </row>
    <row r="36" spans="1:6" ht="15" x14ac:dyDescent="0.2">
      <c r="A36" s="238" t="s">
        <v>1571</v>
      </c>
      <c r="B36" s="252">
        <v>30951.7</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F43" sqref="F43"/>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Newmarket</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5640665.3400000008</v>
      </c>
      <c r="C9" s="167">
        <f>'DOE25'!G198+'DOE25'!G216+'DOE25'!G234+'DOE25'!G277+'DOE25'!G296+'DOE25'!G315</f>
        <v>2890303.15</v>
      </c>
    </row>
    <row r="10" spans="1:3" x14ac:dyDescent="0.2">
      <c r="A10" t="s">
        <v>775</v>
      </c>
      <c r="B10" s="177">
        <v>5228079.4400000004</v>
      </c>
      <c r="C10" s="177">
        <f>C9*B10/B13</f>
        <v>2678892.2162650824</v>
      </c>
    </row>
    <row r="11" spans="1:3" x14ac:dyDescent="0.2">
      <c r="A11" t="s">
        <v>776</v>
      </c>
      <c r="B11" s="177">
        <v>294805.90000000002</v>
      </c>
      <c r="C11" s="177">
        <f>C9*B11/B13</f>
        <v>151059.91404350626</v>
      </c>
    </row>
    <row r="12" spans="1:3" x14ac:dyDescent="0.2">
      <c r="A12" t="s">
        <v>777</v>
      </c>
      <c r="B12" s="177">
        <v>117780</v>
      </c>
      <c r="C12" s="177">
        <f>C9*B12/B13</f>
        <v>60351.019691411078</v>
      </c>
    </row>
    <row r="13" spans="1:3" x14ac:dyDescent="0.2">
      <c r="A13" t="str">
        <f>IF(B9=B13,IF(C9=C13,"Check Total OK","Check Total Error"),"Check Total Error")</f>
        <v>Check Total OK</v>
      </c>
      <c r="B13" s="169">
        <f>SUM(B10:B12)</f>
        <v>5640665.3400000008</v>
      </c>
      <c r="C13" s="169">
        <f>SUM(C10:C12)</f>
        <v>2890303.1499999994</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2165878.4699999997</v>
      </c>
      <c r="C18" s="167">
        <f>'DOE25'!G199+'DOE25'!G217+'DOE25'!G235+'DOE25'!G278+'DOE25'!G297+'DOE25'!G316</f>
        <v>895284.82</v>
      </c>
    </row>
    <row r="19" spans="1:3" x14ac:dyDescent="0.2">
      <c r="A19" t="s">
        <v>775</v>
      </c>
      <c r="B19" s="177">
        <v>1314883</v>
      </c>
      <c r="C19" s="177">
        <f>C18*B19/B22</f>
        <v>543518.39509077335</v>
      </c>
    </row>
    <row r="20" spans="1:3" x14ac:dyDescent="0.2">
      <c r="A20" t="s">
        <v>776</v>
      </c>
      <c r="B20" s="177">
        <v>767474.26000000013</v>
      </c>
      <c r="C20" s="177">
        <f>C18*B20/B22</f>
        <v>317242.20182988071</v>
      </c>
    </row>
    <row r="21" spans="1:3" x14ac:dyDescent="0.2">
      <c r="A21" t="s">
        <v>777</v>
      </c>
      <c r="B21" s="177">
        <v>83521.209999999992</v>
      </c>
      <c r="C21" s="177">
        <f>C18*B21/B22</f>
        <v>34524.223079345807</v>
      </c>
    </row>
    <row r="22" spans="1:3" x14ac:dyDescent="0.2">
      <c r="A22" t="str">
        <f>IF(B18=B22,IF(C18=C22,"Check Total OK","Check Total Error"),"Check Total Error")</f>
        <v>Check Total OK</v>
      </c>
      <c r="B22" s="169">
        <f>SUM(B19:B21)</f>
        <v>2165878.4700000002</v>
      </c>
      <c r="C22" s="169">
        <f>SUM(C19:C21)</f>
        <v>895284.81999999983</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170082.46</v>
      </c>
      <c r="C36" s="173">
        <f>'DOE25'!G201+'DOE25'!G219+'DOE25'!G237+'DOE25'!G280+'DOE25'!G299+'DOE25'!G318</f>
        <v>39448.639999999999</v>
      </c>
    </row>
    <row r="37" spans="1:3" x14ac:dyDescent="0.2">
      <c r="A37" t="s">
        <v>775</v>
      </c>
      <c r="B37" s="177">
        <v>27618.67</v>
      </c>
      <c r="C37" s="177">
        <f>C36*B37/B40</f>
        <v>6405.8279149349073</v>
      </c>
    </row>
    <row r="38" spans="1:3" x14ac:dyDescent="0.2">
      <c r="A38" t="s">
        <v>776</v>
      </c>
      <c r="B38" s="177"/>
      <c r="C38" s="177"/>
    </row>
    <row r="39" spans="1:3" x14ac:dyDescent="0.2">
      <c r="A39" t="s">
        <v>777</v>
      </c>
      <c r="B39" s="177">
        <v>142463.79</v>
      </c>
      <c r="C39" s="177">
        <f>C36*B39/B40</f>
        <v>33042.812085065088</v>
      </c>
    </row>
    <row r="40" spans="1:3" x14ac:dyDescent="0.2">
      <c r="A40" t="str">
        <f>IF(B36=B40,IF(C36=C40,"Check Total OK","Check Total Error"),"Check Total Error")</f>
        <v>Check Total OK</v>
      </c>
      <c r="B40" s="169">
        <f>SUM(B37:B39)</f>
        <v>170082.46000000002</v>
      </c>
      <c r="C40" s="169">
        <f>SUM(C37:C39)</f>
        <v>39448.639999999999</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F45" sqref="F4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Newmarket</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13244276.189999998</v>
      </c>
      <c r="D5" s="19">
        <f>SUM('DOE25'!L198:L201)+SUM('DOE25'!L216:L219)+SUM('DOE25'!L234:L237)-F5-G5-H5</f>
        <v>13107163.699999997</v>
      </c>
      <c r="E5" s="180"/>
      <c r="F5" s="181"/>
      <c r="G5" s="19">
        <f>SUM('DOE25'!J198:J201)+SUM('DOE25'!J216:J219)+SUM('DOE25'!J234:J237)</f>
        <v>117081.93</v>
      </c>
      <c r="H5" s="19">
        <f>SUM('DOE25'!K198:K201)+SUM('DOE25'!K216:K219)+SUM('DOE25'!K234:K237)</f>
        <v>20030.559999999998</v>
      </c>
      <c r="I5" s="192"/>
    </row>
    <row r="6" spans="1:9" x14ac:dyDescent="0.2">
      <c r="A6" s="31">
        <v>2100</v>
      </c>
      <c r="B6" t="s">
        <v>796</v>
      </c>
      <c r="C6" s="206">
        <f t="shared" si="0"/>
        <v>1687926.9499999997</v>
      </c>
      <c r="D6" s="19">
        <f>'DOE25'!L203+'DOE25'!L221+'DOE25'!L239-F6-G6-H6</f>
        <v>1671427.0599999998</v>
      </c>
      <c r="E6" s="180"/>
      <c r="F6" s="181"/>
      <c r="G6" s="19">
        <f>'DOE25'!J203+'DOE25'!J221+'DOE25'!J239</f>
        <v>8122.89</v>
      </c>
      <c r="H6" s="19">
        <f>'DOE25'!K203+'DOE25'!K221+'DOE25'!K239</f>
        <v>8377</v>
      </c>
      <c r="I6" s="192"/>
    </row>
    <row r="7" spans="1:9" x14ac:dyDescent="0.2">
      <c r="A7" s="31">
        <v>2200</v>
      </c>
      <c r="B7" t="s">
        <v>820</v>
      </c>
      <c r="C7" s="206">
        <f t="shared" si="0"/>
        <v>1198789.8599999999</v>
      </c>
      <c r="D7" s="19">
        <f>'DOE25'!L204+'DOE25'!L222+'DOE25'!L240-F7-G7-H7</f>
        <v>1027053.4999999999</v>
      </c>
      <c r="E7" s="180"/>
      <c r="F7" s="181"/>
      <c r="G7" s="19">
        <f>'DOE25'!J204+'DOE25'!J222+'DOE25'!J240</f>
        <v>171396.36</v>
      </c>
      <c r="H7" s="19">
        <f>'DOE25'!K204+'DOE25'!K222+'DOE25'!K240</f>
        <v>340</v>
      </c>
      <c r="I7" s="192"/>
    </row>
    <row r="8" spans="1:9" x14ac:dyDescent="0.2">
      <c r="A8" s="31">
        <v>2300</v>
      </c>
      <c r="B8" t="s">
        <v>797</v>
      </c>
      <c r="C8" s="206">
        <f t="shared" si="0"/>
        <v>1255227.02</v>
      </c>
      <c r="D8" s="180"/>
      <c r="E8" s="19">
        <f>'DOE25'!L205+'DOE25'!L223+'DOE25'!L241-F8-G8-H8-D9-D11</f>
        <v>1237465.42</v>
      </c>
      <c r="F8" s="181"/>
      <c r="G8" s="19">
        <f>'DOE25'!J205+'DOE25'!J223+'DOE25'!J241</f>
        <v>1511.77</v>
      </c>
      <c r="H8" s="19">
        <f>'DOE25'!K205+'DOE25'!K223+'DOE25'!K241</f>
        <v>16249.83</v>
      </c>
      <c r="I8" s="192"/>
    </row>
    <row r="9" spans="1:9" ht="14.25" x14ac:dyDescent="0.2">
      <c r="A9" s="31">
        <v>2310</v>
      </c>
      <c r="B9" s="71" t="s">
        <v>887</v>
      </c>
      <c r="C9" s="206">
        <f t="shared" si="0"/>
        <v>0</v>
      </c>
      <c r="D9" s="181"/>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1265431.29</v>
      </c>
      <c r="D12" s="19">
        <f>'DOE25'!L206+'DOE25'!L224+'DOE25'!L242-F12-G12-H12</f>
        <v>1248140.3600000001</v>
      </c>
      <c r="E12" s="180"/>
      <c r="F12" s="181"/>
      <c r="G12" s="19">
        <f>'DOE25'!J206+'DOE25'!J224+'DOE25'!J242</f>
        <v>0</v>
      </c>
      <c r="H12" s="19">
        <f>'DOE25'!K206+'DOE25'!K224+'DOE25'!K242</f>
        <v>17290.93</v>
      </c>
      <c r="I12" s="192"/>
    </row>
    <row r="13" spans="1:9" x14ac:dyDescent="0.2">
      <c r="A13" s="31">
        <v>2500</v>
      </c>
      <c r="B13" t="s">
        <v>798</v>
      </c>
      <c r="C13" s="206">
        <f t="shared" si="0"/>
        <v>401905.57</v>
      </c>
      <c r="D13" s="180"/>
      <c r="E13" s="19">
        <f>'DOE25'!L207+'DOE25'!L225+'DOE25'!L243-F13-G13-H13</f>
        <v>398388.59</v>
      </c>
      <c r="F13" s="181"/>
      <c r="G13" s="19">
        <f>'DOE25'!J207+'DOE25'!J225+'DOE25'!J243</f>
        <v>3037.98</v>
      </c>
      <c r="H13" s="19">
        <f>'DOE25'!K207+'DOE25'!K225+'DOE25'!K243</f>
        <v>479</v>
      </c>
      <c r="I13" s="192"/>
    </row>
    <row r="14" spans="1:9" x14ac:dyDescent="0.2">
      <c r="A14" s="31">
        <v>2600</v>
      </c>
      <c r="B14" t="s">
        <v>818</v>
      </c>
      <c r="C14" s="206">
        <f t="shared" si="0"/>
        <v>1671461.27</v>
      </c>
      <c r="D14" s="19">
        <f>'DOE25'!L208+'DOE25'!L226+'DOE25'!L244-F14-G14-H14</f>
        <v>1644497.1300000001</v>
      </c>
      <c r="E14" s="180"/>
      <c r="F14" s="181"/>
      <c r="G14" s="19">
        <f>'DOE25'!J208+'DOE25'!J226+'DOE25'!J244</f>
        <v>26964.14</v>
      </c>
      <c r="H14" s="19">
        <f>'DOE25'!K208+'DOE25'!K226+'DOE25'!K244</f>
        <v>0</v>
      </c>
      <c r="I14" s="192"/>
    </row>
    <row r="15" spans="1:9" x14ac:dyDescent="0.2">
      <c r="A15" s="31">
        <v>2700</v>
      </c>
      <c r="B15" t="s">
        <v>799</v>
      </c>
      <c r="C15" s="206">
        <f t="shared" si="0"/>
        <v>899357.16</v>
      </c>
      <c r="D15" s="19">
        <f>'DOE25'!L209+'DOE25'!L227+'DOE25'!L245-F15-G15-H15</f>
        <v>899357.16</v>
      </c>
      <c r="E15" s="180"/>
      <c r="F15" s="181"/>
      <c r="G15" s="19">
        <f>'DOE25'!J209+'DOE25'!J227+'DOE25'!J245</f>
        <v>0</v>
      </c>
      <c r="H15" s="19">
        <f>'DOE25'!K209+'DOE25'!K227+'DOE25'!K245</f>
        <v>0</v>
      </c>
      <c r="I15" s="192"/>
    </row>
    <row r="16" spans="1:9" x14ac:dyDescent="0.2">
      <c r="A16" s="31">
        <v>2800</v>
      </c>
      <c r="B16" t="s">
        <v>800</v>
      </c>
      <c r="C16" s="206">
        <f t="shared" si="0"/>
        <v>65266.369999999995</v>
      </c>
      <c r="D16" s="180"/>
      <c r="E16" s="19">
        <f>'DOE25'!L210+'DOE25'!L228+'DOE25'!L246-F16-G16-H16</f>
        <v>65266.369999999995</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291389.65000000002</v>
      </c>
      <c r="D22" s="180"/>
      <c r="E22" s="180"/>
      <c r="F22" s="180"/>
      <c r="G22" s="19">
        <f>'DOE25'!L256+'DOE25'!L337</f>
        <v>291389.65000000002</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2099012.5</v>
      </c>
      <c r="D25" s="180"/>
      <c r="E25" s="180"/>
      <c r="F25" s="191"/>
      <c r="G25" s="180"/>
      <c r="H25" s="180"/>
      <c r="I25" s="190">
        <f>'DOE25'!L261+'DOE25'!L262+'DOE25'!L342+'DOE25'!L343</f>
        <v>2099012.5</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433489.77999999997</v>
      </c>
      <c r="D29" s="212">
        <f>'DOE25'!L359+'DOE25'!L360+'DOE25'!L361-'DOE25'!I368-F29-G29-H29-F39</f>
        <v>428208.48</v>
      </c>
      <c r="E29" s="180"/>
      <c r="F29" s="180"/>
      <c r="G29" s="19">
        <f>'DOE25'!J359+'DOE25'!J360+'DOE25'!J361</f>
        <v>5281.2999999999993</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1270061.6999999997</v>
      </c>
      <c r="D31" s="19">
        <f>'DOE25'!L291+'DOE25'!L310+'DOE25'!L329+'DOE25'!L334+'DOE25'!L335+'DOE25'!L336-F31-G31-H31</f>
        <v>1183192.2799999998</v>
      </c>
      <c r="E31" s="180"/>
      <c r="F31" s="181"/>
      <c r="G31" s="19">
        <f>'DOE25'!J291+'DOE25'!J310+'DOE25'!J329+'DOE25'!J334+'DOE25'!J335+'DOE25'!J336</f>
        <v>86869.42</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21209039.669999998</v>
      </c>
      <c r="E33" s="182">
        <f t="shared" si="1"/>
        <v>1701120.38</v>
      </c>
      <c r="F33" s="182">
        <f t="shared" si="1"/>
        <v>0</v>
      </c>
      <c r="G33" s="182">
        <f t="shared" si="1"/>
        <v>711655.44000000006</v>
      </c>
      <c r="H33" s="182">
        <f t="shared" si="1"/>
        <v>62767.32</v>
      </c>
      <c r="I33" s="182">
        <f t="shared" si="1"/>
        <v>2099012.5</v>
      </c>
    </row>
    <row r="34" spans="1:9" ht="12" thickBot="1" x14ac:dyDescent="0.25"/>
    <row r="35" spans="1:9" ht="12" thickBot="1" x14ac:dyDescent="0.25">
      <c r="B35" s="188" t="s">
        <v>830</v>
      </c>
      <c r="D35" s="189">
        <f>E33</f>
        <v>1701120.38</v>
      </c>
      <c r="E35" s="185"/>
      <c r="F35" s="295" t="s">
        <v>1608</v>
      </c>
      <c r="G35" s="296"/>
      <c r="H35" s="296"/>
      <c r="I35" s="297"/>
    </row>
    <row r="36" spans="1:9" ht="12" thickTop="1" x14ac:dyDescent="0.2">
      <c r="B36" t="s">
        <v>810</v>
      </c>
      <c r="D36" s="19">
        <f>D33</f>
        <v>21209039.669999998</v>
      </c>
      <c r="F36" s="298" t="s">
        <v>1606</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c r="G42" s="305" t="str">
        <f>IF(F42=0,"&lt;&lt;&lt;&lt;&lt; YOU HAVE NOT ENTERED YOUR CAPITALIZATION THRESHOLD!!","")</f>
        <v>&lt;&lt;&lt;&lt;&lt; YOU HAVE NOT ENTERED YOUR CAPITALIZATION THRESHOLD!!</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I11" sqref="I11"/>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Newmarket</v>
      </c>
      <c r="B2">
        <f>'DOE25'!B2</f>
        <v>399</v>
      </c>
      <c r="J2" s="224" t="s">
        <v>1808</v>
      </c>
      <c r="K2" s="309">
        <f>SUM('DOE25'!L198:L201)+SUM('DOE25'!L216:L219)+SUM('DOE25'!L234:L237)+SUM('DOE25'!L277:L280)+SUM('DOE25'!L296:L299)+SUM('DOE25'!L315:L318)</f>
        <v>14073380.159999996</v>
      </c>
      <c r="L2" s="309">
        <f>'DOE25'!L203+'DOE25'!L221+'DOE25'!L239+'DOE25'!L282+'DOE25'!L301+'DOE25'!L320</f>
        <v>1879349.9599999997</v>
      </c>
      <c r="M2" s="309">
        <f>'DOE25'!L204+'DOE25'!L222+'DOE25'!L240+'DOE25'!L283+'DOE25'!L302+'DOE25'!L321</f>
        <v>1386743.27</v>
      </c>
      <c r="N2" s="309">
        <f>'DOE25'!L206+'DOE25'!L224+'DOE25'!L242+'DOE25'!L285+'DOE25'!L304+'DOE25'!L323</f>
        <v>1287787.29</v>
      </c>
      <c r="O2" s="309">
        <f>'Salaries-Benefits'!B10+'Salaries-Benefits'!B12+'Salaries-Benefits'!B19+'Salaries-Benefits'!B21+'Salaries-Benefits'!B28+'Salaries-Benefits'!B30+'Salaries-Benefits'!B37+'Salaries-Benefits'!B39</f>
        <v>6914346.1100000003</v>
      </c>
      <c r="P2" s="309">
        <f>'Salaries-Benefits'!B11+'Salaries-Benefits'!B20+'Salaries-Benefits'!B29+'Salaries-Benefits'!B38</f>
        <v>1062280.1600000001</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-14073380.159999996</v>
      </c>
      <c r="L3" s="311">
        <f t="shared" ref="L3:P3" si="0">L21+L33+L43-L2</f>
        <v>-1879349.9599999997</v>
      </c>
      <c r="M3" s="311">
        <f t="shared" si="0"/>
        <v>-1386743.27</v>
      </c>
      <c r="N3" s="311">
        <f t="shared" si="0"/>
        <v>-1287787.29</v>
      </c>
      <c r="O3" s="311">
        <f t="shared" si="0"/>
        <v>-6914346.1100000003</v>
      </c>
      <c r="P3" s="311">
        <f t="shared" si="0"/>
        <v>-1062280.1600000001</v>
      </c>
      <c r="Q3" s="310"/>
      <c r="R3" s="306"/>
      <c r="S3" s="215"/>
      <c r="T3" s="215"/>
      <c r="U3" s="216"/>
    </row>
    <row r="4" spans="1:21" ht="55.5" customHeight="1" thickBot="1" x14ac:dyDescent="0.25">
      <c r="A4" s="224" t="s">
        <v>1522</v>
      </c>
      <c r="B4" s="224" t="s">
        <v>1523</v>
      </c>
      <c r="C4" s="224" t="s">
        <v>896</v>
      </c>
      <c r="D4" s="224" t="s">
        <v>786</v>
      </c>
      <c r="E4" s="224" t="s">
        <v>786</v>
      </c>
      <c r="F4" s="228">
        <f>SUM(F5:F20)</f>
        <v>15758736.841347151</v>
      </c>
      <c r="G4" s="229">
        <f>'DOE25'!L212+'DOE25'!L291</f>
        <v>15758736.839999998</v>
      </c>
      <c r="H4" s="264">
        <f>F4-G4</f>
        <v>1.347152516245842E-3</v>
      </c>
      <c r="I4" s="313" t="str">
        <f>IF(H4=0,"","ISSUES!! Please review pages 7 and 11 totals in comparison with total on this page")</f>
        <v>ISSUES!! Please review pages 7 and 11 totals in comparison with total on this page</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Newmarket Elementary School</v>
      </c>
      <c r="B6" s="230">
        <f>IFERROR(VLOOKUP(A6,'School Tables'!$C$3:$D$365,2,FALSE),"")</f>
        <v>21300</v>
      </c>
      <c r="C6" s="223" t="str">
        <f>IFERROR(INDEX('School Tables'!$B$3:$B$365,MATCH('School Level Expenditures'!B6,'School Tables'!$D$3:$D$365,0)),"")</f>
        <v>Newmarket</v>
      </c>
      <c r="D6" s="220">
        <v>9973074.9380310886</v>
      </c>
      <c r="E6" s="220">
        <v>842170.1400205018</v>
      </c>
      <c r="F6" s="232">
        <f t="shared" ref="F6:F20" si="1">D6+E6</f>
        <v>10815245.078051589</v>
      </c>
      <c r="G6" s="223"/>
      <c r="H6" s="223"/>
      <c r="J6" t="str">
        <f>A6</f>
        <v>Newmarket Elementary School</v>
      </c>
      <c r="K6" s="20"/>
      <c r="L6" s="20"/>
      <c r="M6" s="308"/>
      <c r="N6" s="20"/>
      <c r="O6" s="20"/>
      <c r="P6" s="20"/>
      <c r="Q6" s="20"/>
    </row>
    <row r="7" spans="1:21" x14ac:dyDescent="0.2">
      <c r="A7" t="str" cm="1">
        <f t="array" ref="A7">IFERROR(INDEX('School Tables'!$A$4:$G$325,'School Tables'!$J5,3),"")</f>
        <v>Newmarket Jr.-Sr. High (Elem)</v>
      </c>
      <c r="B7" s="230">
        <f>IFERROR(VLOOKUP(A7,'School Tables'!$C$3:$D$365,2,FALSE),"")</f>
        <v>26560</v>
      </c>
      <c r="C7" s="223" t="str">
        <f>IFERROR(INDEX('School Tables'!$B$3:$B$365,MATCH('School Level Expenditures'!B7,'School Tables'!$D$3:$D$365,0)),"")</f>
        <v>Newmarket</v>
      </c>
      <c r="D7" s="220">
        <v>4752279.0741968919</v>
      </c>
      <c r="E7" s="220">
        <v>191212.68909866922</v>
      </c>
      <c r="F7" s="232">
        <f t="shared" si="1"/>
        <v>4943491.7632955611</v>
      </c>
      <c r="G7" s="223"/>
      <c r="H7" s="223"/>
      <c r="J7" t="str">
        <f t="shared" ref="J7:J20" si="2">A7</f>
        <v>Newmarket Jr.-Sr. High (Elem)</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14725354.01222798</v>
      </c>
      <c r="E21" s="262">
        <f>SUM(E5:E20)</f>
        <v>1033382.829119171</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7200966.540000001</v>
      </c>
      <c r="G36" s="229">
        <f>'DOE25'!L248+'DOE25'!L329</f>
        <v>7200966.540000001</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Newmarket Jr.-Sr. High School</v>
      </c>
      <c r="B38" s="230">
        <f>IFERROR(VLOOKUP(A38,'School Tables'!$Y$4:$Z$100,2,FALSE),"")</f>
        <v>23115</v>
      </c>
      <c r="C38" s="223" t="str">
        <f>IFERROR(INDEX('School Tables'!$X$4:$X$100,MATCH('School Level Expenditures'!A38,'School Tables'!$Y$4:$Y$100,0)),"")</f>
        <v>Newmarket</v>
      </c>
      <c r="D38" s="220">
        <v>6964287.6800000006</v>
      </c>
      <c r="E38" s="220">
        <v>236678.86</v>
      </c>
      <c r="F38" s="232">
        <f t="shared" si="7"/>
        <v>7200966.540000001</v>
      </c>
      <c r="G38" s="223"/>
      <c r="H38" s="223"/>
      <c r="J38" t="str">
        <f t="shared" ref="J38:J42" si="8">A38</f>
        <v>Newmarket Jr.-Sr. High School</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6964287.6800000006</v>
      </c>
      <c r="E43" s="263">
        <f>SUM(E37:E42)</f>
        <v>236678.86</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zoomScale="80" zoomScaleNormal="80" workbookViewId="0">
      <selection activeCell="C14" sqref="C14"/>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Newmarket</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3659867.72</v>
      </c>
      <c r="D8" s="73">
        <f>'DOE25'!G9</f>
        <v>111838.14</v>
      </c>
      <c r="E8" s="73">
        <f>'DOE25'!H9</f>
        <v>17606.23</v>
      </c>
      <c r="F8" s="73">
        <f>'DOE25'!I9</f>
        <v>220229.37</v>
      </c>
      <c r="G8" s="73">
        <f>'DOE25'!J9</f>
        <v>0</v>
      </c>
      <c r="H8" s="13">
        <f>SUM(C8:G8)</f>
        <v>4009541.4600000004</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27367.360000000001</v>
      </c>
      <c r="D11" s="73">
        <f>'DOE25'!G12</f>
        <v>0</v>
      </c>
      <c r="E11" s="73">
        <f>'DOE25'!H12</f>
        <v>0</v>
      </c>
      <c r="F11" s="73">
        <f>'DOE25'!I12</f>
        <v>0</v>
      </c>
      <c r="G11" s="73">
        <f>'DOE25'!J12</f>
        <v>1504899.74</v>
      </c>
      <c r="H11" s="13">
        <f t="shared" si="0"/>
        <v>1532267.1</v>
      </c>
      <c r="I11" s="90"/>
    </row>
    <row r="12" spans="1:9" x14ac:dyDescent="0.2">
      <c r="A12" s="1" t="s">
        <v>143</v>
      </c>
      <c r="B12" s="6">
        <v>140</v>
      </c>
      <c r="C12" s="73">
        <f>'DOE25'!F13</f>
        <v>47377.87</v>
      </c>
      <c r="D12" s="73">
        <f>'DOE25'!G13</f>
        <v>35115.769999999997</v>
      </c>
      <c r="E12" s="73">
        <f>'DOE25'!H13</f>
        <v>156811.82</v>
      </c>
      <c r="F12" s="73">
        <f>'DOE25'!I13</f>
        <v>0</v>
      </c>
      <c r="G12" s="73">
        <f>'DOE25'!J13</f>
        <v>0</v>
      </c>
      <c r="H12" s="13">
        <f t="shared" si="0"/>
        <v>239305.46000000002</v>
      </c>
      <c r="I12" s="90"/>
    </row>
    <row r="13" spans="1:9" x14ac:dyDescent="0.2">
      <c r="A13" s="1" t="s">
        <v>144</v>
      </c>
      <c r="B13" s="6">
        <v>150</v>
      </c>
      <c r="C13" s="73">
        <f>'DOE25'!F14</f>
        <v>17800.060000000001</v>
      </c>
      <c r="D13" s="73">
        <f>'DOE25'!G14</f>
        <v>1480</v>
      </c>
      <c r="E13" s="73">
        <f>'DOE25'!H14</f>
        <v>0</v>
      </c>
      <c r="F13" s="73">
        <f>'DOE25'!I14</f>
        <v>0</v>
      </c>
      <c r="G13" s="73">
        <f>'DOE25'!J14</f>
        <v>0</v>
      </c>
      <c r="H13" s="13">
        <f t="shared" si="0"/>
        <v>19280.060000000001</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12027.44</v>
      </c>
      <c r="E15" s="73">
        <f>'DOE25'!H16</f>
        <v>0</v>
      </c>
      <c r="F15" s="73">
        <f>'DOE25'!I16</f>
        <v>0</v>
      </c>
      <c r="G15" s="23" t="s">
        <v>288</v>
      </c>
      <c r="H15" s="13">
        <f t="shared" si="0"/>
        <v>12027.44</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3752413.0100000002</v>
      </c>
      <c r="D18" s="38">
        <f>SUM(D8:D17)</f>
        <v>160461.35</v>
      </c>
      <c r="E18" s="38">
        <f>SUM(E8:E17)</f>
        <v>174418.05000000002</v>
      </c>
      <c r="F18" s="38">
        <f>SUM(F8:F17)</f>
        <v>220229.37</v>
      </c>
      <c r="G18" s="38">
        <f>SUM(G8:G17)</f>
        <v>1504899.74</v>
      </c>
      <c r="H18" s="38">
        <f t="shared" si="0"/>
        <v>5812421.5200000005</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132167.67999999999</v>
      </c>
      <c r="D21" s="73">
        <f>'DOE25'!G22</f>
        <v>0</v>
      </c>
      <c r="E21" s="73">
        <f>'DOE25'!H22</f>
        <v>0</v>
      </c>
      <c r="F21" s="73">
        <f>'DOE25'!I22</f>
        <v>0</v>
      </c>
      <c r="G21" s="73">
        <f>'DOE25'!J22</f>
        <v>0</v>
      </c>
      <c r="H21" s="13">
        <f t="shared" ref="H21:H31" si="1">SUM(C21:G21)</f>
        <v>132167.67999999999</v>
      </c>
      <c r="I21" s="90"/>
    </row>
    <row r="22" spans="1:9" x14ac:dyDescent="0.2">
      <c r="A22" s="1" t="s">
        <v>151</v>
      </c>
      <c r="B22" s="6">
        <v>410</v>
      </c>
      <c r="C22" s="73">
        <f>'DOE25'!F23</f>
        <v>16428.18</v>
      </c>
      <c r="D22" s="73">
        <f>'DOE25'!G23</f>
        <v>0</v>
      </c>
      <c r="E22" s="73">
        <f>'DOE25'!H23</f>
        <v>156811.82</v>
      </c>
      <c r="F22" s="73">
        <f>'DOE25'!I23</f>
        <v>0</v>
      </c>
      <c r="G22" s="73">
        <f>'DOE25'!J23</f>
        <v>0</v>
      </c>
      <c r="H22" s="13">
        <f t="shared" si="1"/>
        <v>173240</v>
      </c>
      <c r="I22" s="90"/>
    </row>
    <row r="23" spans="1:9" x14ac:dyDescent="0.2">
      <c r="A23" s="1" t="s">
        <v>152</v>
      </c>
      <c r="B23" s="6">
        <v>420</v>
      </c>
      <c r="C23" s="73">
        <f>'DOE25'!F24</f>
        <v>86914.89</v>
      </c>
      <c r="D23" s="73">
        <f>'DOE25'!G24</f>
        <v>11320.7</v>
      </c>
      <c r="E23" s="73">
        <f>'DOE25'!H24</f>
        <v>0</v>
      </c>
      <c r="F23" s="73">
        <f>'DOE25'!I24</f>
        <v>0</v>
      </c>
      <c r="G23" s="73">
        <f>'DOE25'!J24</f>
        <v>0</v>
      </c>
      <c r="H23" s="13">
        <f t="shared" si="1"/>
        <v>98235.59</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1441760</v>
      </c>
      <c r="D29" s="73">
        <f>'DOE25'!G30</f>
        <v>27960</v>
      </c>
      <c r="E29" s="73">
        <f>'DOE25'!H30</f>
        <v>0</v>
      </c>
      <c r="F29" s="73">
        <f>'DOE25'!I30</f>
        <v>0</v>
      </c>
      <c r="G29" s="23" t="s">
        <v>288</v>
      </c>
      <c r="H29" s="13">
        <f t="shared" si="1"/>
        <v>1469720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1677270.75</v>
      </c>
      <c r="D31" s="38">
        <f>SUM(D21:D30)</f>
        <v>39280.699999999997</v>
      </c>
      <c r="E31" s="38">
        <f>SUM(E21:E30)</f>
        <v>156811.82</v>
      </c>
      <c r="F31" s="38">
        <f>SUM(F21:F30)</f>
        <v>0</v>
      </c>
      <c r="G31" s="38">
        <f>SUM(G21:G30)</f>
        <v>0</v>
      </c>
      <c r="H31" s="38">
        <f t="shared" si="1"/>
        <v>1873363.27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12026.99</v>
      </c>
      <c r="E34" s="73">
        <f>'DOE25'!H35</f>
        <v>0</v>
      </c>
      <c r="F34" s="73">
        <f>'DOE25'!I35</f>
        <v>0</v>
      </c>
      <c r="G34" s="23" t="s">
        <v>288</v>
      </c>
      <c r="H34" s="13">
        <f t="shared" ref="H34:H51" si="2">SUM(C34:G34)</f>
        <v>12026.99</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109153.66</v>
      </c>
      <c r="E39" s="23" t="s">
        <v>288</v>
      </c>
      <c r="F39" s="23" t="s">
        <v>288</v>
      </c>
      <c r="G39" s="23" t="s">
        <v>288</v>
      </c>
      <c r="H39" s="13">
        <f t="shared" si="2"/>
        <v>109153.66</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212110</v>
      </c>
      <c r="D43" s="73">
        <f>'DOE25'!G44</f>
        <v>0</v>
      </c>
      <c r="E43" s="73">
        <f>'DOE25'!H44</f>
        <v>0</v>
      </c>
      <c r="F43" s="73">
        <f>'DOE25'!I44</f>
        <v>0</v>
      </c>
      <c r="G43" s="23" t="s">
        <v>288</v>
      </c>
      <c r="H43" s="13">
        <f t="shared" si="2"/>
        <v>212110</v>
      </c>
      <c r="I43" s="90"/>
    </row>
    <row r="44" spans="1:9" x14ac:dyDescent="0.2">
      <c r="A44" s="1" t="s">
        <v>863</v>
      </c>
      <c r="B44" s="6">
        <v>753</v>
      </c>
      <c r="C44" s="73">
        <f>'DOE25'!F49</f>
        <v>402716.9</v>
      </c>
      <c r="D44" s="73">
        <f>'DOE25'!G45</f>
        <v>0</v>
      </c>
      <c r="E44" s="73">
        <f>'DOE25'!H45</f>
        <v>0</v>
      </c>
      <c r="F44" s="73">
        <f>'DOE25'!I45</f>
        <v>0</v>
      </c>
      <c r="G44" s="73">
        <f>'DOE25'!J45</f>
        <v>0</v>
      </c>
      <c r="H44" s="13">
        <f t="shared" si="2"/>
        <v>402716.9</v>
      </c>
      <c r="I44" s="90"/>
    </row>
    <row r="45" spans="1:9" x14ac:dyDescent="0.2">
      <c r="A45" s="1" t="s">
        <v>879</v>
      </c>
      <c r="B45" s="6"/>
      <c r="C45" s="73">
        <f>'DOE25'!F46</f>
        <v>688718</v>
      </c>
      <c r="D45" s="23" t="s">
        <v>288</v>
      </c>
      <c r="E45" s="23" t="s">
        <v>288</v>
      </c>
      <c r="F45" s="23" t="s">
        <v>288</v>
      </c>
      <c r="G45" s="23" t="s">
        <v>288</v>
      </c>
      <c r="H45" s="13">
        <f t="shared" si="2"/>
        <v>688718</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17606.23</v>
      </c>
      <c r="F47" s="73">
        <f>'DOE25'!I48</f>
        <v>220229.37</v>
      </c>
      <c r="G47" s="73">
        <f>'DOE25'!J48</f>
        <v>1504899.74</v>
      </c>
      <c r="H47" s="13">
        <f t="shared" si="2"/>
        <v>1742735.34</v>
      </c>
      <c r="I47" s="90"/>
    </row>
    <row r="48" spans="1:9" x14ac:dyDescent="0.2">
      <c r="A48" s="1" t="s">
        <v>881</v>
      </c>
      <c r="B48" s="6">
        <v>753</v>
      </c>
      <c r="C48" s="73">
        <f>'DOE25'!F45</f>
        <v>0</v>
      </c>
      <c r="D48" s="73">
        <f>'DOE25'!G49</f>
        <v>0</v>
      </c>
      <c r="E48" s="73">
        <f>'DOE25'!H49</f>
        <v>0</v>
      </c>
      <c r="F48" s="73">
        <f>'DOE25'!I49</f>
        <v>0</v>
      </c>
      <c r="G48" s="73">
        <f>'DOE25'!J49</f>
        <v>0</v>
      </c>
      <c r="H48" s="13">
        <f t="shared" si="2"/>
        <v>0</v>
      </c>
      <c r="I48" s="90"/>
    </row>
    <row r="49" spans="1:9" ht="12" thickBot="1" x14ac:dyDescent="0.25">
      <c r="A49" s="28" t="s">
        <v>882</v>
      </c>
      <c r="B49" s="56">
        <v>770</v>
      </c>
      <c r="C49" s="73">
        <f>'DOE25'!F50</f>
        <v>771597.36</v>
      </c>
      <c r="D49" s="23" t="s">
        <v>288</v>
      </c>
      <c r="E49" s="23" t="s">
        <v>288</v>
      </c>
      <c r="F49" s="23" t="s">
        <v>288</v>
      </c>
      <c r="G49" s="23" t="s">
        <v>288</v>
      </c>
      <c r="H49" s="13">
        <f t="shared" si="2"/>
        <v>771597.36</v>
      </c>
      <c r="I49" s="90"/>
    </row>
    <row r="50" spans="1:9" ht="12.75" thickTop="1" thickBot="1" x14ac:dyDescent="0.25">
      <c r="A50" s="35" t="s">
        <v>883</v>
      </c>
      <c r="B50" s="44"/>
      <c r="C50" s="38">
        <f>SUM(C34:C49)</f>
        <v>2075142.2599999998</v>
      </c>
      <c r="D50" s="38">
        <f>SUM(D34:D49)</f>
        <v>121180.65000000001</v>
      </c>
      <c r="E50" s="38">
        <f>SUM(E34:E49)</f>
        <v>17606.23</v>
      </c>
      <c r="F50" s="38">
        <f>SUM(F34:F49)</f>
        <v>220229.37</v>
      </c>
      <c r="G50" s="38">
        <f>SUM(G34:G49)</f>
        <v>1504899.74</v>
      </c>
      <c r="H50" s="38">
        <f t="shared" si="2"/>
        <v>3939058.25</v>
      </c>
      <c r="I50" s="90"/>
    </row>
    <row r="51" spans="1:9" ht="12" thickTop="1" x14ac:dyDescent="0.2">
      <c r="A51" s="35" t="s">
        <v>884</v>
      </c>
      <c r="B51" s="2"/>
      <c r="C51" s="38">
        <f>C50+C31</f>
        <v>3752413.01</v>
      </c>
      <c r="D51" s="38">
        <f>D50+D31</f>
        <v>160461.35</v>
      </c>
      <c r="E51" s="38">
        <f>E50+E31</f>
        <v>174418.05000000002</v>
      </c>
      <c r="F51" s="38">
        <f>F50+F31</f>
        <v>220229.37</v>
      </c>
      <c r="G51" s="38">
        <f>G50+G31</f>
        <v>1504899.74</v>
      </c>
      <c r="H51" s="38">
        <f t="shared" si="2"/>
        <v>5812421.5199999996</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18270621.969999999</v>
      </c>
      <c r="D56" s="73">
        <f>'DOE25'!G60</f>
        <v>0</v>
      </c>
      <c r="E56" s="73">
        <f>'DOE25'!H60</f>
        <v>0</v>
      </c>
      <c r="F56" s="73">
        <f>'DOE25'!I60</f>
        <v>0</v>
      </c>
      <c r="G56" s="73">
        <f>'DOE25'!J60</f>
        <v>0</v>
      </c>
      <c r="H56" s="13">
        <f t="shared" ref="H56:H63" si="3">SUM(C56:G56)</f>
        <v>18270621.969999999</v>
      </c>
      <c r="I56"/>
    </row>
    <row r="57" spans="1:9" x14ac:dyDescent="0.2">
      <c r="A57" s="1" t="s">
        <v>164</v>
      </c>
      <c r="B57" s="6" t="s">
        <v>165</v>
      </c>
      <c r="C57" s="73">
        <f>'DOE25'!F79</f>
        <v>54998.009999999995</v>
      </c>
      <c r="D57" s="23" t="s">
        <v>288</v>
      </c>
      <c r="E57" s="73">
        <f>'DOE25'!H79</f>
        <v>0</v>
      </c>
      <c r="F57" s="23" t="s">
        <v>288</v>
      </c>
      <c r="G57" s="23" t="s">
        <v>288</v>
      </c>
      <c r="H57" s="13">
        <f t="shared" si="3"/>
        <v>54998.009999999995</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93962.9</v>
      </c>
      <c r="D59" s="73">
        <f>'DOE25'!G96</f>
        <v>0</v>
      </c>
      <c r="E59" s="73">
        <f>'DOE25'!H96</f>
        <v>0</v>
      </c>
      <c r="F59" s="73">
        <f>'DOE25'!I96</f>
        <v>6251.24</v>
      </c>
      <c r="G59" s="73">
        <f>'DOE25'!J96</f>
        <v>1585.01</v>
      </c>
      <c r="H59" s="13">
        <f t="shared" si="3"/>
        <v>101799.15</v>
      </c>
      <c r="I59"/>
    </row>
    <row r="60" spans="1:9" x14ac:dyDescent="0.2">
      <c r="A60" s="1" t="s">
        <v>170</v>
      </c>
      <c r="B60" s="22" t="s">
        <v>171</v>
      </c>
      <c r="C60" s="23" t="s">
        <v>288</v>
      </c>
      <c r="D60" s="73">
        <f>'DOE25'!G97</f>
        <v>263772.63</v>
      </c>
      <c r="E60" s="23" t="s">
        <v>288</v>
      </c>
      <c r="F60" s="23" t="s">
        <v>288</v>
      </c>
      <c r="G60" s="23" t="s">
        <v>288</v>
      </c>
      <c r="H60" s="13">
        <f t="shared" si="3"/>
        <v>263772.63</v>
      </c>
      <c r="I60"/>
    </row>
    <row r="61" spans="1:9" ht="12" thickBot="1" x14ac:dyDescent="0.25">
      <c r="A61" s="1" t="s">
        <v>172</v>
      </c>
      <c r="B61" s="22" t="s">
        <v>173</v>
      </c>
      <c r="C61" s="73">
        <f>SUM('DOE25'!F98:F110)</f>
        <v>181544.7</v>
      </c>
      <c r="D61" s="73">
        <f>SUM('DOE25'!G98:G110)</f>
        <v>883.68</v>
      </c>
      <c r="E61" s="73">
        <f>SUM('DOE25'!H98:H110)</f>
        <v>0</v>
      </c>
      <c r="F61" s="73">
        <f>SUM('DOE25'!I98:I110)</f>
        <v>0</v>
      </c>
      <c r="G61" s="73">
        <f>SUM('DOE25'!J98:J110)</f>
        <v>0</v>
      </c>
      <c r="H61" s="13">
        <f t="shared" si="3"/>
        <v>182428.38</v>
      </c>
      <c r="I61"/>
    </row>
    <row r="62" spans="1:9" ht="12.75" thickTop="1" thickBot="1" x14ac:dyDescent="0.25">
      <c r="A62" s="28" t="s">
        <v>174</v>
      </c>
      <c r="B62" s="6"/>
      <c r="C62" s="93">
        <f>SUM(C57:C61)</f>
        <v>330505.61</v>
      </c>
      <c r="D62" s="93">
        <f>SUM(D57:D61)</f>
        <v>264656.31</v>
      </c>
      <c r="E62" s="93">
        <f>SUM(E57:E61)</f>
        <v>0</v>
      </c>
      <c r="F62" s="93">
        <f>SUM(F57:F61)</f>
        <v>6251.24</v>
      </c>
      <c r="G62" s="93">
        <f>SUM(G57:G61)</f>
        <v>1585.01</v>
      </c>
      <c r="H62" s="13">
        <f t="shared" si="3"/>
        <v>602998.16999999993</v>
      </c>
      <c r="I62"/>
    </row>
    <row r="63" spans="1:9" ht="12" thickTop="1" x14ac:dyDescent="0.2">
      <c r="A63" s="28" t="s">
        <v>175</v>
      </c>
      <c r="B63" s="6"/>
      <c r="C63" s="21">
        <f>C56+C62</f>
        <v>18601127.579999998</v>
      </c>
      <c r="D63" s="21">
        <f>D56+D62</f>
        <v>264656.31</v>
      </c>
      <c r="E63" s="21">
        <f>E56+E62</f>
        <v>0</v>
      </c>
      <c r="F63" s="21">
        <f>F56+F62</f>
        <v>6251.24</v>
      </c>
      <c r="G63" s="21">
        <f>G56+G62</f>
        <v>1585.01</v>
      </c>
      <c r="H63" s="13">
        <f t="shared" si="3"/>
        <v>18873620.139999997</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3067797.2</v>
      </c>
      <c r="D66" s="23" t="s">
        <v>288</v>
      </c>
      <c r="E66" s="23" t="s">
        <v>288</v>
      </c>
      <c r="F66" s="23" t="s">
        <v>288</v>
      </c>
      <c r="G66" s="23" t="s">
        <v>288</v>
      </c>
      <c r="H66" s="13">
        <f t="shared" ref="H66:H81" si="4">SUM(C66:G66)</f>
        <v>3067797.2</v>
      </c>
      <c r="I66"/>
    </row>
    <row r="67" spans="1:9" x14ac:dyDescent="0.2">
      <c r="A67" s="1" t="s">
        <v>770</v>
      </c>
      <c r="B67" s="6">
        <v>3112</v>
      </c>
      <c r="C67" s="73">
        <f>'DOE25'!F118</f>
        <v>1407023.04</v>
      </c>
      <c r="D67" s="23"/>
      <c r="E67" s="23"/>
      <c r="F67" s="23"/>
      <c r="G67" s="23"/>
      <c r="H67" s="13">
        <f t="shared" si="4"/>
        <v>1407023.04</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144619.64000000001</v>
      </c>
      <c r="D69" s="73">
        <f>'DOE25'!G120</f>
        <v>0</v>
      </c>
      <c r="E69" s="73">
        <f>'DOE25'!H120</f>
        <v>0</v>
      </c>
      <c r="F69" s="73">
        <f>'DOE25'!I120</f>
        <v>0</v>
      </c>
      <c r="G69" s="73">
        <f>'DOE25'!J120</f>
        <v>0</v>
      </c>
      <c r="H69" s="13">
        <f t="shared" si="4"/>
        <v>144619.64000000001</v>
      </c>
      <c r="I69"/>
    </row>
    <row r="70" spans="1:9" ht="12" thickTop="1" x14ac:dyDescent="0.2">
      <c r="A70" s="28" t="s">
        <v>252</v>
      </c>
      <c r="B70" s="2"/>
      <c r="C70" s="97">
        <f>SUM(C66:C69)</f>
        <v>4619439.88</v>
      </c>
      <c r="D70" s="97">
        <f>D69</f>
        <v>0</v>
      </c>
      <c r="E70" s="97">
        <f>E69</f>
        <v>0</v>
      </c>
      <c r="F70" s="97">
        <f>F69</f>
        <v>0</v>
      </c>
      <c r="G70" s="97">
        <f>G69</f>
        <v>0</v>
      </c>
      <c r="H70" s="13">
        <f t="shared" si="4"/>
        <v>4619439.88</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505959.56</v>
      </c>
      <c r="D75" s="23" t="s">
        <v>288</v>
      </c>
      <c r="E75" s="23" t="s">
        <v>288</v>
      </c>
      <c r="F75" s="23" t="s">
        <v>288</v>
      </c>
      <c r="G75" s="23" t="s">
        <v>288</v>
      </c>
      <c r="H75" s="13">
        <f t="shared" si="4"/>
        <v>505959.56</v>
      </c>
      <c r="I75"/>
    </row>
    <row r="76" spans="1:9" x14ac:dyDescent="0.2">
      <c r="A76" s="1" t="s">
        <v>257</v>
      </c>
      <c r="B76" s="6" t="s">
        <v>179</v>
      </c>
      <c r="C76" s="73">
        <f>SUM('DOE25'!F127:F130)</f>
        <v>14326.4</v>
      </c>
      <c r="D76" s="23" t="s">
        <v>288</v>
      </c>
      <c r="E76" s="73">
        <f>SUM('DOE25'!H127:H130)</f>
        <v>0</v>
      </c>
      <c r="F76" s="73">
        <f>SUM('DOE25'!I127:I130)</f>
        <v>0</v>
      </c>
      <c r="G76" s="23" t="s">
        <v>288</v>
      </c>
      <c r="H76" s="13">
        <f t="shared" si="4"/>
        <v>14326.4</v>
      </c>
      <c r="I76"/>
    </row>
    <row r="77" spans="1:9" ht="12" thickBot="1" x14ac:dyDescent="0.25">
      <c r="A77" s="1" t="s">
        <v>258</v>
      </c>
      <c r="B77" s="6" t="s">
        <v>180</v>
      </c>
      <c r="C77" s="73">
        <f>SUM('DOE25'!F131:F135)</f>
        <v>39820</v>
      </c>
      <c r="D77" s="73">
        <f>SUM('DOE25'!G131:G135)</f>
        <v>6184.41</v>
      </c>
      <c r="E77" s="73">
        <f>SUM('DOE25'!H131:H135)</f>
        <v>0</v>
      </c>
      <c r="F77" s="73">
        <f>SUM('DOE25'!I131:I135)</f>
        <v>0</v>
      </c>
      <c r="G77" s="73">
        <f>SUM('DOE25'!J131:J135)</f>
        <v>0</v>
      </c>
      <c r="H77" s="13">
        <f t="shared" si="4"/>
        <v>46004.41</v>
      </c>
      <c r="I77"/>
    </row>
    <row r="78" spans="1:9" ht="12.75" thickTop="1" thickBot="1" x14ac:dyDescent="0.25">
      <c r="A78" s="28" t="s">
        <v>259</v>
      </c>
      <c r="B78" s="6"/>
      <c r="C78" s="93">
        <f>SUM(C72:C77)</f>
        <v>560105.96</v>
      </c>
      <c r="D78" s="93">
        <f>SUM(D72:D77)</f>
        <v>6184.41</v>
      </c>
      <c r="E78" s="93">
        <f>SUM(E72:E77)</f>
        <v>0</v>
      </c>
      <c r="F78" s="93">
        <f>SUM(F72:F77)</f>
        <v>0</v>
      </c>
      <c r="G78" s="93">
        <f>SUM(G72:G77)</f>
        <v>0</v>
      </c>
      <c r="H78" s="13">
        <f t="shared" si="4"/>
        <v>566290.37</v>
      </c>
      <c r="I78"/>
    </row>
    <row r="79" spans="1:9" ht="12" thickTop="1" x14ac:dyDescent="0.2">
      <c r="A79" s="1" t="s">
        <v>260</v>
      </c>
      <c r="B79" s="6">
        <v>3700</v>
      </c>
      <c r="C79" s="73">
        <f>'DOE25'!F137</f>
        <v>0</v>
      </c>
      <c r="D79" s="73">
        <f>'DOE25'!G137</f>
        <v>0</v>
      </c>
      <c r="E79" s="73">
        <f>'DOE25'!H137</f>
        <v>69922.62</v>
      </c>
      <c r="F79" s="23" t="s">
        <v>288</v>
      </c>
      <c r="G79" s="23" t="s">
        <v>288</v>
      </c>
      <c r="H79" s="13">
        <f t="shared" si="4"/>
        <v>69922.62</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5179545.84</v>
      </c>
      <c r="D81" s="93">
        <f>SUM(D79:D80)+D78+D70</f>
        <v>6184.41</v>
      </c>
      <c r="E81" s="93">
        <f>SUM(E79:E80)+E78+E70</f>
        <v>69922.62</v>
      </c>
      <c r="F81" s="93">
        <f>SUM(F79:F80)+F78+F70</f>
        <v>0</v>
      </c>
      <c r="G81" s="93">
        <f>SUM(G79:G80)+G78+G70</f>
        <v>0</v>
      </c>
      <c r="H81" s="93">
        <f t="shared" si="4"/>
        <v>5255652.87</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103372.9</v>
      </c>
      <c r="D85" s="73">
        <f>'DOE25'!G147</f>
        <v>0</v>
      </c>
      <c r="E85" s="73">
        <f>'DOE25'!H147</f>
        <v>0</v>
      </c>
      <c r="F85" s="73">
        <f>'DOE25'!I147</f>
        <v>0</v>
      </c>
      <c r="G85" s="23" t="s">
        <v>288</v>
      </c>
      <c r="H85" s="13">
        <f t="shared" ref="H85:H104" si="5">SUM(C85:G85)</f>
        <v>103372.9</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115441.14</v>
      </c>
      <c r="D88" s="253">
        <f>SUM('DOE25'!G153:G162)</f>
        <v>177826.94</v>
      </c>
      <c r="E88" s="253">
        <f>SUM('DOE25'!H153:H162)</f>
        <v>1255117.92</v>
      </c>
      <c r="F88" s="253">
        <f>SUM('DOE25'!I153:I162)</f>
        <v>0</v>
      </c>
      <c r="G88" s="23" t="s">
        <v>288</v>
      </c>
      <c r="H88" s="13">
        <f t="shared" si="5"/>
        <v>1548386</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218814.03999999998</v>
      </c>
      <c r="D91" s="94">
        <f>SUM(D85:D90)</f>
        <v>177826.94</v>
      </c>
      <c r="E91" s="94">
        <f>SUM(E85:E90)</f>
        <v>1255117.92</v>
      </c>
      <c r="F91" s="94">
        <f>SUM(F85:F90)</f>
        <v>0</v>
      </c>
      <c r="G91" s="23" t="s">
        <v>288</v>
      </c>
      <c r="H91" s="13">
        <f t="shared" si="5"/>
        <v>1651758.9</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50000</v>
      </c>
      <c r="H96" s="13">
        <f t="shared" si="5"/>
        <v>50000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162110</v>
      </c>
      <c r="D98" s="73">
        <f>'DOE25'!G183</f>
        <v>0</v>
      </c>
      <c r="E98" s="73">
        <f>'DOE25'!H183</f>
        <v>0</v>
      </c>
      <c r="F98" s="23" t="s">
        <v>288</v>
      </c>
      <c r="G98" s="73">
        <f>'DOE25'!J183</f>
        <v>0</v>
      </c>
      <c r="H98" s="13">
        <f t="shared" si="5"/>
        <v>162110</v>
      </c>
    </row>
    <row r="99" spans="1:8" x14ac:dyDescent="0.2">
      <c r="A99" t="s">
        <v>756</v>
      </c>
      <c r="B99" s="31">
        <v>5251</v>
      </c>
      <c r="C99" s="73">
        <f>'DOE25'!F186</f>
        <v>161069.10999999999</v>
      </c>
      <c r="D99" s="73">
        <f>'DOE25'!G186</f>
        <v>0</v>
      </c>
      <c r="E99" s="73">
        <f>'DOE25'!H186</f>
        <v>0</v>
      </c>
      <c r="F99" s="73">
        <f>'DOE25'!I186</f>
        <v>0</v>
      </c>
      <c r="G99" s="23" t="s">
        <v>288</v>
      </c>
      <c r="H99" s="13">
        <f t="shared" si="5"/>
        <v>161069.10999999999</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323179.11</v>
      </c>
      <c r="D103" s="68">
        <f>SUM(D93:D102)</f>
        <v>0</v>
      </c>
      <c r="E103" s="68">
        <f>SUM(E93:E102)</f>
        <v>0</v>
      </c>
      <c r="F103" s="68">
        <f>SUM(F93:F102)</f>
        <v>0</v>
      </c>
      <c r="G103" s="68">
        <f>SUM(G93:G102)</f>
        <v>50000</v>
      </c>
      <c r="H103" s="68">
        <f t="shared" si="5"/>
        <v>373179.11</v>
      </c>
    </row>
    <row r="104" spans="1:8" ht="12.75" thickTop="1" thickBot="1" x14ac:dyDescent="0.25">
      <c r="A104" s="32" t="s">
        <v>761</v>
      </c>
      <c r="C104" s="68">
        <f>C63+C81+C91+C103</f>
        <v>24322666.569999997</v>
      </c>
      <c r="D104" s="68">
        <f>D63+D81+D91+D103</f>
        <v>448667.66</v>
      </c>
      <c r="E104" s="68">
        <f>E63+E81+E91+E103</f>
        <v>1325040.54</v>
      </c>
      <c r="F104" s="68">
        <f>F63+F81+F91+F103</f>
        <v>6251.24</v>
      </c>
      <c r="G104" s="68">
        <f>G63+G81+G103</f>
        <v>51585.01</v>
      </c>
      <c r="H104" s="68">
        <f t="shared" si="5"/>
        <v>26154211.019999996</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8489734.1799999997</v>
      </c>
      <c r="D109" s="23" t="s">
        <v>288</v>
      </c>
      <c r="E109" s="73">
        <f>('DOE25'!L277)+('DOE25'!L296)+('DOE25'!L315)</f>
        <v>452935.48</v>
      </c>
      <c r="F109" s="23" t="s">
        <v>288</v>
      </c>
      <c r="G109" s="23" t="s">
        <v>288</v>
      </c>
      <c r="H109" s="13">
        <f t="shared" ref="H109:H115" si="6">SUM(C109:G109)</f>
        <v>8942669.6600000001</v>
      </c>
    </row>
    <row r="110" spans="1:8" x14ac:dyDescent="0.2">
      <c r="A110" t="s">
        <v>198</v>
      </c>
      <c r="B110" s="31" t="s">
        <v>199</v>
      </c>
      <c r="C110" s="73">
        <f>('DOE25'!L199)+('DOE25'!L217)+('DOE25'!L235)</f>
        <v>4245453.3600000003</v>
      </c>
      <c r="D110" s="23" t="s">
        <v>288</v>
      </c>
      <c r="E110" s="73">
        <f>('DOE25'!L278)+('DOE25'!L297)+('DOE25'!L316)</f>
        <v>345682.04</v>
      </c>
      <c r="F110" s="23" t="s">
        <v>288</v>
      </c>
      <c r="G110" s="23" t="s">
        <v>288</v>
      </c>
      <c r="H110" s="13">
        <f t="shared" si="6"/>
        <v>4591135.4000000004</v>
      </c>
    </row>
    <row r="111" spans="1:8" x14ac:dyDescent="0.2">
      <c r="A111" t="s">
        <v>200</v>
      </c>
      <c r="B111" s="31" t="s">
        <v>165</v>
      </c>
      <c r="C111" s="73">
        <f>('DOE25'!L200)+('DOE25'!L218)+('DOE25'!L236)</f>
        <v>247227</v>
      </c>
      <c r="D111" s="23" t="s">
        <v>288</v>
      </c>
      <c r="E111" s="73">
        <f>('DOE25'!L279)+('DOE25'!L298)+('DOE25'!L317)</f>
        <v>0</v>
      </c>
      <c r="F111" s="23" t="s">
        <v>288</v>
      </c>
      <c r="G111" s="23" t="s">
        <v>288</v>
      </c>
      <c r="H111" s="13">
        <f t="shared" si="6"/>
        <v>247227</v>
      </c>
    </row>
    <row r="112" spans="1:8" x14ac:dyDescent="0.2">
      <c r="A112" t="s">
        <v>201</v>
      </c>
      <c r="B112" s="31" t="s">
        <v>167</v>
      </c>
      <c r="C112" s="73">
        <f>('DOE25'!L201)+('DOE25'!L219)+('DOE25'!L237)</f>
        <v>261861.65</v>
      </c>
      <c r="D112" s="23" t="s">
        <v>288</v>
      </c>
      <c r="E112" s="73">
        <f>+('DOE25'!L280)+('DOE25'!L299)+('DOE25'!L318)</f>
        <v>30486.45</v>
      </c>
      <c r="F112" s="23" t="s">
        <v>288</v>
      </c>
      <c r="G112" s="23" t="s">
        <v>288</v>
      </c>
      <c r="H112" s="13">
        <f t="shared" si="6"/>
        <v>292348.09999999998</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13244276.189999999</v>
      </c>
      <c r="D115" s="68">
        <f>SUM(D109:D114)</f>
        <v>0</v>
      </c>
      <c r="E115" s="68">
        <f>SUM(E109:E114)</f>
        <v>829103.97</v>
      </c>
      <c r="F115" s="68">
        <f>SUM(F109:F114)</f>
        <v>0</v>
      </c>
      <c r="G115" s="68">
        <f>SUM(G109:G114)</f>
        <v>0</v>
      </c>
      <c r="H115" s="68">
        <f t="shared" si="6"/>
        <v>14073380.16</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1687926.9499999997</v>
      </c>
      <c r="D118" s="23" t="s">
        <v>288</v>
      </c>
      <c r="E118" s="73">
        <f>+('DOE25'!L282)+('DOE25'!L301)+('DOE25'!L320)</f>
        <v>191423.00999999998</v>
      </c>
      <c r="F118" s="23" t="s">
        <v>288</v>
      </c>
      <c r="G118" s="23" t="s">
        <v>288</v>
      </c>
      <c r="H118" s="13">
        <f t="shared" ref="H118:H145" si="7">SUM(C118:G118)</f>
        <v>1879349.9599999997</v>
      </c>
    </row>
    <row r="119" spans="1:8" x14ac:dyDescent="0.2">
      <c r="A119" t="s">
        <v>208</v>
      </c>
      <c r="B119" s="31" t="s">
        <v>209</v>
      </c>
      <c r="C119" s="73">
        <f>('DOE25'!L204)+('DOE25'!L222)+('DOE25'!L240)</f>
        <v>1198789.8599999999</v>
      </c>
      <c r="D119" s="23" t="s">
        <v>288</v>
      </c>
      <c r="E119" s="73">
        <f>+('DOE25'!L283)+('DOE25'!L302)+('DOE25'!L321)</f>
        <v>187953.40999999997</v>
      </c>
      <c r="F119" s="23" t="s">
        <v>288</v>
      </c>
      <c r="G119" s="23" t="s">
        <v>288</v>
      </c>
      <c r="H119" s="13">
        <f t="shared" si="7"/>
        <v>1386743.2699999998</v>
      </c>
    </row>
    <row r="120" spans="1:8" x14ac:dyDescent="0.2">
      <c r="A120" t="s">
        <v>210</v>
      </c>
      <c r="B120" s="31" t="s">
        <v>211</v>
      </c>
      <c r="C120" s="73">
        <f>('DOE25'!L205)+('DOE25'!L223)+('DOE25'!L241)</f>
        <v>1255227.02</v>
      </c>
      <c r="D120" s="23" t="s">
        <v>288</v>
      </c>
      <c r="E120" s="73">
        <f>+('DOE25'!L284)+('DOE25'!L303)+('DOE25'!L322)</f>
        <v>0</v>
      </c>
      <c r="F120" s="23" t="s">
        <v>288</v>
      </c>
      <c r="G120" s="23" t="s">
        <v>288</v>
      </c>
      <c r="H120" s="13">
        <f t="shared" si="7"/>
        <v>1255227.02</v>
      </c>
    </row>
    <row r="121" spans="1:8" x14ac:dyDescent="0.2">
      <c r="A121" t="s">
        <v>212</v>
      </c>
      <c r="B121" s="31" t="s">
        <v>213</v>
      </c>
      <c r="C121" s="73">
        <f>('DOE25'!L206)+('DOE25'!L224)+('DOE25'!L242)</f>
        <v>1265431.29</v>
      </c>
      <c r="D121" s="23" t="s">
        <v>288</v>
      </c>
      <c r="E121" s="73">
        <f>+('DOE25'!L285)+('DOE25'!L304)+('DOE25'!L323)</f>
        <v>22356</v>
      </c>
      <c r="F121" s="23" t="s">
        <v>288</v>
      </c>
      <c r="G121" s="23" t="s">
        <v>288</v>
      </c>
      <c r="H121" s="13">
        <f t="shared" si="7"/>
        <v>1287787.29</v>
      </c>
    </row>
    <row r="122" spans="1:8" x14ac:dyDescent="0.2">
      <c r="A122" t="s">
        <v>214</v>
      </c>
      <c r="B122" s="31" t="s">
        <v>215</v>
      </c>
      <c r="C122" s="73">
        <f>('DOE25'!L207)+('DOE25'!L225)+('DOE25'!L243)</f>
        <v>401905.57</v>
      </c>
      <c r="D122" s="23" t="s">
        <v>288</v>
      </c>
      <c r="E122" s="73">
        <f>+('DOE25'!L286)+('DOE25'!L305)+('DOE25'!L324)</f>
        <v>20501.2</v>
      </c>
      <c r="F122" s="23" t="s">
        <v>288</v>
      </c>
      <c r="G122" s="23" t="s">
        <v>288</v>
      </c>
      <c r="H122" s="13">
        <f t="shared" si="7"/>
        <v>422406.77</v>
      </c>
    </row>
    <row r="123" spans="1:8" x14ac:dyDescent="0.2">
      <c r="A123" t="s">
        <v>216</v>
      </c>
      <c r="B123" s="31" t="s">
        <v>217</v>
      </c>
      <c r="C123" s="73">
        <f>('DOE25'!L208)+('DOE25'!L226)+('DOE25'!L244)</f>
        <v>1671461.27</v>
      </c>
      <c r="D123" s="23" t="s">
        <v>288</v>
      </c>
      <c r="E123" s="73">
        <f>+('DOE25'!L287)+('DOE25'!L306)+('DOE25'!L325)</f>
        <v>3589.96</v>
      </c>
      <c r="F123" s="23" t="s">
        <v>288</v>
      </c>
      <c r="G123" s="23" t="s">
        <v>288</v>
      </c>
      <c r="H123" s="13">
        <f t="shared" si="7"/>
        <v>1675051.23</v>
      </c>
    </row>
    <row r="124" spans="1:8" x14ac:dyDescent="0.2">
      <c r="A124" t="s">
        <v>218</v>
      </c>
      <c r="B124" s="31" t="s">
        <v>219</v>
      </c>
      <c r="C124" s="73">
        <f>('DOE25'!L209)+('DOE25'!L227)+('DOE25'!L245+'DOE25'!L255)</f>
        <v>899357.16</v>
      </c>
      <c r="D124" s="23" t="s">
        <v>288</v>
      </c>
      <c r="E124" s="73">
        <f>+('DOE25'!L288)+('DOE25'!L307)+('DOE25'!L326)</f>
        <v>15121.130000000001</v>
      </c>
      <c r="F124" s="23" t="s">
        <v>288</v>
      </c>
      <c r="G124" s="23" t="s">
        <v>288</v>
      </c>
      <c r="H124" s="13">
        <f t="shared" si="7"/>
        <v>914478.29</v>
      </c>
    </row>
    <row r="125" spans="1:8" x14ac:dyDescent="0.2">
      <c r="A125" t="s">
        <v>220</v>
      </c>
      <c r="B125" s="31" t="s">
        <v>221</v>
      </c>
      <c r="C125" s="73">
        <f>('DOE25'!L210)+('DOE25'!L228)+('DOE25'!L246)</f>
        <v>65266.369999999995</v>
      </c>
      <c r="D125" s="23" t="s">
        <v>288</v>
      </c>
      <c r="E125" s="73">
        <f>+('DOE25'!L289)+('DOE25'!L308)+('DOE25'!L327)</f>
        <v>13.02</v>
      </c>
      <c r="F125" s="23" t="s">
        <v>288</v>
      </c>
      <c r="G125" s="23" t="s">
        <v>288</v>
      </c>
      <c r="H125" s="13">
        <f t="shared" si="7"/>
        <v>65279.389999999992</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458674.57999999996</v>
      </c>
      <c r="E127" s="23" t="s">
        <v>288</v>
      </c>
      <c r="F127" s="23" t="s">
        <v>288</v>
      </c>
      <c r="G127" s="23" t="s">
        <v>288</v>
      </c>
      <c r="H127" s="13">
        <f t="shared" si="7"/>
        <v>458674.57999999996</v>
      </c>
    </row>
    <row r="128" spans="1:8" ht="12.75" thickTop="1" thickBot="1" x14ac:dyDescent="0.25">
      <c r="A128" s="32" t="s">
        <v>226</v>
      </c>
      <c r="C128" s="68">
        <f>SUM(C118:C127)</f>
        <v>8445365.4899999984</v>
      </c>
      <c r="D128" s="68">
        <f>SUM(D118:D127)</f>
        <v>458674.57999999996</v>
      </c>
      <c r="E128" s="68">
        <f>SUM(E118:E127)</f>
        <v>440957.73</v>
      </c>
      <c r="F128" s="68">
        <f>SUM(F118:F127)</f>
        <v>0</v>
      </c>
      <c r="G128" s="68">
        <f>SUM(G118:G127)</f>
        <v>0</v>
      </c>
      <c r="H128" s="68">
        <f t="shared" si="7"/>
        <v>9344997.7999999989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227830.03</v>
      </c>
      <c r="D130" s="23" t="s">
        <v>288</v>
      </c>
      <c r="E130" s="92">
        <f>'DOE25'!L337</f>
        <v>63559.62</v>
      </c>
      <c r="F130" s="92">
        <f>SUM('DOE25'!L375:'DOE25'!L381)</f>
        <v>8903.8799999999992</v>
      </c>
      <c r="G130" s="23" t="s">
        <v>288</v>
      </c>
      <c r="H130" s="13">
        <f t="shared" si="7"/>
        <v>300293.53000000003</v>
      </c>
    </row>
    <row r="131" spans="1:8" x14ac:dyDescent="0.2">
      <c r="A131" t="s">
        <v>229</v>
      </c>
      <c r="B131" s="31">
        <v>5110</v>
      </c>
      <c r="C131" s="73">
        <f>'DOE25'!L261</f>
        <v>765000</v>
      </c>
      <c r="D131" s="23" t="s">
        <v>288</v>
      </c>
      <c r="E131" s="92">
        <f>'DOE25'!L342</f>
        <v>0</v>
      </c>
      <c r="F131" s="23" t="s">
        <v>288</v>
      </c>
      <c r="G131" s="23" t="s">
        <v>288</v>
      </c>
      <c r="H131" s="13">
        <f t="shared" si="7"/>
        <v>765000</v>
      </c>
    </row>
    <row r="132" spans="1:8" x14ac:dyDescent="0.2">
      <c r="A132" t="s">
        <v>230</v>
      </c>
      <c r="B132" s="31">
        <v>5120</v>
      </c>
      <c r="C132" s="73">
        <f>'DOE25'!L262</f>
        <v>1334012.5</v>
      </c>
      <c r="D132" s="23" t="s">
        <v>288</v>
      </c>
      <c r="E132" s="92">
        <f>'DOE25'!L343</f>
        <v>0</v>
      </c>
      <c r="F132" s="23" t="s">
        <v>288</v>
      </c>
      <c r="G132" s="23" t="s">
        <v>288</v>
      </c>
      <c r="H132" s="13">
        <f t="shared" si="7"/>
        <v>1334012.5</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162110</v>
      </c>
      <c r="G134" s="73">
        <f>'DOE25'!K435</f>
        <v>161069.10999999999</v>
      </c>
      <c r="H134" s="13">
        <f t="shared" si="7"/>
        <v>323179.11</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51585.01</v>
      </c>
      <c r="D138" s="23" t="s">
        <v>288</v>
      </c>
      <c r="E138" s="23" t="s">
        <v>288</v>
      </c>
      <c r="F138" s="23" t="s">
        <v>288</v>
      </c>
      <c r="G138" s="23" t="s">
        <v>288</v>
      </c>
      <c r="H138" s="13">
        <f t="shared" si="7"/>
        <v>51585.01</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-1585.010000000002</v>
      </c>
      <c r="D141" s="23" t="s">
        <v>288</v>
      </c>
      <c r="E141" s="23" t="s">
        <v>288</v>
      </c>
      <c r="F141" s="23" t="s">
        <v>288</v>
      </c>
      <c r="G141" s="23" t="s">
        <v>288</v>
      </c>
      <c r="H141" s="13">
        <f t="shared" si="7"/>
        <v>-1585.010000000002</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2376842.5300000003</v>
      </c>
      <c r="D144" s="98">
        <f>SUM(D130:D143)</f>
        <v>0</v>
      </c>
      <c r="E144" s="98">
        <f>SUM(E130:E143)</f>
        <v>63559.62</v>
      </c>
      <c r="F144" s="98">
        <f>SUM(F130:F143)</f>
        <v>171013.88</v>
      </c>
      <c r="G144" s="98">
        <f>SUM(G130:G143)</f>
        <v>161069.10999999999</v>
      </c>
      <c r="H144" s="98">
        <f t="shared" si="7"/>
        <v>2772485.14</v>
      </c>
    </row>
    <row r="145" spans="1:9" ht="12.75" thickTop="1" thickBot="1" x14ac:dyDescent="0.25">
      <c r="A145" s="32" t="s">
        <v>244</v>
      </c>
      <c r="C145" s="68">
        <f>(C115+C128+C144)</f>
        <v>24066484.210000001</v>
      </c>
      <c r="D145" s="68">
        <f>(D115+D128+D144)</f>
        <v>458674.57999999996</v>
      </c>
      <c r="E145" s="68">
        <f>(E115+E128+E144)</f>
        <v>1333621.32</v>
      </c>
      <c r="F145" s="68">
        <f>(F115+F128+F144)</f>
        <v>171013.88</v>
      </c>
      <c r="G145" s="68">
        <f>(G115+G128+G144)</f>
        <v>161069.10999999999</v>
      </c>
      <c r="H145" s="68">
        <f t="shared" si="7"/>
        <v>26190863.099999998</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35816700</v>
      </c>
      <c r="C154" s="19">
        <f>'DOE25'!G494</f>
        <v>0</v>
      </c>
      <c r="D154" s="19">
        <f>'DOE25'!H494</f>
        <v>0</v>
      </c>
      <c r="E154" s="19">
        <f>'DOE25'!I494</f>
        <v>0</v>
      </c>
      <c r="F154" s="19">
        <f>'DOE25'!J494</f>
        <v>0</v>
      </c>
      <c r="G154" s="23" t="s">
        <v>288</v>
      </c>
    </row>
    <row r="155" spans="1:9" x14ac:dyDescent="0.2">
      <c r="A155" s="21" t="s">
        <v>31</v>
      </c>
      <c r="B155" s="19">
        <f>'DOE25'!F495</f>
        <v>3.33</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765000</v>
      </c>
      <c r="C158" s="19">
        <f>'DOE25'!G498</f>
        <v>0</v>
      </c>
      <c r="D158" s="19">
        <f>'DOE25'!H498</f>
        <v>0</v>
      </c>
      <c r="E158" s="19">
        <f>'DOE25'!I498</f>
        <v>0</v>
      </c>
      <c r="F158" s="19">
        <f>'DOE25'!J498</f>
        <v>0</v>
      </c>
      <c r="G158" s="96">
        <f t="shared" si="8"/>
        <v>765000</v>
      </c>
    </row>
    <row r="159" spans="1:9" x14ac:dyDescent="0.2">
      <c r="A159" s="21" t="s">
        <v>35</v>
      </c>
      <c r="B159" s="19">
        <f>'DOE25'!F499</f>
        <v>32355000</v>
      </c>
      <c r="C159" s="19">
        <f>'DOE25'!G499</f>
        <v>0</v>
      </c>
      <c r="D159" s="19">
        <f>'DOE25'!H499</f>
        <v>0</v>
      </c>
      <c r="E159" s="19">
        <f>'DOE25'!I499</f>
        <v>0</v>
      </c>
      <c r="F159" s="19">
        <f>'DOE25'!J499</f>
        <v>0</v>
      </c>
      <c r="G159" s="96">
        <f t="shared" si="8"/>
        <v>32355000</v>
      </c>
    </row>
    <row r="160" spans="1:9" x14ac:dyDescent="0.2">
      <c r="A160" s="21" t="s">
        <v>36</v>
      </c>
      <c r="B160" s="19">
        <f>'DOE25'!F500</f>
        <v>17641677.5</v>
      </c>
      <c r="C160" s="19">
        <f>'DOE25'!G500</f>
        <v>0</v>
      </c>
      <c r="D160" s="19">
        <f>'DOE25'!H500</f>
        <v>0</v>
      </c>
      <c r="E160" s="19">
        <f>'DOE25'!I500</f>
        <v>0</v>
      </c>
      <c r="F160" s="19">
        <f>'DOE25'!J500</f>
        <v>0</v>
      </c>
      <c r="G160" s="96">
        <f t="shared" si="8"/>
        <v>17641677.5</v>
      </c>
    </row>
    <row r="161" spans="1:7" x14ac:dyDescent="0.2">
      <c r="A161" s="21" t="s">
        <v>37</v>
      </c>
      <c r="B161" s="19">
        <f>'DOE25'!F501</f>
        <v>49996677.5</v>
      </c>
      <c r="C161" s="19">
        <f>'DOE25'!G501</f>
        <v>0</v>
      </c>
      <c r="D161" s="19">
        <f>'DOE25'!H501</f>
        <v>0</v>
      </c>
      <c r="E161" s="19">
        <f>'DOE25'!I501</f>
        <v>0</v>
      </c>
      <c r="F161" s="19">
        <f>'DOE25'!J501</f>
        <v>0</v>
      </c>
      <c r="G161" s="96">
        <f t="shared" si="8"/>
        <v>49996677.5</v>
      </c>
    </row>
    <row r="162" spans="1:7" x14ac:dyDescent="0.2">
      <c r="A162" s="21" t="s">
        <v>38</v>
      </c>
      <c r="B162" s="19">
        <f>'DOE25'!F502</f>
        <v>805000</v>
      </c>
      <c r="C162" s="19">
        <f>'DOE25'!G502</f>
        <v>0</v>
      </c>
      <c r="D162" s="19">
        <f>'DOE25'!H502</f>
        <v>0</v>
      </c>
      <c r="E162" s="19">
        <f>'DOE25'!I502</f>
        <v>0</v>
      </c>
      <c r="F162" s="19">
        <f>'DOE25'!J502</f>
        <v>0</v>
      </c>
      <c r="G162" s="96">
        <f t="shared" si="8"/>
        <v>805000</v>
      </c>
    </row>
    <row r="163" spans="1:7" x14ac:dyDescent="0.2">
      <c r="A163" s="21" t="s">
        <v>39</v>
      </c>
      <c r="B163" s="19">
        <f>'DOE25'!F503</f>
        <v>1293977.5</v>
      </c>
      <c r="C163" s="19">
        <f>'DOE25'!G503</f>
        <v>0</v>
      </c>
      <c r="D163" s="19">
        <f>'DOE25'!H503</f>
        <v>0</v>
      </c>
      <c r="E163" s="19">
        <f>'DOE25'!I503</f>
        <v>0</v>
      </c>
      <c r="F163" s="19">
        <f>'DOE25'!J503</f>
        <v>0</v>
      </c>
      <c r="G163" s="96">
        <f t="shared" si="8"/>
        <v>1293977.5</v>
      </c>
    </row>
    <row r="164" spans="1:7" x14ac:dyDescent="0.2">
      <c r="A164" s="21" t="s">
        <v>246</v>
      </c>
      <c r="B164" s="19">
        <f>'DOE25'!F504</f>
        <v>2098977.5</v>
      </c>
      <c r="C164" s="19">
        <f>'DOE25'!G504</f>
        <v>0</v>
      </c>
      <c r="D164" s="19">
        <f>'DOE25'!H504</f>
        <v>0</v>
      </c>
      <c r="E164" s="19">
        <f>'DOE25'!I504</f>
        <v>0</v>
      </c>
      <c r="F164" s="19">
        <f>'DOE25'!J504</f>
        <v>0</v>
      </c>
      <c r="G164" s="96">
        <f t="shared" si="8"/>
        <v>2098977.5</v>
      </c>
    </row>
  </sheetData>
  <sheetProtection algorithmName="SHA-512" hashValue="v4KVHptY0SjF8qwRAD13ck2Sch0Wk/EhHaRLs8QcpO8s+uIkdTe0iF9wbzz+m6CqBQT8e97Fypsx5vrk8JBepA==" saltValue="wEcm7LaS0bh2HazZVzBMfw=="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Newmarket</v>
      </c>
    </row>
    <row r="3" spans="1:4" x14ac:dyDescent="0.2">
      <c r="B3" s="137" t="s">
        <v>1799</v>
      </c>
    </row>
    <row r="4" spans="1:4" x14ac:dyDescent="0.2">
      <c r="B4" t="s">
        <v>61</v>
      </c>
      <c r="C4" s="129">
        <f>IF('DOE25'!F666+'DOE25'!F671=0,0,ROUND('DOE25'!F673,0))</f>
        <v>22094</v>
      </c>
    </row>
    <row r="5" spans="1:4" x14ac:dyDescent="0.2">
      <c r="B5" t="s">
        <v>700</v>
      </c>
      <c r="C5" s="129">
        <f>IF('DOE25'!G666+'DOE25'!G671=0,0,ROUND('DOE25'!G673,0))</f>
        <v>0</v>
      </c>
    </row>
    <row r="6" spans="1:4" x14ac:dyDescent="0.2">
      <c r="B6" t="s">
        <v>62</v>
      </c>
      <c r="C6" s="129">
        <f>IF('DOE25'!H666+'DOE25'!H671=0,0,ROUND('DOE25'!H673,0))</f>
        <v>25008</v>
      </c>
    </row>
    <row r="7" spans="1:4" x14ac:dyDescent="0.2">
      <c r="B7" t="s">
        <v>701</v>
      </c>
      <c r="C7" s="129">
        <f>IF('DOE25'!I666+'DOE25'!I671=0,0,ROUND('DOE25'!I673,0))</f>
        <v>22866</v>
      </c>
    </row>
    <row r="9" spans="1:4" x14ac:dyDescent="0.2">
      <c r="A9" s="136" t="s">
        <v>94</v>
      </c>
      <c r="B9" s="137" t="s">
        <v>1800</v>
      </c>
      <c r="C9" s="131" t="s">
        <v>720</v>
      </c>
      <c r="D9" s="131" t="s">
        <v>721</v>
      </c>
    </row>
    <row r="10" spans="1:4" x14ac:dyDescent="0.2">
      <c r="A10">
        <v>1100</v>
      </c>
      <c r="B10" t="s">
        <v>702</v>
      </c>
      <c r="C10" s="129">
        <f>ROUND('DOE25'!L198+'DOE25'!L216+'DOE25'!L234+'DOE25'!L277+'DOE25'!L296+'DOE25'!L315,0)</f>
        <v>8942670</v>
      </c>
      <c r="D10" s="132">
        <f>ROUND((C10/$C$28)*100,1)</f>
        <v>36.5</v>
      </c>
    </row>
    <row r="11" spans="1:4" x14ac:dyDescent="0.2">
      <c r="A11">
        <v>1200</v>
      </c>
      <c r="B11" t="s">
        <v>703</v>
      </c>
      <c r="C11" s="129">
        <f>ROUND('DOE25'!L199+'DOE25'!L217+'DOE25'!L235+'DOE25'!L278+'DOE25'!L297+'DOE25'!L316,0)</f>
        <v>4591135</v>
      </c>
      <c r="D11" s="132">
        <f>ROUND((C11/$C$28)*100,1)</f>
        <v>18.7</v>
      </c>
    </row>
    <row r="12" spans="1:4" x14ac:dyDescent="0.2">
      <c r="A12">
        <v>1300</v>
      </c>
      <c r="B12" t="s">
        <v>704</v>
      </c>
      <c r="C12" s="129">
        <f>ROUND('DOE25'!L200+'DOE25'!L218+'DOE25'!L236+'DOE25'!L279+'DOE25'!L298+'DOE25'!L317,0)</f>
        <v>247227</v>
      </c>
      <c r="D12" s="132">
        <f>ROUND((C12/$C$28)*100,1)</f>
        <v>1</v>
      </c>
    </row>
    <row r="13" spans="1:4" x14ac:dyDescent="0.2">
      <c r="A13">
        <v>1400</v>
      </c>
      <c r="B13" t="s">
        <v>705</v>
      </c>
      <c r="C13" s="129">
        <f>ROUND('DOE25'!L201+'DOE25'!L219+'DOE25'!L237+'DOE25'!L280+'DOE25'!L299+'DOE25'!L318,0)</f>
        <v>292348</v>
      </c>
      <c r="D13" s="132">
        <f>ROUND((C13/$C$28)*100,1)</f>
        <v>1.2</v>
      </c>
    </row>
    <row r="14" spans="1:4" x14ac:dyDescent="0.2">
      <c r="D14" s="132"/>
    </row>
    <row r="15" spans="1:4" x14ac:dyDescent="0.2">
      <c r="A15">
        <v>2100</v>
      </c>
      <c r="B15" t="s">
        <v>706</v>
      </c>
      <c r="C15" s="129">
        <f>ROUND('DOE25'!L203+'DOE25'!L221+'DOE25'!L239+'DOE25'!L282+'DOE25'!L301+'DOE25'!L320,0)</f>
        <v>1879350</v>
      </c>
      <c r="D15" s="132">
        <f t="shared" ref="D15:D27" si="0">ROUND((C15/$C$28)*100,1)</f>
        <v>7.7</v>
      </c>
    </row>
    <row r="16" spans="1:4" x14ac:dyDescent="0.2">
      <c r="A16">
        <v>2200</v>
      </c>
      <c r="B16" t="s">
        <v>707</v>
      </c>
      <c r="C16" s="129">
        <f>ROUND('DOE25'!L204+'DOE25'!L222+'DOE25'!L240+'DOE25'!L283+'DOE25'!L302+'DOE25'!L321,0)</f>
        <v>1386743</v>
      </c>
      <c r="D16" s="132">
        <f t="shared" si="0"/>
        <v>5.7</v>
      </c>
    </row>
    <row r="17" spans="1:4" x14ac:dyDescent="0.2">
      <c r="A17" s="133" t="s">
        <v>723</v>
      </c>
      <c r="B17" t="s">
        <v>738</v>
      </c>
      <c r="C17" s="129">
        <f>ROUND('DOE25'!L205+'DOE25'!L210+'DOE25'!L223+'DOE25'!L228+'DOE25'!L241+'DOE25'!L246+'DOE25'!L284+'DOE25'!L289+'DOE25'!L303+'DOE25'!L308+'DOE25'!L322+'DOE25'!L327,0)</f>
        <v>1320506</v>
      </c>
      <c r="D17" s="132">
        <f t="shared" si="0"/>
        <v>5.4</v>
      </c>
    </row>
    <row r="18" spans="1:4" x14ac:dyDescent="0.2">
      <c r="A18">
        <v>2400</v>
      </c>
      <c r="B18" t="s">
        <v>711</v>
      </c>
      <c r="C18" s="129">
        <f>ROUND('DOE25'!L206+'DOE25'!L224+'DOE25'!L242+'DOE25'!L285+'DOE25'!L304+'DOE25'!L323,0)</f>
        <v>1287787</v>
      </c>
      <c r="D18" s="132">
        <f t="shared" si="0"/>
        <v>5.3</v>
      </c>
    </row>
    <row r="19" spans="1:4" x14ac:dyDescent="0.2">
      <c r="A19">
        <v>2500</v>
      </c>
      <c r="B19" t="s">
        <v>708</v>
      </c>
      <c r="C19" s="129">
        <f>ROUND('DOE25'!L207+'DOE25'!L225+'DOE25'!L243+'DOE25'!L286+'DOE25'!L305+'DOE25'!L324,0)</f>
        <v>422407</v>
      </c>
      <c r="D19" s="132">
        <f t="shared" si="0"/>
        <v>1.7</v>
      </c>
    </row>
    <row r="20" spans="1:4" x14ac:dyDescent="0.2">
      <c r="A20">
        <v>2600</v>
      </c>
      <c r="B20" t="s">
        <v>709</v>
      </c>
      <c r="C20" s="129">
        <f>ROUND('DOE25'!L208+'DOE25'!L226+'DOE25'!L244+'DOE25'!L287+'DOE25'!L306+'DOE25'!L325,0)</f>
        <v>1675051</v>
      </c>
      <c r="D20" s="132">
        <f t="shared" si="0"/>
        <v>6.8</v>
      </c>
    </row>
    <row r="21" spans="1:4" x14ac:dyDescent="0.2">
      <c r="A21">
        <v>2700</v>
      </c>
      <c r="B21" t="s">
        <v>710</v>
      </c>
      <c r="C21" s="129">
        <f>ROUND('DOE25'!L209+'DOE25'!L227+'DOE25'!L245+'DOE25'!L288+'DOE25'!L307+'DOE25'!L326,0)</f>
        <v>914478</v>
      </c>
      <c r="D21" s="132">
        <f t="shared" si="0"/>
        <v>3.7</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1334013</v>
      </c>
      <c r="D25" s="132">
        <f t="shared" si="0"/>
        <v>5.4</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194018.69</v>
      </c>
      <c r="D27" s="132">
        <f t="shared" si="0"/>
        <v>0.8</v>
      </c>
    </row>
    <row r="28" spans="1:4" x14ac:dyDescent="0.2">
      <c r="B28" s="136" t="s">
        <v>719</v>
      </c>
      <c r="C28" s="130">
        <f>SUM(C10:C27)</f>
        <v>24487733.690000001</v>
      </c>
      <c r="D28" s="134">
        <f>ROUND(SUM(D10:D27),0)</f>
        <v>100</v>
      </c>
    </row>
    <row r="29" spans="1:4" x14ac:dyDescent="0.2">
      <c r="A29">
        <v>4000</v>
      </c>
      <c r="B29" t="s">
        <v>724</v>
      </c>
      <c r="C29" s="129">
        <f>ROUND('DOE25'!L256+'DOE25'!L337+'DOE25'!L375+'DOE25'!L376+'DOE25'!L377+'DOE25'!L378+'DOE25'!L379+'DOE25'!L380+'DOE25'!L381,0)</f>
        <v>300294</v>
      </c>
    </row>
    <row r="30" spans="1:4" x14ac:dyDescent="0.2">
      <c r="B30" s="136" t="s">
        <v>725</v>
      </c>
      <c r="C30" s="130">
        <f>SUM(C28:C29)</f>
        <v>24788027.690000001</v>
      </c>
    </row>
    <row r="31" spans="1:4" x14ac:dyDescent="0.2">
      <c r="B31" s="32"/>
      <c r="C31" s="130"/>
    </row>
    <row r="32" spans="1:4" x14ac:dyDescent="0.2">
      <c r="A32">
        <v>5100</v>
      </c>
      <c r="B32" s="32" t="s">
        <v>726</v>
      </c>
      <c r="C32" s="130">
        <f>ROUND('DOE25'!L261+'DOE25'!L342,0)</f>
        <v>765000</v>
      </c>
    </row>
    <row r="34" spans="1:4" x14ac:dyDescent="0.2">
      <c r="A34" s="136" t="s">
        <v>94</v>
      </c>
      <c r="B34" s="137" t="s">
        <v>1801</v>
      </c>
      <c r="C34" s="131" t="s">
        <v>720</v>
      </c>
      <c r="D34" s="131" t="s">
        <v>721</v>
      </c>
    </row>
    <row r="35" spans="1:4" x14ac:dyDescent="0.2">
      <c r="A35">
        <v>1100</v>
      </c>
      <c r="B35" s="71" t="s">
        <v>727</v>
      </c>
      <c r="C35" s="129">
        <f>ROUND('DOE25'!F60+'DOE25'!G60+'DOE25'!H60+'DOE25'!I60+'DOE25'!J60,0)</f>
        <v>18270622</v>
      </c>
      <c r="D35" s="132">
        <f t="shared" ref="D35:D40" si="1">ROUND((C35/$C$41)*100,1)</f>
        <v>71.599999999999994</v>
      </c>
    </row>
    <row r="36" spans="1:4" x14ac:dyDescent="0.2">
      <c r="B36" s="71" t="s">
        <v>739</v>
      </c>
      <c r="C36" s="129">
        <f>SUM('DOE25'!F112:J112)-SUM('DOE25'!G97:G110)+('DOE25'!F175+'DOE25'!F176+'DOE25'!I175+'DOE25'!I176)-C35</f>
        <v>338341.83000000194</v>
      </c>
      <c r="D36" s="132">
        <f t="shared" si="1"/>
        <v>1.3</v>
      </c>
    </row>
    <row r="37" spans="1:4" x14ac:dyDescent="0.2">
      <c r="A37" s="133" t="s">
        <v>834</v>
      </c>
      <c r="B37" s="71" t="s">
        <v>728</v>
      </c>
      <c r="C37" s="129">
        <f>ROUND('DOE25'!F117+'DOE25'!F118,0)</f>
        <v>4474820</v>
      </c>
      <c r="D37" s="132">
        <f t="shared" si="1"/>
        <v>17.5</v>
      </c>
    </row>
    <row r="38" spans="1:4" x14ac:dyDescent="0.2">
      <c r="A38" s="133" t="s">
        <v>734</v>
      </c>
      <c r="B38" s="71" t="s">
        <v>729</v>
      </c>
      <c r="C38" s="129">
        <f>ROUND(SUM('DOE25'!F140:J140)-SUM('DOE25'!F117:F119),0)</f>
        <v>780833</v>
      </c>
      <c r="D38" s="132">
        <f t="shared" si="1"/>
        <v>3.1</v>
      </c>
    </row>
    <row r="39" spans="1:4" x14ac:dyDescent="0.2">
      <c r="A39">
        <v>4000</v>
      </c>
      <c r="B39" s="71" t="s">
        <v>730</v>
      </c>
      <c r="C39" s="129">
        <f>ROUND('DOE25'!F170+'DOE25'!G170+'DOE25'!H170+'DOE25'!I170,0)</f>
        <v>1651759</v>
      </c>
      <c r="D39" s="132">
        <f t="shared" si="1"/>
        <v>6.5</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25516375.830000002</v>
      </c>
      <c r="D41" s="134">
        <f>SUM(D35:D40)</f>
        <v>99.999999999999986</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A5" sqref="A5"/>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Newmarket</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t="s">
        <v>1812</v>
      </c>
      <c r="B4" s="150"/>
      <c r="C4" s="327" t="s">
        <v>1813</v>
      </c>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213</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64</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f>IFERROR(SMALL($I$4:$I$325,ROWS($I$4:I5)),"")</f>
        <v>214</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25.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38.25"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f>IF('School Level Expenditures'!$B$2='School Tables'!W67,'School Tables'!AD67,"")</f>
        <v>64</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f>IF('School Level Expenditures'!$B$2=A216,'School Tables'!H216,"")</f>
        <v>213</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f>IF('School Level Expenditures'!$B$2=A217,'School Tables'!H217,"")</f>
        <v>214</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Metadata/LabelInfo.xml><?xml version="1.0" encoding="utf-8"?>
<clbl:labelList xmlns:clbl="http://schemas.microsoft.com/office/2020/mipLabelMetadata">
  <clbl:label id="{992deae9-1c4c-42c8-a310-5088af55ba74}" enabled="0" method="" siteId="{992deae9-1c4c-42c8-a310-5088af55ba74}"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2023-08-30T00:55:22Z</cp:lastPrinted>
  <dcterms:created xsi:type="dcterms:W3CDTF">1997-12-04T19:04:30Z</dcterms:created>
  <dcterms:modified xsi:type="dcterms:W3CDTF">2023-12-29T13:49:50Z</dcterms:modified>
</cp:coreProperties>
</file>