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D0D12E6-A9F8-4348-AB23-702B22B6AB2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42" i="1" l="1"/>
  <c r="F542" i="1"/>
  <c r="H155" i="1" l="1"/>
  <c r="H161" i="1"/>
  <c r="H469" i="1"/>
  <c r="H110" i="1"/>
  <c r="F234" i="1"/>
  <c r="H245" i="1" l="1"/>
  <c r="F245" i="1"/>
  <c r="J244" i="1"/>
  <c r="I244" i="1"/>
  <c r="H244" i="1"/>
  <c r="G244" i="1"/>
  <c r="F244" i="1"/>
  <c r="K242" i="1"/>
  <c r="J242" i="1"/>
  <c r="I242" i="1"/>
  <c r="H242" i="1"/>
  <c r="G242" i="1"/>
  <c r="F242" i="1"/>
  <c r="G240" i="1"/>
  <c r="G241" i="1"/>
  <c r="F241" i="1"/>
  <c r="J236" i="1"/>
  <c r="I235" i="1"/>
  <c r="G235" i="1"/>
  <c r="F235" i="1"/>
  <c r="J199" i="1"/>
  <c r="I199" i="1"/>
  <c r="G199" i="1"/>
  <c r="F199" i="1"/>
  <c r="I473" i="1"/>
  <c r="I469" i="1"/>
  <c r="H381" i="1"/>
  <c r="H377" i="1"/>
  <c r="H162" i="1"/>
  <c r="F277" i="1"/>
  <c r="I301" i="1"/>
  <c r="H301" i="1"/>
  <c r="H154" i="1" l="1"/>
  <c r="F24" i="1" l="1"/>
  <c r="G613" i="1" l="1"/>
  <c r="F613" i="1"/>
  <c r="I524" i="1" l="1"/>
  <c r="I523" i="1"/>
  <c r="I522" i="1"/>
  <c r="H524" i="1"/>
  <c r="H523" i="1"/>
  <c r="H522" i="1"/>
  <c r="G524" i="1"/>
  <c r="G523" i="1"/>
  <c r="G522" i="1"/>
  <c r="F524" i="1"/>
  <c r="F523" i="1"/>
  <c r="F522" i="1"/>
  <c r="G565" i="1"/>
  <c r="G564" i="1"/>
  <c r="G563" i="1"/>
  <c r="H320" i="1" l="1"/>
  <c r="B19" i="12" l="1"/>
  <c r="H361" i="1" l="1"/>
  <c r="H360" i="1"/>
  <c r="H359" i="1"/>
  <c r="G158" i="1"/>
  <c r="G30"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E125" i="2" s="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H653" i="1"/>
  <c r="G654" i="1"/>
  <c r="H654" i="1"/>
  <c r="H655" i="1"/>
  <c r="H656" i="1"/>
  <c r="I170" i="1"/>
  <c r="H94" i="2" l="1"/>
  <c r="H58" i="2"/>
  <c r="H99" i="2"/>
  <c r="H22" i="2"/>
  <c r="H125" i="2"/>
  <c r="H76" i="2"/>
  <c r="H101" i="2"/>
  <c r="H97" i="2"/>
  <c r="H87" i="2"/>
  <c r="H35" i="2"/>
  <c r="H9" i="2"/>
  <c r="H143" i="2"/>
  <c r="H79" i="2"/>
  <c r="G409" i="1"/>
  <c r="H646" i="1" s="1"/>
  <c r="H69" i="2"/>
  <c r="H59" i="2"/>
  <c r="H30" i="2"/>
  <c r="H28" i="2"/>
  <c r="H17" i="2"/>
  <c r="H15" i="2"/>
  <c r="D18" i="13"/>
  <c r="C18" i="13" s="1"/>
  <c r="H73" i="2"/>
  <c r="H36" i="2"/>
  <c r="H44" i="2"/>
  <c r="H48" i="2"/>
  <c r="H26" i="2"/>
  <c r="H13" i="2"/>
  <c r="H102" i="2"/>
  <c r="H100" i="2"/>
  <c r="H98" i="2"/>
  <c r="H80" i="2"/>
  <c r="H34" i="2"/>
  <c r="J112" i="1"/>
  <c r="H132" i="2"/>
  <c r="H47" i="2"/>
  <c r="H477" i="1"/>
  <c r="H625" i="1" s="1"/>
  <c r="J625" i="1" s="1"/>
  <c r="G663" i="1"/>
  <c r="E124" i="2"/>
  <c r="E121" i="2"/>
  <c r="E120" i="2"/>
  <c r="E112" i="2"/>
  <c r="E111" i="2"/>
  <c r="C12" i="10"/>
  <c r="C85" i="2"/>
  <c r="H85" i="2" s="1"/>
  <c r="H23" i="2"/>
  <c r="H11" i="2"/>
  <c r="H8" i="2"/>
  <c r="H12" i="2"/>
  <c r="H29" i="2"/>
  <c r="J652" i="1"/>
  <c r="A40" i="12"/>
  <c r="G651" i="1"/>
  <c r="J651" i="1" s="1"/>
  <c r="D15" i="13"/>
  <c r="C15" i="13" s="1"/>
  <c r="C121" i="2"/>
  <c r="N2" i="14"/>
  <c r="N3" i="14" s="1"/>
  <c r="M2" i="14"/>
  <c r="M3" i="14" s="1"/>
  <c r="C112" i="2"/>
  <c r="C110" i="2"/>
  <c r="C120" i="2"/>
  <c r="H120" i="2" s="1"/>
  <c r="C119" i="2"/>
  <c r="D6" i="13"/>
  <c r="C6" i="13" s="1"/>
  <c r="L2" i="14"/>
  <c r="L3" i="14" s="1"/>
  <c r="C13" i="10"/>
  <c r="K2" i="14"/>
  <c r="K3" i="14" s="1"/>
  <c r="H93" i="2"/>
  <c r="H96" i="2"/>
  <c r="H61" i="2"/>
  <c r="D144" i="2"/>
  <c r="H135" i="2"/>
  <c r="D29" i="13"/>
  <c r="C29" i="13" s="1"/>
  <c r="G662" i="1"/>
  <c r="G477" i="1"/>
  <c r="B33" i="16" s="1"/>
  <c r="D78" i="2"/>
  <c r="H77"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114" i="2"/>
  <c r="H57" i="2"/>
  <c r="H16" i="2"/>
  <c r="H121" i="2"/>
  <c r="H134" i="2"/>
  <c r="H42" i="2"/>
  <c r="E51" i="2"/>
  <c r="E144" i="2"/>
  <c r="H123" i="2"/>
  <c r="H112" i="2"/>
  <c r="G24" i="14"/>
  <c r="H24" i="14" s="1"/>
  <c r="I24" i="14" s="1"/>
  <c r="E128" i="2"/>
  <c r="H119" i="2"/>
  <c r="H118" i="2"/>
  <c r="H91" i="2"/>
  <c r="H78" i="2"/>
  <c r="C81" i="2"/>
  <c r="H81" i="2" s="1"/>
  <c r="H50" i="2"/>
  <c r="H18" i="2"/>
  <c r="I663" i="1"/>
  <c r="H110" i="2"/>
  <c r="F194" i="1"/>
  <c r="G628" i="1" s="1"/>
  <c r="J628" i="1" s="1"/>
  <c r="H103" i="2"/>
  <c r="H624" i="1"/>
  <c r="J624" i="1" s="1"/>
  <c r="D128" i="2"/>
  <c r="H127" i="2"/>
  <c r="I662" i="1"/>
  <c r="D63" i="2"/>
  <c r="D104" i="2" s="1"/>
  <c r="H62" i="2"/>
  <c r="D51" i="2"/>
  <c r="H3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M24" i="14"/>
  <c r="C104" i="2"/>
  <c r="H104" i="2" s="1"/>
  <c r="H63" i="2"/>
  <c r="H51" i="2"/>
  <c r="D145" i="2"/>
  <c r="H128"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<sst xmlns="http://schemas.openxmlformats.org/spreadsheetml/2006/main" count="6562" uniqueCount="1817">
  <si>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</si>
  <si>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</si>
  <si>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</si>
  <si>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</si>
  <si>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</si>
  <si>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</si>
  <si>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</si>
  <si>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</si>
  <si>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</si>
  <si>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</si>
  <si>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</si>
  <si>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</si>
  <si>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</si>
  <si>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</si>
  <si>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</si>
  <si>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</si>
  <si>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</si>
  <si>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</si>
  <si>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</si>
  <si>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</si>
  <si>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</si>
  <si>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</si>
  <si>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</si>
  <si>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</si>
  <si>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</si>
  <si>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</si>
  <si>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</si>
  <si>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</si>
  <si>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</si>
  <si>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</si>
  <si>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</si>
  <si>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</si>
  <si>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</si>
  <si>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</si>
  <si>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</si>
  <si>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</si>
  <si>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</si>
  <si>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</si>
  <si>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</si>
  <si>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</si>
  <si>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</si>
  <si>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</si>
  <si>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</si>
  <si>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</si>
  <si>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</si>
  <si>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</si>
  <si>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</si>
  <si>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</si>
  <si>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</si>
  <si>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</si>
  <si>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</si>
  <si>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</si>
  <si>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</si>
  <si>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</si>
  <si>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</si>
  <si>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</si>
  <si>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</si>
  <si>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</si>
  <si>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</si>
  <si>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</si>
  <si>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</si>
  <si>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</si>
  <si>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</si>
  <si>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</si>
  <si>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</si>
  <si>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</si>
  <si>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</si>
  <si>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</si>
  <si>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</si>
  <si>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</si>
  <si>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</si>
  <si>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</si>
  <si>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</si>
  <si>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</si>
  <si>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</si>
  <si>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</si>
  <si>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</si>
  <si>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</si>
  <si>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</si>
  <si>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</si>
  <si>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</si>
  <si>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</si>
  <si>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</si>
  <si>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</si>
  <si>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</si>
  <si>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</si>
  <si>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</si>
  <si>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</si>
  <si>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</si>
  <si>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</si>
  <si>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</si>
  <si>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</si>
  <si>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</si>
  <si>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</si>
  <si>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</si>
  <si>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</si>
  <si>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</si>
  <si>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</si>
  <si>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</si>
  <si>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</si>
  <si>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</si>
  <si>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</si>
  <si>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</si>
  <si>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</si>
  <si>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</si>
  <si>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</si>
  <si>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</si>
  <si>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</si>
  <si>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</si>
  <si>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</si>
  <si>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</si>
  <si>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</si>
  <si>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</si>
  <si>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</si>
  <si>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</si>
  <si>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</si>
  <si>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</si>
  <si>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</si>
  <si>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</si>
  <si>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</si>
  <si>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</si>
  <si>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</si>
  <si>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</si>
  <si>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</si>
  <si>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</si>
  <si>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</si>
  <si>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</si>
  <si>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</si>
  <si>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</si>
  <si>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</si>
  <si>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</si>
  <si>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</si>
  <si>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</si>
  <si>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</si>
  <si>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</si>
  <si>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</si>
  <si>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</si>
  <si>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</si>
  <si>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</si>
  <si>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</si>
  <si>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</si>
  <si>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</si>
  <si>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</si>
  <si>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</si>
  <si>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</si>
  <si>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</si>
  <si>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</si>
  <si>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</si>
  <si>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</si>
  <si>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</si>
  <si>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</si>
  <si>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</si>
  <si>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</si>
  <si>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</si>
  <si>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</si>
  <si>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</si>
  <si>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</si>
  <si>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</si>
  <si>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</si>
  <si>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</si>
  <si>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</si>
  <si>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</si>
  <si>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</si>
  <si>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</si>
  <si>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</si>
  <si>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</si>
  <si>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</si>
  <si>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</si>
  <si>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</si>
  <si>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</si>
  <si>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</si>
  <si>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</si>
  <si>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</si>
  <si>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</si>
  <si>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</si>
  <si>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</si>
  <si>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</si>
  <si>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</si>
  <si>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</si>
  <si>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</si>
  <si>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</si>
  <si>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</si>
  <si>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</si>
  <si>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</si>
  <si>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</si>
  <si>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</si>
  <si>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</si>
  <si>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</si>
  <si>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</si>
  <si>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</si>
  <si>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</si>
  <si>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</si>
  <si>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</si>
  <si>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</si>
  <si>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</si>
  <si>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</si>
  <si>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</si>
  <si>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</si>
  <si>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</si>
  <si>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</si>
  <si>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</si>
  <si>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</si>
  <si>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</si>
  <si>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</si>
  <si>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</si>
  <si>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</si>
  <si>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</si>
  <si>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</si>
  <si>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</si>
  <si>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</si>
  <si>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</si>
  <si>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</si>
  <si>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</si>
  <si>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</si>
  <si>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</si>
  <si>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</si>
  <si>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</si>
  <si>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</si>
  <si>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</si>
  <si>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</si>
  <si>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</si>
  <si>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</si>
  <si>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</si>
  <si>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</si>
  <si>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</si>
  <si>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</si>
  <si>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</si>
  <si>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</si>
  <si>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</si>
  <si>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</si>
  <si>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</si>
  <si>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</si>
  <si>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</si>
  <si>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</si>
  <si>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</si>
  <si>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</si>
  <si>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</si>
  <si>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</si>
  <si>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</si>
  <si>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</si>
  <si>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</si>
  <si>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</si>
  <si>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</si>
  <si>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</si>
  <si>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</si>
  <si>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</si>
  <si>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</si>
  <si>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</si>
  <si>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</si>
  <si>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</si>
  <si>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</si>
  <si>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</si>
  <si>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</si>
  <si>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</si>
  <si>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</si>
  <si>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</si>
  <si>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</si>
  <si>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</si>
  <si>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</si>
  <si>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</si>
  <si>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</si>
  <si>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</si>
  <si>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</si>
  <si>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</si>
  <si>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</si>
  <si>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</si>
  <si>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</si>
  <si>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</si>
  <si>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</si>
  <si>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</si>
  <si>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</si>
  <si>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</si>
  <si>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</si>
  <si>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</si>
  <si>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</si>
  <si>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</si>
  <si>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</si>
  <si>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</si>
  <si>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</si>
  <si>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</si>
  <si>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</si>
  <si>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</si>
  <si>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</si>
  <si>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</si>
  <si>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</si>
  <si>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</si>
  <si>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</si>
  <si>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</si>
  <si>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</si>
  <si>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</si>
  <si>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</si>
  <si>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</si>
  <si>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</si>
  <si>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</si>
  <si>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</si>
  <si>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</si>
  <si>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</si>
  <si>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</si>
  <si>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</si>
  <si>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</si>
  <si>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</si>
  <si>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</si>
  <si>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</si>
  <si>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</si>
  <si>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</si>
  <si>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</si>
  <si>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</si>
  <si>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</si>
  <si>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</si>
  <si>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</si>
  <si>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</si>
  <si>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</si>
  <si>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</si>
  <si>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</si>
  <si>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</si>
  <si>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</si>
  <si>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</si>
  <si>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</si>
  <si>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</si>
  <si>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</si>
  <si>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</si>
  <si>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</si>
  <si>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</si>
  <si>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</si>
  <si>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</si>
  <si>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</si>
  <si>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</si>
  <si>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</si>
  <si>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</si>
  <si>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</si>
  <si>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</si>
  <si>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</si>
  <si>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</si>
  <si>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</si>
  <si>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</si>
  <si>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</si>
  <si>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</si>
  <si>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</si>
  <si>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</si>
  <si>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</si>
  <si>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</si>
  <si>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</si>
  <si>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</si>
  <si>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</si>
  <si>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</si>
  <si>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</si>
  <si>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</si>
  <si>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</si>
  <si>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</si>
  <si>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</si>
  <si>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</si>
  <si>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</si>
  <si>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</si>
  <si>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</si>
  <si>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</si>
  <si>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</si>
  <si>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</si>
  <si>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</si>
  <si>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</si>
  <si>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</si>
  <si>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</si>
  <si>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</si>
  <si>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</si>
  <si>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</si>
  <si>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</si>
  <si>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</si>
  <si>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</si>
  <si>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</si>
  <si>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</si>
  <si>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</si>
  <si>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</si>
  <si>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</si>
  <si>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</si>
  <si>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</si>
  <si>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</si>
  <si>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</si>
  <si>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</si>
  <si>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</si>
  <si>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</si>
  <si>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</si>
  <si>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</si>
  <si>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</si>
  <si>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</si>
  <si>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</si>
  <si>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</si>
  <si>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</si>
  <si>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</si>
  <si>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</si>
  <si>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</si>
  <si>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</si>
  <si>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</si>
  <si>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</si>
  <si>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</si>
  <si>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</si>
  <si>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</si>
  <si>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</si>
  <si>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</si>
  <si>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</si>
  <si>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</si>
  <si>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</si>
  <si>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</si>
  <si>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</si>
  <si>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</si>
  <si>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</si>
  <si>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</si>
  <si>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</si>
  <si>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</si>
  <si>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</si>
  <si>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</si>
  <si>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</si>
  <si>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</si>
  <si>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</si>
  <si>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</si>
  <si>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</si>
  <si>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</si>
  <si>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</si>
  <si>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</si>
  <si>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</si>
  <si>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</si>
  <si>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</si>
  <si>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</si>
  <si>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</si>
  <si>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</si>
  <si>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</si>
  <si>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</si>
  <si>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</si>
  <si>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</si>
  <si>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</si>
  <si>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</si>
  <si>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</si>
  <si>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</si>
  <si>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</si>
  <si>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</si>
  <si>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</si>
  <si>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</si>
  <si>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</si>
  <si>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</si>
  <si>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</si>
  <si>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</si>
  <si>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</si>
  <si>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</si>
  <si>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</si>
  <si>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</si>
  <si>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</si>
  <si>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</si>
  <si>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</si>
  <si>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</si>
  <si>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</si>
  <si>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</si>
  <si>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</si>
  <si>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</si>
  <si>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</si>
  <si>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</si>
  <si>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</si>
  <si>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</si>
  <si>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</si>
  <si>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</si>
  <si>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</si>
  <si>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</si>
  <si>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</si>
  <si>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</si>
  <si>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</si>
  <si>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</si>
  <si>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</si>
  <si>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</si>
  <si>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</si>
  <si>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</si>
  <si>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</si>
  <si>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</si>
  <si>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</si>
  <si>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</si>
  <si>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</si>
  <si>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</si>
  <si>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</si>
  <si>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</si>
  <si>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</si>
  <si>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</si>
  <si>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</si>
  <si>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</si>
  <si>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</si>
  <si>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</si>
  <si>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</si>
  <si>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</si>
  <si>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</si>
  <si>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</si>
  <si>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</si>
  <si>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</si>
  <si>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</si>
  <si>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</si>
  <si>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</si>
  <si>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</si>
  <si>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</si>
  <si>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</si>
  <si>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</si>
  <si>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</si>
  <si>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</si>
  <si>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</si>
  <si>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</si>
  <si>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</si>
  <si>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</si>
  <si>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</si>
  <si>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</si>
  <si>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</si>
  <si>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</si>
  <si>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</si>
  <si>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</si>
  <si>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</si>
  <si>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</si>
  <si>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</si>
  <si>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</si>
  <si>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</si>
  <si>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</si>
  <si>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</si>
  <si>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</si>
  <si>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</si>
  <si>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</si>
  <si>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</si>
  <si>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</si>
  <si>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</si>
  <si>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</si>
  <si>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</si>
  <si>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</si>
  <si>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</si>
  <si>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</si>
  <si>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</si>
  <si>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</si>
  <si>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</si>
  <si>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</si>
  <si>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</si>
  <si>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</si>
  <si>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</si>
  <si>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</si>
  <si>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</si>
  <si>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</si>
  <si>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</si>
  <si>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</si>
  <si>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</si>
  <si>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</si>
  <si>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</si>
  <si>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</si>
  <si>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</si>
  <si>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</si>
  <si>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</si>
  <si>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</si>
  <si>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</si>
  <si>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</si>
  <si>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</si>
  <si>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</si>
  <si>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</si>
  <si>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</si>
  <si>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</si>
  <si>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</si>
  <si>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</si>
  <si>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</si>
  <si>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</si>
  <si>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</si>
  <si>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</si>
  <si>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</si>
  <si>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</si>
  <si>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</si>
  <si>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</si>
  <si>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</si>
  <si>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</si>
  <si>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</si>
  <si>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</si>
  <si>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</si>
  <si>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</si>
  <si>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</si>
  <si>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</si>
  <si>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</si>
  <si>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</si>
  <si>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</si>
  <si>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</si>
  <si>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</si>
  <si>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</si>
  <si>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</si>
  <si>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</si>
  <si>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</si>
  <si>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</si>
  <si>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</si>
  <si>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</si>
  <si>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</si>
  <si>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</si>
  <si>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</si>
  <si>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</si>
  <si>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</si>
  <si>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</si>
  <si>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</si>
  <si>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</si>
  <si>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</si>
  <si>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</si>
  <si>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</si>
  <si>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</si>
  <si>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</si>
  <si>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</si>
  <si>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</si>
  <si>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</si>
  <si>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</si>
  <si>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</si>
  <si>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</si>
  <si>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</si>
  <si>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</si>
  <si>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</si>
  <si>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</si>
  <si>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</si>
  <si>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</si>
  <si>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</si>
  <si>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</si>
  <si>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</si>
  <si>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</si>
  <si>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</si>
  <si>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</si>
  <si>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</si>
  <si>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</si>
  <si>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</si>
  <si>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</si>
  <si>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</si>
  <si>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</si>
  <si>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</si>
  <si>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</si>
  <si>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</si>
  <si>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</si>
  <si>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</si>
  <si>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</si>
  <si>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</si>
  <si>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</si>
  <si>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</si>
  <si>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</si>
  <si>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</si>
  <si>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</si>
  <si>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</si>
  <si>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</si>
  <si>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</si>
  <si>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</si>
  <si>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</si>
  <si>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</si>
  <si>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</si>
  <si>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</si>
  <si>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</si>
  <si>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</si>
  <si>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</si>
  <si>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</si>
  <si>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</si>
  <si>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</si>
  <si>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</si>
  <si>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</si>
  <si>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</si>
  <si>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</si>
  <si>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</si>
  <si>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</si>
  <si>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</si>
  <si>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</si>
  <si>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</si>
  <si>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</si>
  <si>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</si>
  <si>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</si>
  <si>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</si>
  <si>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</si>
  <si>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</si>
  <si>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</si>
  <si>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</si>
  <si>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</si>
  <si>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</si>
  <si>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</si>
  <si>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</si>
  <si>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</si>
  <si>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</si>
  <si>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</si>
  <si>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</si>
  <si>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</si>
  <si>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</si>
  <si>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</si>
  <si>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</si>
  <si>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</si>
  <si>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</si>
  <si>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</si>
  <si>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</si>
  <si>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</si>
  <si>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</si>
  <si>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</si>
  <si>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</si>
  <si>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</si>
  <si>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</si>
  <si>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</si>
  <si>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</si>
  <si>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</si>
  <si>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</si>
  <si>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</si>
  <si>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</si>
  <si>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</si>
  <si>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</si>
  <si>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</si>
  <si>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</si>
  <si>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</si>
  <si>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</si>
  <si>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</si>
  <si>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</si>
  <si>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</si>
  <si>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</si>
  <si>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</si>
  <si>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</si>
  <si>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</si>
  <si>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</si>
  <si>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</si>
  <si>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</si>
  <si>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</si>
  <si>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</si>
  <si>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</si>
  <si>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</si>
  <si>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</si>
  <si>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</si>
  <si>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</si>
  <si>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</si>
  <si>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</si>
  <si>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</si>
  <si>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</si>
  <si>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</si>
  <si>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</si>
  <si>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</si>
  <si>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</si>
  <si>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</si>
  <si>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</si>
  <si>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</si>
  <si>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</si>
  <si>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</si>
  <si>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</si>
  <si>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</si>
  <si>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</si>
  <si>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</si>
  <si>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</si>
  <si>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</si>
  <si>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</si>
  <si>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</si>
  <si>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</si>
  <si>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</si>
  <si>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</si>
  <si>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</si>
  <si>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</si>
  <si>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</si>
  <si>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</si>
  <si>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</si>
  <si>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</si>
  <si>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</si>
  <si>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</si>
  <si>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</si>
  <si>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</si>
  <si>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</si>
  <si>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</si>
  <si>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</si>
  <si>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</si>
  <si>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</si>
  <si>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</si>
  <si>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</si>
  <si>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</si>
  <si>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</si>
  <si>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</si>
  <si>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</si>
  <si>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</si>
  <si>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</si>
  <si>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</si>
  <si>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</si>
  <si>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</si>
  <si>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</si>
  <si>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</si>
  <si>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</si>
  <si>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</si>
  <si>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</si>
  <si>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</si>
  <si>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</si>
  <si>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</si>
  <si>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</si>
  <si>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</si>
  <si>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</si>
  <si>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</si>
  <si>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</si>
  <si>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</si>
  <si>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</si>
  <si>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</si>
  <si>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</si>
  <si>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</si>
  <si>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</si>
  <si>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</si>
  <si>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</si>
  <si>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</si>
  <si>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</si>
  <si>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</si>
  <si>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</si>
  <si>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</si>
  <si>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</si>
  <si>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</si>
  <si>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</si>
  <si>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</si>
  <si>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</si>
  <si>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</si>
  <si>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</si>
  <si>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</si>
  <si>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</si>
  <si>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</si>
  <si>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</si>
  <si>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</si>
  <si>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</si>
  <si>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</si>
  <si>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</si>
  <si>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</si>
  <si>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</si>
  <si>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</si>
  <si>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</si>
  <si>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</si>
  <si>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</si>
  <si>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</si>
  <si>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</si>
  <si>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</si>
  <si>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</si>
  <si>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</si>
  <si>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</si>
  <si>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</si>
  <si>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</si>
  <si>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</si>
  <si>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</si>
  <si>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</si>
  <si>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</si>
  <si>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</si>
  <si>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</si>
  <si>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</si>
  <si>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</si>
  <si>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</si>
  <si>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</si>
  <si>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</si>
  <si>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</si>
  <si>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</si>
  <si>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</si>
  <si>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</si>
  <si>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</si>
  <si>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</si>
  <si>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</si>
  <si>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</si>
  <si>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</si>
  <si>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</si>
  <si>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</si>
  <si>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</si>
  <si>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</si>
  <si>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</si>
  <si>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</si>
  <si>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</si>
  <si>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</si>
  <si>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</si>
  <si>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</si>
  <si>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</si>
  <si>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</si>
  <si>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</si>
  <si>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</si>
  <si>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</si>
  <si>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</si>
  <si>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</si>
  <si>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</si>
  <si>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</si>
  <si>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</si>
  <si>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</si>
  <si>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</si>
  <si>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</si>
  <si>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</si>
  <si>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</si>
  <si>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</si>
  <si>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</si>
  <si>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</si>
  <si>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</si>
  <si>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</si>
  <si>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</si>
  <si>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</si>
  <si>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</si>
  <si>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</si>
  <si>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</si>
  <si>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</si>
  <si>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</si>
  <si>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</si>
  <si>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</si>
  <si>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</si>
  <si>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</si>
  <si>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</si>
  <si>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</si>
  <si>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</si>
  <si>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</si>
  <si>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</si>
  <si>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</si>
  <si>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</si>
  <si>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</si>
  <si>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</si>
  <si>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</si>
  <si>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</si>
  <si>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</si>
  <si>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</si>
  <si>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</si>
  <si>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</si>
  <si>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</si>
  <si>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</si>
  <si>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</si>
  <si>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</si>
  <si>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</si>
  <si>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</si>
  <si>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</si>
  <si>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</si>
  <si>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</si>
  <si>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</si>
  <si>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</si>
  <si>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</si>
  <si>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</si>
  <si>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</si>
  <si>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</si>
  <si>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</si>
  <si>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</si>
  <si>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</si>
  <si>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</si>
  <si>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</si>
  <si>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</si>
  <si>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</si>
  <si>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</si>
  <si>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</si>
  <si>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</si>
  <si>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</si>
  <si>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</si>
  <si>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</si>
  <si>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</si>
  <si>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</si>
  <si>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</si>
  <si>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</si>
  <si>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</si>
  <si>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</si>
  <si>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</si>
  <si>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</si>
  <si>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</si>
  <si>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</si>
  <si>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</si>
  <si>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</si>
  <si>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</si>
  <si>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</si>
  <si>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</si>
  <si>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</si>
  <si>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</si>
  <si>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</si>
  <si>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</si>
  <si>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</si>
  <si>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</si>
  <si>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</si>
  <si>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</si>
  <si>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</si>
  <si>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</si>
  <si>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</si>
  <si>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</si>
  <si>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</si>
  <si>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</si>
  <si>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</si>
  <si>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</si>
  <si>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</si>
  <si>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</si>
  <si>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</si>
  <si>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</si>
  <si>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</si>
  <si>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</si>
  <si>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</si>
  <si>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</si>
  <si>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</si>
  <si>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</si>
  <si>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</si>
  <si>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</si>
  <si>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</si>
  <si>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</si>
  <si>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</si>
  <si>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</si>
  <si>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</si>
  <si>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</si>
  <si>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</si>
  <si>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</si>
  <si>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</si>
  <si>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</si>
  <si>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</si>
  <si>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</si>
  <si>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</si>
  <si>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</si>
  <si>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</si>
  <si>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</si>
  <si>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</si>
  <si>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</si>
  <si>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</si>
  <si>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</si>
  <si>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</si>
  <si>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</si>
  <si>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</si>
  <si>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</si>
  <si>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</si>
  <si>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</si>
  <si>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</si>
  <si>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</si>
  <si>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</si>
  <si>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</si>
  <si>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</si>
  <si>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</si>
  <si>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</si>
  <si>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</si>
  <si>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</si>
  <si>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</si>
  <si>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</si>
  <si>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</si>
  <si>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</si>
  <si>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</si>
  <si>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</si>
  <si>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</si>
  <si>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</si>
  <si>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</si>
  <si>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</si>
  <si>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</si>
  <si>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</si>
  <si>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</si>
  <si>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</si>
  <si>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</si>
  <si>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</si>
  <si>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</si>
  <si>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</si>
  <si>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</si>
  <si>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</si>
  <si>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</si>
  <si>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</si>
  <si>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</si>
  <si>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</si>
  <si>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</si>
  <si>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</si>
  <si>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</si>
  <si>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</si>
  <si>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</si>
  <si>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</si>
  <si>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</si>
  <si>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</si>
  <si>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</si>
  <si>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</si>
  <si>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</si>
  <si>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</si>
  <si>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</si>
  <si>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</si>
  <si>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</si>
  <si>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</si>
  <si>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</si>
  <si>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</si>
  <si>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</si>
  <si>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</si>
  <si>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</si>
  <si>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</si>
  <si>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</si>
  <si>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</si>
  <si>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</si>
  <si>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</si>
  <si>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</si>
  <si>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</si>
  <si>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</si>
  <si>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</si>
  <si>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</si>
  <si>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</si>
  <si>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</si>
  <si>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</si>
  <si>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</si>
  <si>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</si>
  <si>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</si>
  <si>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</si>
  <si>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</si>
  <si>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</si>
  <si>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</si>
  <si>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</si>
  <si>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</si>
  <si>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</si>
  <si>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</si>
  <si>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</si>
  <si>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</si>
  <si>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</si>
  <si>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</si>
  <si>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</si>
  <si>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</si>
  <si>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</si>
  <si>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</si>
  <si>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</si>
  <si>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</si>
  <si>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</si>
  <si>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</si>
  <si>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</si>
  <si>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</si>
  <si>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</si>
  <si>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</si>
  <si>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</si>
  <si>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</si>
  <si>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</si>
  <si>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</si>
  <si>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</si>
  <si>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</si>
  <si>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</si>
  <si>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</si>
  <si>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</si>
  <si>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</si>
  <si>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</si>
  <si>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</si>
  <si>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</si>
  <si>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</si>
  <si>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</si>
  <si>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</si>
  <si>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</si>
  <si>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</si>
  <si>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</si>
  <si>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</si>
  <si>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</si>
  <si>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</si>
  <si>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</si>
  <si>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</si>
  <si>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</si>
  <si>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</si>
  <si>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</si>
  <si>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</si>
  <si>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</si>
  <si>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</si>
  <si>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</si>
  <si>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</si>
  <si>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</si>
  <si>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</si>
  <si>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</si>
  <si>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</si>
  <si>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</si>
  <si>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</si>
  <si>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</si>
  <si>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</si>
  <si>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</si>
  <si>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</si>
  <si>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</si>
  <si>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</si>
  <si>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</si>
  <si>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</si>
  <si>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</si>
  <si>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</si>
  <si>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</si>
  <si>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</si>
  <si>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</si>
  <si>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</si>
  <si>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</si>
  <si>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</si>
  <si>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</si>
  <si>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</si>
  <si>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</si>
  <si>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</si>
  <si>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</si>
  <si>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</si>
  <si>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</si>
  <si>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</si>
  <si>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</si>
  <si>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</si>
  <si>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</si>
  <si>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</si>
  <si>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</si>
  <si>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</si>
  <si>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</si>
  <si>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</si>
  <si>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</si>
  <si>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</si>
  <si>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</si>
  <si>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</si>
  <si>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</si>
  <si>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</si>
  <si>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</si>
  <si>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</si>
  <si>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</si>
  <si>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</si>
  <si>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</si>
  <si>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</si>
  <si>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</si>
  <si>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</si>
  <si>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</si>
  <si>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</si>
  <si>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</si>
  <si>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</si>
  <si>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</si>
  <si>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</si>
  <si>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</si>
  <si>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</si>
  <si>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</si>
  <si>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</si>
  <si>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</si>
  <si>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</si>
  <si>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</si>
  <si>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</si>
  <si>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</si>
  <si>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</si>
  <si>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</si>
  <si>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</si>
  <si>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</si>
  <si>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</si>
  <si>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</si>
  <si>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</si>
  <si>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</si>
  <si>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</si>
  <si>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</si>
  <si>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</si>
  <si>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</si>
  <si>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</si>
  <si>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</si>
  <si>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</si>
  <si>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</si>
  <si>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</si>
  <si>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</si>
  <si>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</si>
  <si>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</si>
  <si>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</si>
  <si>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</si>
  <si>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</si>
  <si>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</si>
  <si>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</si>
  <si>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</si>
  <si>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</si>
  <si>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</si>
  <si>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</si>
  <si>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</si>
  <si>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</si>
  <si>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</si>
  <si>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</si>
  <si>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</si>
  <si>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</si>
  <si>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</si>
  <si>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</si>
  <si>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</si>
  <si>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</si>
  <si>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</si>
  <si>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</si>
  <si>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</si>
  <si>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</si>
  <si>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</si>
  <si>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</si>
  <si>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</si>
  <si>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</si>
  <si>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</si>
  <si>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</si>
  <si>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</si>
  <si>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</si>
  <si>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</si>
  <si>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</si>
  <si>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</si>
  <si>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</si>
  <si>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</si>
  <si>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</si>
  <si>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</si>
  <si>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</si>
  <si>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</si>
  <si>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</si>
  <si>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</si>
  <si>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</si>
  <si>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</si>
  <si>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</si>
  <si>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</si>
  <si>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</si>
  <si>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</si>
  <si>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</si>
  <si>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</si>
  <si>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</si>
  <si>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</si>
  <si>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</si>
  <si>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</si>
  <si>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</si>
  <si>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</si>
  <si>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</si>
  <si>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</si>
  <si>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</si>
  <si>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</si>
  <si>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</si>
  <si>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</si>
  <si>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</si>
  <si>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</si>
  <si>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</si>
  <si>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</si>
  <si>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</si>
  <si>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</si>
  <si>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</si>
  <si>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</si>
  <si>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</si>
  <si>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</si>
  <si>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</si>
  <si>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</si>
  <si>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</si>
  <si>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</si>
  <si>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</si>
  <si>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</si>
  <si>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</si>
  <si>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</si>
  <si>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</si>
  <si>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</si>
  <si>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</si>
  <si>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</si>
  <si>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</si>
  <si>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</si>
  <si>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</si>
  <si>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</si>
  <si>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</si>
  <si>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</si>
  <si>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</si>
  <si>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</si>
  <si>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</si>
  <si>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</si>
  <si>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</si>
  <si>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</si>
  <si>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</si>
  <si>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</si>
  <si>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</si>
  <si>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</si>
  <si>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</si>
  <si>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</si>
  <si>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</si>
  <si>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</si>
  <si>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</si>
  <si>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</si>
  <si>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</si>
  <si>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</si>
  <si>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</si>
  <si>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</si>
  <si>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</si>
  <si>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</si>
  <si>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</si>
  <si>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</si>
  <si>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</si>
  <si>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</si>
  <si>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</si>
  <si>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</si>
  <si>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</si>
  <si>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</si>
  <si>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</si>
  <si>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</si>
  <si>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</si>
  <si>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</si>
  <si>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</si>
  <si>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</si>
  <si>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</si>
  <si>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</si>
  <si>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</si>
  <si>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</si>
  <si>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</si>
  <si>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</si>
  <si>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</si>
  <si>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</si>
  <si>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</si>
  <si>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</si>
  <si>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</si>
  <si>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</si>
  <si>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</si>
  <si>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</si>
  <si>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</si>
  <si>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</si>
  <si>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</si>
  <si>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</si>
  <si>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</si>
  <si>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</si>
  <si>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</si>
  <si>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</si>
  <si>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</si>
  <si>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</si>
  <si>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</si>
  <si>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</si>
  <si>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</si>
  <si>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</si>
  <si>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</si>
  <si>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</si>
  <si>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</si>
  <si>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</si>
  <si>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</si>
  <si>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</si>
  <si>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</si>
  <si>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</si>
  <si>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</si>
  <si>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</si>
  <si>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</si>
  <si>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</si>
  <si>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</si>
  <si>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</si>
  <si>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</si>
  <si>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</si>
  <si>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</si>
  <si>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</si>
  <si>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</si>
  <si>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</si>
  <si>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</si>
  <si>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</si>
  <si>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</si>
  <si>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</si>
  <si>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</si>
  <si>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</si>
  <si>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</si>
  <si>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</si>
  <si>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</si>
  <si>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</si>
  <si>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</si>
  <si>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</si>
  <si>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</si>
  <si>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</si>
  <si>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</si>
  <si>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</si>
  <si>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</si>
  <si>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</si>
  <si>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</si>
  <si>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</si>
  <si>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</si>
  <si>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</si>
  <si>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</si>
  <si>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</si>
  <si>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</si>
  <si>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</si>
  <si>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</si>
  <si>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</si>
  <si>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</si>
  <si>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</si>
  <si>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</si>
  <si>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</si>
  <si>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</si>
  <si>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</si>
  <si>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</si>
  <si>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</si>
  <si>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</si>
  <si>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</si>
  <si>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</si>
  <si>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</si>
  <si>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</si>
  <si>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</si>
  <si>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</si>
  <si>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</si>
  <si>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</si>
  <si>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</si>
  <si>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</si>
  <si>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</si>
  <si>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</si>
  <si>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</si>
  <si>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</si>
  <si>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</si>
  <si>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</si>
  <si>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</si>
  <si>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</si>
  <si>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</si>
  <si>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</si>
  <si>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</si>
  <si>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</si>
  <si>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</si>
  <si>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</si>
  <si>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</si>
  <si>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</si>
  <si>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</si>
  <si>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</si>
  <si>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</si>
  <si>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</si>
  <si>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</si>
  <si>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</si>
  <si>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</si>
  <si>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</si>
  <si>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</si>
  <si>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</si>
  <si>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</si>
  <si>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</si>
  <si>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</si>
  <si>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</si>
  <si>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</si>
  <si>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</si>
  <si>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</si>
  <si>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</si>
  <si>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</si>
  <si>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</si>
  <si>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</si>
  <si>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</si>
  <si>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</si>
  <si>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</si>
  <si>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</si>
  <si>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</si>
  <si>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</si>
  <si>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</si>
  <si>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</si>
  <si>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</si>
  <si>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</si>
  <si>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</si>
  <si>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</si>
  <si>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</si>
  <si>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</si>
  <si>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</si>
  <si>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</si>
  <si>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</si>
  <si>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</si>
  <si>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</si>
  <si>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</si>
  <si>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</si>
  <si>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</si>
  <si>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</si>
  <si>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</si>
  <si>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</si>
  <si>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</si>
  <si>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</si>
  <si>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</si>
  <si>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</si>
  <si>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</si>
  <si>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</si>
  <si>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</si>
  <si>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</si>
  <si>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</si>
  <si>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</si>
  <si>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</si>
  <si>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</si>
  <si>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</si>
  <si>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</si>
  <si>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</si>
  <si>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</si>
  <si>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</si>
  <si>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</si>
  <si>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</si>
  <si>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</si>
  <si>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</si>
  <si>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</si>
  <si>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</si>
  <si>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</si>
  <si>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</si>
  <si>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</si>
  <si>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</si>
  <si>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</si>
  <si>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</si>
  <si>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</si>
  <si>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</si>
  <si>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</si>
  <si>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</si>
  <si>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</si>
  <si>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</si>
  <si>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</si>
  <si>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</si>
  <si>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</si>
  <si>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</si>
  <si>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</si>
  <si>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</si>
  <si>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</si>
  <si>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</si>
  <si>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</si>
  <si>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</si>
  <si>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</si>
  <si>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</si>
  <si>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</si>
  <si>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</si>
  <si>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</si>
  <si>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</si>
  <si>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</si>
  <si>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</si>
  <si>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</si>
  <si>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</si>
  <si>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</si>
  <si>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</si>
  <si>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</si>
  <si>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</si>
  <si>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</si>
  <si>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</si>
  <si>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</si>
  <si>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</si>
  <si>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</si>
  <si>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</si>
  <si>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</si>
  <si>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</si>
  <si>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</si>
  <si>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</si>
  <si>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</si>
  <si>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</si>
  <si>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</si>
  <si>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</si>
  <si>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</si>
  <si>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</si>
  <si>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</si>
  <si>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</si>
  <si>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</si>
  <si>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</si>
  <si>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</si>
  <si>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</si>
  <si>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</si>
  <si>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</si>
  <si>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</si>
  <si>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</si>
  <si>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</si>
  <si>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</si>
  <si>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</si>
  <si>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</si>
  <si>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</si>
  <si>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</si>
  <si>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</si>
  <si>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</si>
  <si>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</si>
  <si>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</si>
  <si>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</si>
  <si>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</si>
  <si>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</si>
  <si>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</si>
  <si>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</si>
  <si>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</si>
  <si>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</si>
  <si>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</si>
  <si>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</si>
  <si>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</si>
  <si>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</si>
  <si>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</si>
  <si>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</si>
  <si>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</si>
  <si>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</si>
  <si>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</si>
  <si>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</si>
  <si>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</si>
  <si>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</si>
  <si>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</si>
  <si>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</si>
  <si>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</si>
  <si>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</si>
  <si>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</si>
  <si>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</si>
  <si>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</si>
  <si>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</si>
  <si>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</si>
  <si>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</si>
  <si>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</si>
  <si>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</si>
  <si>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</si>
  <si>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</si>
  <si>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</si>
  <si>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</si>
  <si>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</si>
  <si>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</si>
  <si>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</si>
  <si>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</si>
  <si>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</si>
  <si>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</si>
  <si>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</si>
  <si>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</si>
  <si>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</si>
  <si>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</si>
  <si>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</si>
  <si>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</si>
  <si>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</si>
  <si>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</si>
  <si>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</si>
  <si>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</si>
  <si>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</si>
  <si>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</si>
  <si>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</si>
  <si>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</si>
  <si>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</si>
  <si>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</si>
  <si>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</si>
  <si>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</si>
  <si>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</si>
  <si>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</si>
  <si>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</si>
  <si>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</si>
  <si>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</si>
  <si>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</si>
  <si>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</si>
  <si>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</si>
  <si>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</si>
  <si>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</si>
  <si>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</si>
  <si>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</si>
  <si>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</si>
  <si>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</si>
  <si>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</si>
  <si>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</si>
  <si>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</si>
  <si>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</si>
  <si>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</si>
  <si>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</si>
  <si>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</si>
  <si>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</si>
  <si>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</si>
  <si>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</si>
  <si>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</si>
  <si>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</si>
  <si>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</si>
  <si>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</si>
  <si>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</si>
  <si>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</si>
  <si>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</si>
  <si>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</si>
  <si>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</si>
  <si>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</si>
  <si>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</si>
  <si>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</si>
  <si>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</si>
  <si>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</si>
  <si>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</si>
  <si>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</si>
  <si>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</si>
  <si>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</si>
  <si>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</si>
  <si>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</si>
  <si>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</si>
  <si>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</si>
  <si>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</si>
  <si>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</si>
  <si>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</si>
  <si>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</si>
  <si>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</si>
  <si>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</si>
  <si>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</si>
  <si>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</si>
  <si>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</si>
  <si>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</si>
  <si>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</si>
  <si>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</si>
  <si>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</si>
  <si>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</si>
  <si>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</si>
  <si>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</si>
  <si>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</si>
  <si>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</si>
  <si>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</si>
  <si>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</si>
  <si>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</si>
  <si>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</si>
  <si>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</si>
  <si>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</si>
  <si>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</si>
  <si>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</si>
  <si>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</si>
  <si>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</si>
  <si>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</si>
  <si>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</si>
  <si>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</si>
  <si>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</si>
  <si>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</si>
  <si>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</si>
  <si>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</si>
  <si>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</si>
  <si>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</si>
  <si>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</si>
  <si>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</si>
  <si>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</si>
  <si>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</si>
  <si>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</si>
  <si>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</si>
  <si>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</si>
  <si>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</si>
  <si>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</si>
  <si>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</si>
  <si>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</si>
  <si>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</si>
  <si>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</si>
  <si>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</si>
  <si>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</si>
  <si>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</si>
  <si>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</si>
  <si>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</si>
  <si>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</si>
  <si>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</si>
  <si>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</si>
  <si>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</si>
  <si>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</si>
  <si>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</si>
  <si>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</si>
  <si>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</si>
  <si>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</si>
  <si>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</si>
  <si>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</si>
  <si>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</si>
  <si>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</si>
  <si>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</si>
  <si>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</si>
  <si>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</si>
  <si>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</si>
  <si>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</si>
  <si>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</si>
  <si>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</si>
  <si>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</si>
  <si>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</si>
  <si>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</si>
  <si>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</si>
  <si>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</si>
  <si>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</si>
  <si>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</si>
  <si>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</si>
  <si>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</si>
  <si>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</si>
  <si>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</si>
  <si>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</si>
  <si>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</si>
  <si>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</si>
  <si>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</si>
  <si>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</si>
  <si>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</si>
  <si>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</si>
  <si>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</si>
  <si>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</si>
  <si>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</si>
  <si>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</si>
  <si>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</si>
  <si>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</si>
  <si>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</si>
  <si>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</si>
  <si>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</si>
  <si>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</si>
  <si>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</si>
  <si>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</si>
  <si>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</si>
  <si>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</si>
  <si>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</si>
  <si>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</si>
  <si>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</si>
  <si>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</si>
  <si>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</si>
  <si>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</si>
  <si>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</si>
  <si>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</si>
  <si>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</si>
  <si>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</si>
  <si>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</si>
  <si>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</si>
  <si>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</si>
  <si>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</si>
  <si>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</si>
  <si>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</si>
  <si>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</si>
  <si>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</si>
  <si>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</si>
  <si>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07/22</t>
  </si>
  <si>
    <t>08/42</t>
  </si>
  <si>
    <t>08/07</t>
  </si>
  <si>
    <t>08/27</t>
  </si>
  <si>
    <t>Prior year receivables not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</si>
</sst>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106" zoomScaleNormal="106"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1313</v>
      </c>
      <c r="B2">
        <f>INDEX('School Tables'!$AH$3:$AH$209,MATCH('DOE25'!A2,'School Tables'!$AJ$3:$AJ$209,0))</f>
        <v>401</v>
      </c>
      <c r="C2">
        <f>INDEX('School Tables'!$AI$3:$AI$209,MATCH('DOE25'!A2,'School Tables'!$AJ$3:$AJ$209,0))</f>
        <v>401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553009.37</v>
      </c>
      <c r="G9" s="18">
        <v>200</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1528128.15</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v>1431012.25</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v>440167.6</v>
      </c>
      <c r="I13" s="18">
        <v>8702</v>
      </c>
      <c r="J13" s="13">
        <f>SUM(I443)</f>
        <v>330558</v>
      </c>
      <c r="K13" s="23" t="s">
        <v>288</v>
      </c>
      <c r="L13" s="23" t="s">
        <v>288</v>
      </c>
      <c r="M13" s="8"/>
      <c r="N13" s="165"/>
    </row>
    <row r="14" spans="1:14" s="3" customFormat="1" ht="12.2" customHeight="1" x14ac:dyDescent="0.15">
      <c r="A14" s="1" t="s">
        <v>565</v>
      </c>
      <c r="B14" s="2" t="s">
        <v>289</v>
      </c>
      <c r="C14" s="6">
        <v>6</v>
      </c>
      <c r="D14" s="2" t="s">
        <v>428</v>
      </c>
      <c r="E14" s="6">
        <v>150</v>
      </c>
      <c r="F14" s="18">
        <v>186274.3</v>
      </c>
      <c r="G14" s="18">
        <v>55317.77</v>
      </c>
      <c r="H14" s="18">
        <v>8854</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17228.2</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2267411.8199999998</v>
      </c>
      <c r="G19" s="38">
        <f>SUM(G9:G18)</f>
        <v>72745.97</v>
      </c>
      <c r="H19" s="38">
        <f>SUM(H9:H18)</f>
        <v>449021.6</v>
      </c>
      <c r="I19" s="38">
        <f>SUM(I9:I18)</f>
        <v>1439714.25</v>
      </c>
      <c r="J19" s="38">
        <f>SUM(J9:J18)</f>
        <v>330558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1052606.54</v>
      </c>
      <c r="G22" s="18">
        <v>4504.71</v>
      </c>
      <c r="H22" s="18">
        <v>373881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914619.33</f>
        <v>914619.33</v>
      </c>
      <c r="G24" s="18">
        <v>19752.55</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47019.86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f>26357.79+4902.72</f>
        <v>31260.510000000002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2014245.7300000002</v>
      </c>
      <c r="G32" s="38">
        <f>SUM(G22:G31)</f>
        <v>55517.770000000004</v>
      </c>
      <c r="H32" s="38">
        <f>SUM(H22:H31)</f>
        <v>373881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17228.2</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0</v>
      </c>
      <c r="H48" s="18">
        <v>75140.600000000006</v>
      </c>
      <c r="I48" s="18">
        <v>1439714.25</v>
      </c>
      <c r="J48" s="13">
        <f>SUM(I460)</f>
        <v>330558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253166.09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253166.09</v>
      </c>
      <c r="G51" s="38">
        <f>SUM(G35:G50)</f>
        <v>17228.2</v>
      </c>
      <c r="H51" s="38">
        <f>SUM(H35:H50)</f>
        <v>75140.600000000006</v>
      </c>
      <c r="I51" s="38">
        <f>SUM(I35:I50)</f>
        <v>1439714.25</v>
      </c>
      <c r="J51" s="38">
        <f>SUM(J35:J50)</f>
        <v>330558</v>
      </c>
      <c r="K51" s="42" t="s">
        <v>288</v>
      </c>
      <c r="L51" s="42" t="s">
        <v>288</v>
      </c>
      <c r="N51" s="131"/>
    </row>
    <row r="52" spans="1:14" s="3" customFormat="1" ht="12.2" customHeight="1" thickTop="1" x14ac:dyDescent="0.15">
      <c r="A52" s="35" t="s">
        <v>455</v>
      </c>
      <c r="B52" s="36" t="s">
        <v>289</v>
      </c>
      <c r="C52" s="6">
        <v>37</v>
      </c>
      <c r="D52" s="36" t="s">
        <v>653</v>
      </c>
      <c r="E52" s="36"/>
      <c r="F52" s="38">
        <f>F51+F32</f>
        <v>2267411.8200000003</v>
      </c>
      <c r="G52" s="38">
        <f>G51+G32</f>
        <v>72745.97</v>
      </c>
      <c r="H52" s="38">
        <f>H51+H32</f>
        <v>449021.6</v>
      </c>
      <c r="I52" s="38">
        <f>I51+I32</f>
        <v>1439714.25</v>
      </c>
      <c r="J52" s="38">
        <f>J51+J32</f>
        <v>330558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8160040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8160040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19788</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43275</v>
      </c>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1196714.58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53362.2</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1313139.78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1797.86</v>
      </c>
      <c r="G96" s="18"/>
      <c r="H96" s="18"/>
      <c r="I96" s="18">
        <v>68128.149999999994</v>
      </c>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86411.27</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46956.66</v>
      </c>
      <c r="I102" s="18">
        <v>43931.6</v>
      </c>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48676.480000000003</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2649.88</v>
      </c>
      <c r="G110" s="18">
        <v>23062.84</v>
      </c>
      <c r="H110" s="18">
        <f>38265.77-6079.79-28952.22</f>
        <v>3233.7599999999948</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53124.22</v>
      </c>
      <c r="G111" s="38">
        <f>SUM(G96:G110)</f>
        <v>109474.11</v>
      </c>
      <c r="H111" s="38">
        <f>SUM(H96:H110)</f>
        <v>50190.42</v>
      </c>
      <c r="I111" s="38">
        <f>SUM(I96:I110)</f>
        <v>112059.75</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9526304</v>
      </c>
      <c r="G112" s="38">
        <f>G60+G111</f>
        <v>109474.11</v>
      </c>
      <c r="H112" s="38">
        <f>H60+H79+H94+H111</f>
        <v>50190.42</v>
      </c>
      <c r="I112" s="38">
        <f>I60+I111</f>
        <v>112059.75</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7406322.7199999997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605418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91048.320000000007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8102789.04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336744.38</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119908.48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99795.01</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1883.79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556447.87</v>
      </c>
      <c r="G136" s="38">
        <f>SUM(G123:G135)</f>
        <v>1883.79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8659236.9100000001</v>
      </c>
      <c r="G140" s="38">
        <f>G121+SUM(G136:G137)</f>
        <v>1883.79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19680.560000000001</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19680.560000000001</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798959.69-129311.26-6534.92</f>
        <v>663113.50999999989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266008.33-3577.96-23610.07-6008.02-24098.8-8000</f>
        <v>200713.48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51454.87</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213204.83+55125+38181.52+5178.16+21742.61</f>
        <v>333432.11999999994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217837.72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226380.98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54450+8000+24098.8+6008.02+23610.07+3577.96</f>
        <v>119744.85000000002</v>
      </c>
      <c r="I161" s="18">
        <v>157426.12</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1171496.74-54450</f>
        <v>1117046.74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226380.98</v>
      </c>
      <c r="G163" s="38">
        <f>SUM(G150:G162)</f>
        <v>333432.11999999994</v>
      </c>
      <c r="H163" s="38">
        <f>SUM(H150:H162)</f>
        <v>2369911.17</v>
      </c>
      <c r="I163" s="38">
        <f>SUM(I150:I162)</f>
        <v>157426.12</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246061.54</v>
      </c>
      <c r="G170" s="38">
        <f>G147+G163+SUM(G164:G169)</f>
        <v>333432.11999999994</v>
      </c>
      <c r="H170" s="38">
        <f>H147+H163+SUM(H164:H169)</f>
        <v>2369911.17</v>
      </c>
      <c r="I170" s="38">
        <f>I147+I163+SUM(I164:I169)</f>
        <v>157426.12</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1960000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1960000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4230.3</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4230.3</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4230.3</v>
      </c>
      <c r="H193" s="38">
        <f>+H184+SUM(H189:H192)</f>
        <v>0</v>
      </c>
      <c r="I193" s="38">
        <f>I178+I184+SUM(I189:I192)</f>
        <v>1960000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18431602.449999999</v>
      </c>
      <c r="G194" s="38">
        <f>G112+G140+G170+G193</f>
        <v>449020.31999999989</v>
      </c>
      <c r="H194" s="38">
        <f>H112+H140+H170+H193</f>
        <v>2420101.59</v>
      </c>
      <c r="I194" s="38">
        <f>I112+I140+I170+I193</f>
        <v>2229485.87</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1122083.1200000001</v>
      </c>
      <c r="G198" s="18">
        <v>669871.63</v>
      </c>
      <c r="H198" s="18">
        <v>1575.98</v>
      </c>
      <c r="I198" s="18">
        <v>96206.97</v>
      </c>
      <c r="J198" s="18">
        <v>11760.76</v>
      </c>
      <c r="K198" s="18"/>
      <c r="L198" s="13">
        <f>SUM(F198:K198)</f>
        <v>1901498.46</v>
      </c>
      <c r="M198" s="8"/>
      <c r="N198" s="165"/>
    </row>
    <row r="199" spans="1:14" s="3" customFormat="1" ht="12.2" customHeight="1" x14ac:dyDescent="0.15">
      <c r="A199" s="1" t="s">
        <v>439</v>
      </c>
      <c r="B199" s="2" t="s">
        <v>341</v>
      </c>
      <c r="C199" s="2" t="s">
        <v>291</v>
      </c>
      <c r="D199" s="2" t="s">
        <v>431</v>
      </c>
      <c r="E199" s="6">
        <v>1200</v>
      </c>
      <c r="F199" s="18">
        <f>727699.63+186223.19</f>
        <v>913922.82000000007</v>
      </c>
      <c r="G199" s="18">
        <f>341581.53+108115.64</f>
        <v>449697.17000000004</v>
      </c>
      <c r="H199" s="18">
        <v>362129.82</v>
      </c>
      <c r="I199" s="18">
        <f>20852.36+353.7</f>
        <v>21206.06</v>
      </c>
      <c r="J199" s="18">
        <f>3517.82+200</f>
        <v>3717.82</v>
      </c>
      <c r="K199" s="18"/>
      <c r="L199" s="13">
        <f>SUM(F199:K199)</f>
        <v>1750673.6900000004</v>
      </c>
      <c r="M199" s="8"/>
      <c r="N199" s="165"/>
    </row>
    <row r="200" spans="1:14" s="3" customFormat="1" ht="12.2" customHeight="1" x14ac:dyDescent="0.15">
      <c r="A200" s="1" t="s">
        <v>440</v>
      </c>
      <c r="B200" s="2" t="s">
        <v>341</v>
      </c>
      <c r="C200" s="2" t="s">
        <v>292</v>
      </c>
      <c r="D200" s="2" t="s">
        <v>431</v>
      </c>
      <c r="E200" s="6">
        <v>1300</v>
      </c>
      <c r="F200" s="18"/>
      <c r="G200" s="18">
        <v>0</v>
      </c>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20457.07</v>
      </c>
      <c r="G201" s="18">
        <v>6179.18</v>
      </c>
      <c r="H201" s="18"/>
      <c r="I201" s="18"/>
      <c r="J201" s="18"/>
      <c r="K201" s="18"/>
      <c r="L201" s="13">
        <f>SUM(F201:K201)</f>
        <v>26636.25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300086.78999999998</v>
      </c>
      <c r="G203" s="18">
        <v>157490.18</v>
      </c>
      <c r="H203" s="18">
        <v>76286.3</v>
      </c>
      <c r="I203" s="18">
        <v>671.04</v>
      </c>
      <c r="J203" s="18"/>
      <c r="K203" s="18"/>
      <c r="L203" s="13">
        <f t="shared" ref="L203:L209" si="0">SUM(F203:K203)</f>
        <v>534534.31000000006</v>
      </c>
      <c r="M203" s="8"/>
      <c r="N203" s="165"/>
    </row>
    <row r="204" spans="1:14" s="3" customFormat="1" ht="12.2" customHeight="1" x14ac:dyDescent="0.15">
      <c r="A204" s="1" t="s">
        <v>443</v>
      </c>
      <c r="B204" s="2" t="s">
        <v>341</v>
      </c>
      <c r="C204" s="2" t="s">
        <v>295</v>
      </c>
      <c r="D204" s="2" t="s">
        <v>431</v>
      </c>
      <c r="E204" s="6">
        <v>2200</v>
      </c>
      <c r="F204" s="18">
        <v>119003.18</v>
      </c>
      <c r="G204" s="18">
        <v>68305.75</v>
      </c>
      <c r="H204" s="18">
        <v>55162.99</v>
      </c>
      <c r="I204" s="18">
        <v>68166.39</v>
      </c>
      <c r="J204" s="18">
        <v>88486.54</v>
      </c>
      <c r="K204" s="18">
        <v>10.15</v>
      </c>
      <c r="L204" s="13">
        <f t="shared" si="0"/>
        <v>399135</v>
      </c>
      <c r="M204" s="8"/>
      <c r="N204" s="165"/>
    </row>
    <row r="205" spans="1:14" s="3" customFormat="1" ht="12.2" customHeight="1" x14ac:dyDescent="0.15">
      <c r="A205" s="1" t="s">
        <v>444</v>
      </c>
      <c r="B205" s="2" t="s">
        <v>341</v>
      </c>
      <c r="C205" s="2" t="s">
        <v>296</v>
      </c>
      <c r="D205" s="2" t="s">
        <v>431</v>
      </c>
      <c r="E205" s="6">
        <v>2300</v>
      </c>
      <c r="F205" s="18">
        <v>256820.86</v>
      </c>
      <c r="G205" s="18">
        <v>130334.89</v>
      </c>
      <c r="H205" s="18">
        <v>33877.64</v>
      </c>
      <c r="I205" s="18">
        <v>3858.75</v>
      </c>
      <c r="J205" s="18"/>
      <c r="K205" s="18">
        <v>4132.29</v>
      </c>
      <c r="L205" s="13">
        <f t="shared" si="0"/>
        <v>429024.43</v>
      </c>
      <c r="M205" s="8"/>
      <c r="N205" s="165"/>
    </row>
    <row r="206" spans="1:14" s="3" customFormat="1" ht="12.2" customHeight="1" x14ac:dyDescent="0.15">
      <c r="A206" s="1" t="s">
        <v>445</v>
      </c>
      <c r="B206" s="2" t="s">
        <v>341</v>
      </c>
      <c r="C206" s="2" t="s">
        <v>297</v>
      </c>
      <c r="D206" s="2" t="s">
        <v>431</v>
      </c>
      <c r="E206" s="6">
        <v>2400</v>
      </c>
      <c r="F206" s="18">
        <v>214325.75</v>
      </c>
      <c r="G206" s="18">
        <v>114458.5</v>
      </c>
      <c r="H206" s="18">
        <v>3874.76</v>
      </c>
      <c r="I206" s="18"/>
      <c r="J206" s="18"/>
      <c r="K206" s="18"/>
      <c r="L206" s="13">
        <f t="shared" si="0"/>
        <v>332659.01</v>
      </c>
      <c r="M206" s="8"/>
      <c r="N206" s="165"/>
    </row>
    <row r="207" spans="1:14" s="3" customFormat="1" ht="12.2" customHeight="1" x14ac:dyDescent="0.15">
      <c r="A207" s="1" t="s">
        <v>446</v>
      </c>
      <c r="B207" s="2" t="s">
        <v>341</v>
      </c>
      <c r="C207" s="2" t="s">
        <v>298</v>
      </c>
      <c r="D207" s="2" t="s">
        <v>431</v>
      </c>
      <c r="E207" s="6">
        <v>2500</v>
      </c>
      <c r="F207" s="18">
        <v>131272.92000000001</v>
      </c>
      <c r="G207" s="18">
        <v>61244.82</v>
      </c>
      <c r="H207" s="18">
        <v>32146.5</v>
      </c>
      <c r="I207" s="18">
        <v>8366.1200000000008</v>
      </c>
      <c r="J207" s="18">
        <v>117.36</v>
      </c>
      <c r="K207" s="18">
        <v>192.49</v>
      </c>
      <c r="L207" s="13">
        <f t="shared" si="0"/>
        <v>233340.21</v>
      </c>
      <c r="M207" s="8"/>
      <c r="N207" s="165"/>
    </row>
    <row r="208" spans="1:14" s="3" customFormat="1" ht="12.2" customHeight="1" x14ac:dyDescent="0.15">
      <c r="A208" s="1" t="s">
        <v>447</v>
      </c>
      <c r="B208" s="2" t="s">
        <v>341</v>
      </c>
      <c r="C208" s="2" t="s">
        <v>299</v>
      </c>
      <c r="D208" s="2" t="s">
        <v>431</v>
      </c>
      <c r="E208" s="6">
        <v>2600</v>
      </c>
      <c r="F208" s="18">
        <v>165196.5</v>
      </c>
      <c r="G208" s="18">
        <v>86734.76</v>
      </c>
      <c r="H208" s="18">
        <v>255084.23</v>
      </c>
      <c r="I208" s="18">
        <v>209503.35999999999</v>
      </c>
      <c r="J208" s="18">
        <v>62348.84</v>
      </c>
      <c r="K208" s="18">
        <v>101.53</v>
      </c>
      <c r="L208" s="13">
        <f t="shared" si="0"/>
        <v>778969.22</v>
      </c>
      <c r="M208" s="8"/>
      <c r="N208" s="165"/>
    </row>
    <row r="209" spans="1:14" s="3" customFormat="1" ht="12.2" customHeight="1" x14ac:dyDescent="0.15">
      <c r="A209" s="1" t="s">
        <v>448</v>
      </c>
      <c r="B209" s="2" t="s">
        <v>341</v>
      </c>
      <c r="C209" s="2" t="s">
        <v>300</v>
      </c>
      <c r="D209" s="2" t="s">
        <v>431</v>
      </c>
      <c r="E209" s="6">
        <v>2700</v>
      </c>
      <c r="F209" s="18">
        <v>131822.45000000001</v>
      </c>
      <c r="G209" s="18">
        <v>34144.629999999997</v>
      </c>
      <c r="H209" s="18">
        <v>51492.03</v>
      </c>
      <c r="I209" s="18">
        <v>31572.84</v>
      </c>
      <c r="J209" s="18">
        <v>49681.66</v>
      </c>
      <c r="K209" s="18">
        <v>544.26</v>
      </c>
      <c r="L209" s="13">
        <f t="shared" si="0"/>
        <v>299257.87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3374991.4600000004</v>
      </c>
      <c r="G212" s="38">
        <f t="shared" si="1"/>
        <v>1778461.5099999998</v>
      </c>
      <c r="H212" s="38">
        <f t="shared" si="1"/>
        <v>871630.25</v>
      </c>
      <c r="I212" s="38">
        <f t="shared" si="1"/>
        <v>439551.52999999997</v>
      </c>
      <c r="J212" s="38">
        <f t="shared" si="1"/>
        <v>216112.98</v>
      </c>
      <c r="K212" s="38">
        <f t="shared" si="1"/>
        <v>4980.7199999999993</v>
      </c>
      <c r="L212" s="38">
        <f t="shared" si="1"/>
        <v>6685728.4500000002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752509.62</v>
      </c>
      <c r="G216" s="18">
        <v>461101.17</v>
      </c>
      <c r="H216" s="18">
        <v>30511.66</v>
      </c>
      <c r="I216" s="18">
        <v>28475.9</v>
      </c>
      <c r="J216" s="18">
        <v>3660.09</v>
      </c>
      <c r="K216" s="18">
        <v>607.5</v>
      </c>
      <c r="L216" s="13">
        <f>SUM(F216:K216)</f>
        <v>1276865.94</v>
      </c>
      <c r="M216" s="8"/>
      <c r="N216" s="165"/>
    </row>
    <row r="217" spans="1:14" s="3" customFormat="1" ht="12.2" customHeight="1" x14ac:dyDescent="0.15">
      <c r="A217" s="1" t="s">
        <v>439</v>
      </c>
      <c r="B217" s="2" t="s">
        <v>346</v>
      </c>
      <c r="C217" s="2" t="s">
        <v>291</v>
      </c>
      <c r="D217" s="2" t="s">
        <v>431</v>
      </c>
      <c r="E217" s="6">
        <v>1200</v>
      </c>
      <c r="F217" s="18">
        <v>384657.83</v>
      </c>
      <c r="G217" s="18">
        <v>301755.94</v>
      </c>
      <c r="H217" s="18">
        <v>366643.94</v>
      </c>
      <c r="I217" s="18">
        <v>1492.6</v>
      </c>
      <c r="J217" s="18"/>
      <c r="K217" s="18"/>
      <c r="L217" s="13">
        <f>SUM(F217:K217)</f>
        <v>1054550.31</v>
      </c>
      <c r="M217" s="8"/>
      <c r="N217" s="165"/>
    </row>
    <row r="218" spans="1:14" s="3" customFormat="1" ht="12.2" customHeight="1" x14ac:dyDescent="0.15">
      <c r="A218" s="1" t="s">
        <v>440</v>
      </c>
      <c r="B218" s="2" t="s">
        <v>346</v>
      </c>
      <c r="C218" s="2" t="s">
        <v>292</v>
      </c>
      <c r="D218" s="2" t="s">
        <v>431</v>
      </c>
      <c r="E218" s="6">
        <v>1300</v>
      </c>
      <c r="F218" s="18"/>
      <c r="G218" s="18">
        <v>0</v>
      </c>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47279.44</v>
      </c>
      <c r="G219" s="18">
        <v>12614.3</v>
      </c>
      <c r="H219" s="18">
        <v>3603.43</v>
      </c>
      <c r="I219" s="18"/>
      <c r="J219" s="18"/>
      <c r="K219" s="18"/>
      <c r="L219" s="13">
        <f>SUM(F219:K219)</f>
        <v>63497.170000000006</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186936.23</v>
      </c>
      <c r="G221" s="18">
        <v>126580.8</v>
      </c>
      <c r="H221" s="18">
        <v>31821.05</v>
      </c>
      <c r="I221" s="18">
        <v>1468.55</v>
      </c>
      <c r="J221" s="18"/>
      <c r="K221" s="18">
        <v>150</v>
      </c>
      <c r="L221" s="13">
        <f t="shared" ref="L221:L227" si="2">SUM(F221:K221)</f>
        <v>346956.63</v>
      </c>
      <c r="M221" s="8"/>
      <c r="N221" s="165"/>
    </row>
    <row r="222" spans="1:14" s="3" customFormat="1" ht="12.2" customHeight="1" x14ac:dyDescent="0.15">
      <c r="A222" s="1" t="s">
        <v>443</v>
      </c>
      <c r="B222" s="2" t="s">
        <v>346</v>
      </c>
      <c r="C222" s="2" t="s">
        <v>295</v>
      </c>
      <c r="D222" s="2" t="s">
        <v>431</v>
      </c>
      <c r="E222" s="6">
        <v>2200</v>
      </c>
      <c r="F222" s="18">
        <v>53241.22</v>
      </c>
      <c r="G222" s="18">
        <v>29085.759999999998</v>
      </c>
      <c r="H222" s="18">
        <v>29242.639999999999</v>
      </c>
      <c r="I222" s="18">
        <v>34499.11</v>
      </c>
      <c r="J222" s="18">
        <v>49881.17</v>
      </c>
      <c r="K222" s="18">
        <v>5.88</v>
      </c>
      <c r="L222" s="13">
        <f t="shared" si="2"/>
        <v>195955.77999999997</v>
      </c>
      <c r="M222" s="8"/>
      <c r="N222" s="165"/>
    </row>
    <row r="223" spans="1:14" s="3" customFormat="1" ht="12.2" customHeight="1" x14ac:dyDescent="0.15">
      <c r="A223" s="1" t="s">
        <v>444</v>
      </c>
      <c r="B223" s="2" t="s">
        <v>346</v>
      </c>
      <c r="C223" s="2" t="s">
        <v>296</v>
      </c>
      <c r="D223" s="2" t="s">
        <v>431</v>
      </c>
      <c r="E223" s="6">
        <v>2300</v>
      </c>
      <c r="F223" s="18">
        <v>129426.21</v>
      </c>
      <c r="G223" s="18">
        <v>60533.62</v>
      </c>
      <c r="H223" s="18">
        <v>19604.150000000001</v>
      </c>
      <c r="I223" s="18">
        <v>2232.9699999999998</v>
      </c>
      <c r="J223" s="18"/>
      <c r="K223" s="18">
        <v>2391.25</v>
      </c>
      <c r="L223" s="13">
        <f t="shared" si="2"/>
        <v>214188.2</v>
      </c>
      <c r="M223" s="8"/>
      <c r="N223" s="165"/>
    </row>
    <row r="224" spans="1:14" s="3" customFormat="1" ht="12.2" customHeight="1" x14ac:dyDescent="0.15">
      <c r="A224" s="1" t="s">
        <v>445</v>
      </c>
      <c r="B224" s="2" t="s">
        <v>346</v>
      </c>
      <c r="C224" s="2" t="s">
        <v>297</v>
      </c>
      <c r="D224" s="2" t="s">
        <v>431</v>
      </c>
      <c r="E224" s="6">
        <v>2400</v>
      </c>
      <c r="F224" s="18">
        <v>167042.32</v>
      </c>
      <c r="G224" s="18">
        <v>78813.649999999994</v>
      </c>
      <c r="H224" s="18">
        <v>1240.56</v>
      </c>
      <c r="I224" s="18">
        <v>3128.69</v>
      </c>
      <c r="J224" s="18"/>
      <c r="K224" s="18">
        <v>560</v>
      </c>
      <c r="L224" s="13">
        <f t="shared" si="2"/>
        <v>250785.22</v>
      </c>
      <c r="M224" s="8"/>
      <c r="N224" s="165"/>
    </row>
    <row r="225" spans="1:14" s="3" customFormat="1" ht="12.2" customHeight="1" x14ac:dyDescent="0.15">
      <c r="A225" s="1" t="s">
        <v>446</v>
      </c>
      <c r="B225" s="2" t="s">
        <v>346</v>
      </c>
      <c r="C225" s="2" t="s">
        <v>298</v>
      </c>
      <c r="D225" s="2" t="s">
        <v>431</v>
      </c>
      <c r="E225" s="6">
        <v>2500</v>
      </c>
      <c r="F225" s="18">
        <v>75964.38</v>
      </c>
      <c r="G225" s="18">
        <v>35440.870000000003</v>
      </c>
      <c r="H225" s="18">
        <v>18602.38</v>
      </c>
      <c r="I225" s="18">
        <v>4841.26</v>
      </c>
      <c r="J225" s="18">
        <v>67.92</v>
      </c>
      <c r="K225" s="18">
        <v>111.39</v>
      </c>
      <c r="L225" s="13">
        <f t="shared" si="2"/>
        <v>135028.20000000004</v>
      </c>
      <c r="M225" s="8"/>
      <c r="N225" s="165"/>
    </row>
    <row r="226" spans="1:14" s="3" customFormat="1" ht="12.2" customHeight="1" x14ac:dyDescent="0.15">
      <c r="A226" s="1" t="s">
        <v>447</v>
      </c>
      <c r="B226" s="2" t="s">
        <v>346</v>
      </c>
      <c r="C226" s="2" t="s">
        <v>299</v>
      </c>
      <c r="D226" s="2" t="s">
        <v>431</v>
      </c>
      <c r="E226" s="6">
        <v>2600</v>
      </c>
      <c r="F226" s="18">
        <v>115892.23</v>
      </c>
      <c r="G226" s="18">
        <v>50749.02</v>
      </c>
      <c r="H226" s="18">
        <v>236519.3</v>
      </c>
      <c r="I226" s="18">
        <v>106254.92</v>
      </c>
      <c r="J226" s="18">
        <v>87295.26</v>
      </c>
      <c r="K226" s="18">
        <v>58.75</v>
      </c>
      <c r="L226" s="13">
        <f t="shared" si="2"/>
        <v>596769.48</v>
      </c>
      <c r="M226" s="8"/>
      <c r="N226" s="165"/>
    </row>
    <row r="227" spans="1:14" s="3" customFormat="1" ht="12.2" customHeight="1" x14ac:dyDescent="0.15">
      <c r="A227" s="1" t="s">
        <v>448</v>
      </c>
      <c r="B227" s="2" t="s">
        <v>346</v>
      </c>
      <c r="C227" s="2" t="s">
        <v>300</v>
      </c>
      <c r="D227" s="2" t="s">
        <v>431</v>
      </c>
      <c r="E227" s="6">
        <v>2700</v>
      </c>
      <c r="F227" s="18">
        <v>77054.81</v>
      </c>
      <c r="G227" s="18">
        <v>19831.509999999998</v>
      </c>
      <c r="H227" s="18">
        <v>29270.400000000001</v>
      </c>
      <c r="I227" s="18">
        <v>18270.419999999998</v>
      </c>
      <c r="J227" s="18">
        <v>28749.54</v>
      </c>
      <c r="K227" s="18">
        <v>314.95</v>
      </c>
      <c r="L227" s="13">
        <f t="shared" si="2"/>
        <v>173491.63000000003</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1990004.29</v>
      </c>
      <c r="G230" s="38">
        <f>SUM(G216:G229)</f>
        <v>1176506.6400000001</v>
      </c>
      <c r="H230" s="38">
        <f>SUM(H216:H229)</f>
        <v>767059.51</v>
      </c>
      <c r="I230" s="38">
        <f>SUM(I216:I229)</f>
        <v>200664.41999999998</v>
      </c>
      <c r="J230" s="38">
        <f>SUM(J216:J229)</f>
        <v>169653.98</v>
      </c>
      <c r="K230" s="38">
        <f t="shared" si="3"/>
        <v>4199.72</v>
      </c>
      <c r="L230" s="38">
        <f t="shared" si="3"/>
        <v>4308088.5600000005</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780270.49+0.12</f>
        <v>780270.61</v>
      </c>
      <c r="G234" s="18">
        <v>483200.84</v>
      </c>
      <c r="H234" s="18">
        <v>2153.71</v>
      </c>
      <c r="I234" s="18">
        <v>41146.03</v>
      </c>
      <c r="J234" s="18">
        <v>7975.83</v>
      </c>
      <c r="K234" s="18">
        <v>2481.25</v>
      </c>
      <c r="L234" s="13">
        <f>SUM(F234:K234)</f>
        <v>1317228.27</v>
      </c>
      <c r="M234" s="8"/>
      <c r="N234" s="165"/>
    </row>
    <row r="235" spans="1:14" s="3" customFormat="1" ht="12.2" customHeight="1" x14ac:dyDescent="0.15">
      <c r="A235" s="1" t="s">
        <v>439</v>
      </c>
      <c r="B235" s="2" t="s">
        <v>350</v>
      </c>
      <c r="C235" s="2" t="s">
        <v>291</v>
      </c>
      <c r="D235" s="2" t="s">
        <v>431</v>
      </c>
      <c r="E235" s="6">
        <v>1200</v>
      </c>
      <c r="F235" s="18">
        <f>340027.63+20392.78</f>
        <v>360420.41000000003</v>
      </c>
      <c r="G235" s="18">
        <f>127288.09+21105.5</f>
        <v>148393.59</v>
      </c>
      <c r="H235" s="18">
        <v>330082.03999999998</v>
      </c>
      <c r="I235" s="18">
        <f>2916.05+513.33</f>
        <v>3429.38</v>
      </c>
      <c r="J235" s="18">
        <v>16015.5</v>
      </c>
      <c r="K235" s="18"/>
      <c r="L235" s="13">
        <f>SUM(F235:K235)</f>
        <v>858340.92</v>
      </c>
      <c r="M235" s="8"/>
      <c r="N235" s="165"/>
    </row>
    <row r="236" spans="1:14" s="3" customFormat="1" ht="12.2" customHeight="1" x14ac:dyDescent="0.15">
      <c r="A236" s="1" t="s">
        <v>440</v>
      </c>
      <c r="B236" s="2" t="s">
        <v>350</v>
      </c>
      <c r="C236" s="2" t="s">
        <v>292</v>
      </c>
      <c r="D236" s="2" t="s">
        <v>431</v>
      </c>
      <c r="E236" s="6">
        <v>1300</v>
      </c>
      <c r="F236" s="18">
        <v>346544.89</v>
      </c>
      <c r="G236" s="18">
        <v>218310.85</v>
      </c>
      <c r="H236" s="18">
        <v>21789.18</v>
      </c>
      <c r="I236" s="18">
        <v>41141.760000000002</v>
      </c>
      <c r="J236" s="18">
        <f>91622.62</f>
        <v>91622.62</v>
      </c>
      <c r="K236" s="18">
        <v>1287</v>
      </c>
      <c r="L236" s="13">
        <f>SUM(F236:K236)</f>
        <v>720696.3</v>
      </c>
      <c r="M236" s="8"/>
      <c r="N236" s="165"/>
    </row>
    <row r="237" spans="1:14" s="3" customFormat="1" ht="12.2" customHeight="1" x14ac:dyDescent="0.15">
      <c r="A237" s="1" t="s">
        <v>441</v>
      </c>
      <c r="B237" s="2" t="s">
        <v>350</v>
      </c>
      <c r="C237" s="2" t="s">
        <v>293</v>
      </c>
      <c r="D237" s="2" t="s">
        <v>431</v>
      </c>
      <c r="E237" s="6">
        <v>1400</v>
      </c>
      <c r="F237" s="18">
        <v>202567.13</v>
      </c>
      <c r="G237" s="18">
        <v>64265</v>
      </c>
      <c r="H237" s="18">
        <v>39661.03</v>
      </c>
      <c r="I237" s="18">
        <v>15080.02</v>
      </c>
      <c r="J237" s="18">
        <v>9578.0499999999993</v>
      </c>
      <c r="K237" s="18">
        <v>11049.21</v>
      </c>
      <c r="L237" s="13">
        <f>SUM(F237:K237)</f>
        <v>342200.44000000006</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306323.08</v>
      </c>
      <c r="G239" s="18">
        <v>194054.96</v>
      </c>
      <c r="H239" s="18">
        <v>33387.269999999997</v>
      </c>
      <c r="I239" s="18">
        <v>8908.59</v>
      </c>
      <c r="J239" s="18">
        <v>500</v>
      </c>
      <c r="K239" s="18"/>
      <c r="L239" s="13">
        <f t="shared" ref="L239:L245" si="4">SUM(F239:K239)</f>
        <v>543173.9</v>
      </c>
      <c r="M239" s="8"/>
      <c r="N239" s="165"/>
    </row>
    <row r="240" spans="1:14" s="3" customFormat="1" ht="12.2" customHeight="1" x14ac:dyDescent="0.15">
      <c r="A240" s="1" t="s">
        <v>443</v>
      </c>
      <c r="B240" s="2" t="s">
        <v>350</v>
      </c>
      <c r="C240" s="2" t="s">
        <v>295</v>
      </c>
      <c r="D240" s="2" t="s">
        <v>431</v>
      </c>
      <c r="E240" s="6">
        <v>2200</v>
      </c>
      <c r="F240" s="18">
        <v>107876.67</v>
      </c>
      <c r="G240" s="18">
        <f>59635.8+4681.74</f>
        <v>64317.54</v>
      </c>
      <c r="H240" s="18">
        <v>81804.31</v>
      </c>
      <c r="I240" s="18">
        <v>60168.3</v>
      </c>
      <c r="J240" s="18">
        <v>86017.48</v>
      </c>
      <c r="K240" s="18">
        <v>8.9700000000000006</v>
      </c>
      <c r="L240" s="13">
        <f t="shared" si="4"/>
        <v>400193.26999999996</v>
      </c>
      <c r="M240" s="8"/>
      <c r="N240" s="165"/>
    </row>
    <row r="241" spans="1:14" s="3" customFormat="1" ht="12.2" customHeight="1" x14ac:dyDescent="0.15">
      <c r="A241" s="1" t="s">
        <v>444</v>
      </c>
      <c r="B241" s="2" t="s">
        <v>350</v>
      </c>
      <c r="C241" s="2" t="s">
        <v>296</v>
      </c>
      <c r="D241" s="2" t="s">
        <v>431</v>
      </c>
      <c r="E241" s="6">
        <v>2300</v>
      </c>
      <c r="F241" s="18">
        <f>175961.66+33514.28</f>
        <v>209475.94</v>
      </c>
      <c r="G241" s="18">
        <f>81072.9+15369.73</f>
        <v>96442.62999999999</v>
      </c>
      <c r="H241" s="18">
        <v>29940.12</v>
      </c>
      <c r="I241" s="18">
        <v>3410.26</v>
      </c>
      <c r="J241" s="18"/>
      <c r="K241" s="18">
        <v>3652</v>
      </c>
      <c r="L241" s="13">
        <f t="shared" si="4"/>
        <v>342920.95</v>
      </c>
      <c r="M241" s="8"/>
      <c r="N241" s="165"/>
    </row>
    <row r="242" spans="1:14" s="3" customFormat="1" ht="12.2" customHeight="1" x14ac:dyDescent="0.15">
      <c r="A242" s="1" t="s">
        <v>445</v>
      </c>
      <c r="B242" s="2" t="s">
        <v>350</v>
      </c>
      <c r="C242" s="2" t="s">
        <v>297</v>
      </c>
      <c r="D242" s="2" t="s">
        <v>431</v>
      </c>
      <c r="E242" s="6">
        <v>2400</v>
      </c>
      <c r="F242" s="18">
        <f>321296.76+130799.55</f>
        <v>452096.31</v>
      </c>
      <c r="G242" s="18">
        <f>206790.91+51791.21</f>
        <v>258582.12</v>
      </c>
      <c r="H242" s="18">
        <f>4737.06+2972.62</f>
        <v>7709.68</v>
      </c>
      <c r="I242" s="18">
        <f>9537.37+1482.25</f>
        <v>11019.62</v>
      </c>
      <c r="J242" s="18">
        <f>379.99+298.95</f>
        <v>678.94</v>
      </c>
      <c r="K242" s="18">
        <f>4978+570</f>
        <v>5548</v>
      </c>
      <c r="L242" s="13">
        <f t="shared" si="4"/>
        <v>735634.66999999993</v>
      </c>
      <c r="M242" s="8"/>
      <c r="N242" s="165"/>
    </row>
    <row r="243" spans="1:14" s="3" customFormat="1" ht="12.2" customHeight="1" x14ac:dyDescent="0.15">
      <c r="A243" s="1" t="s">
        <v>446</v>
      </c>
      <c r="B243" s="2" t="s">
        <v>350</v>
      </c>
      <c r="C243" s="2" t="s">
        <v>298</v>
      </c>
      <c r="D243" s="2" t="s">
        <v>431</v>
      </c>
      <c r="E243" s="6">
        <v>2500</v>
      </c>
      <c r="F243" s="18">
        <v>116015.39</v>
      </c>
      <c r="G243" s="18">
        <v>54126.51</v>
      </c>
      <c r="H243" s="18">
        <v>28410.19</v>
      </c>
      <c r="I243" s="18">
        <v>7393.74</v>
      </c>
      <c r="J243" s="18">
        <v>103.72</v>
      </c>
      <c r="K243" s="18">
        <v>170.12</v>
      </c>
      <c r="L243" s="13">
        <f t="shared" si="4"/>
        <v>206219.66999999998</v>
      </c>
      <c r="M243" s="8"/>
      <c r="N243" s="165"/>
    </row>
    <row r="244" spans="1:14" s="3" customFormat="1" ht="12.2" customHeight="1" x14ac:dyDescent="0.15">
      <c r="A244" s="1" t="s">
        <v>447</v>
      </c>
      <c r="B244" s="2" t="s">
        <v>350</v>
      </c>
      <c r="C244" s="2" t="s">
        <v>299</v>
      </c>
      <c r="D244" s="2" t="s">
        <v>431</v>
      </c>
      <c r="E244" s="6">
        <v>2600</v>
      </c>
      <c r="F244" s="18">
        <f>202404.28+69851.45</f>
        <v>272255.73</v>
      </c>
      <c r="G244" s="18">
        <f>118372.75+32912.84</f>
        <v>151285.59</v>
      </c>
      <c r="H244" s="18">
        <f>373585.83+126632.78</f>
        <v>500218.61</v>
      </c>
      <c r="I244" s="18">
        <f>183454.42+55111.64</f>
        <v>238566.06</v>
      </c>
      <c r="J244" s="18">
        <f>99259.81+959.27</f>
        <v>100219.08</v>
      </c>
      <c r="K244" s="18">
        <v>89.73</v>
      </c>
      <c r="L244" s="13">
        <f t="shared" si="4"/>
        <v>1262634.8</v>
      </c>
      <c r="M244" s="8"/>
      <c r="N244" s="165"/>
    </row>
    <row r="245" spans="1:14" s="3" customFormat="1" ht="12.2" customHeight="1" x14ac:dyDescent="0.15">
      <c r="A245" s="1" t="s">
        <v>448</v>
      </c>
      <c r="B245" s="2" t="s">
        <v>350</v>
      </c>
      <c r="C245" s="2" t="s">
        <v>300</v>
      </c>
      <c r="D245" s="2" t="s">
        <v>431</v>
      </c>
      <c r="E245" s="6">
        <v>2700</v>
      </c>
      <c r="F245" s="18">
        <f>121206.37</f>
        <v>121206.37</v>
      </c>
      <c r="G245" s="18">
        <v>30635.53</v>
      </c>
      <c r="H245" s="18">
        <f>32197.98+247.5</f>
        <v>32445.48</v>
      </c>
      <c r="I245" s="18">
        <v>29080.57</v>
      </c>
      <c r="J245" s="18">
        <v>43907.28</v>
      </c>
      <c r="K245" s="18">
        <v>481</v>
      </c>
      <c r="L245" s="13">
        <f t="shared" si="4"/>
        <v>257756.23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3275052.5300000003</v>
      </c>
      <c r="G248" s="38">
        <f t="shared" si="5"/>
        <v>1763615.16</v>
      </c>
      <c r="H248" s="38">
        <f t="shared" si="5"/>
        <v>1107601.6200000001</v>
      </c>
      <c r="I248" s="38">
        <f t="shared" si="5"/>
        <v>459344.33</v>
      </c>
      <c r="J248" s="38">
        <f t="shared" si="5"/>
        <v>356618.5</v>
      </c>
      <c r="K248" s="38">
        <f t="shared" si="5"/>
        <v>24767.279999999999</v>
      </c>
      <c r="L248" s="38">
        <f t="shared" si="5"/>
        <v>6986999.4199999999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8640048.2800000012</v>
      </c>
      <c r="G258" s="38">
        <f t="shared" si="8"/>
        <v>4718583.3099999996</v>
      </c>
      <c r="H258" s="38">
        <f t="shared" si="8"/>
        <v>2746291.38</v>
      </c>
      <c r="I258" s="38">
        <f t="shared" si="8"/>
        <v>1099560.28</v>
      </c>
      <c r="J258" s="38">
        <f t="shared" si="8"/>
        <v>742385.46</v>
      </c>
      <c r="K258" s="38">
        <f t="shared" si="8"/>
        <v>33947.72</v>
      </c>
      <c r="L258" s="38">
        <f t="shared" si="8"/>
        <v>17980816.43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505000</v>
      </c>
      <c r="L261" s="13">
        <f>SUM(F261:K261)</f>
        <v>505000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129164.96</v>
      </c>
      <c r="L262" s="13">
        <f>SUM(F262:K262)</f>
        <v>129164.96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4230.3</v>
      </c>
      <c r="L264" s="13">
        <f>SUM(F264:K264)</f>
        <v>4230.3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638395.26</v>
      </c>
      <c r="L271" s="38">
        <f t="shared" si="9"/>
        <v>638395.26</v>
      </c>
      <c r="M271" s="8"/>
      <c r="N271" s="165"/>
    </row>
    <row r="272" spans="1:14" s="33" customFormat="1" ht="12.2" customHeight="1" thickTop="1" x14ac:dyDescent="0.2">
      <c r="A272" s="40" t="s">
        <v>464</v>
      </c>
      <c r="B272" s="37">
        <v>10</v>
      </c>
      <c r="C272" s="37">
        <v>18</v>
      </c>
      <c r="D272" s="36" t="s">
        <v>431</v>
      </c>
      <c r="E272" s="37"/>
      <c r="F272" s="39">
        <f t="shared" ref="F272:L272" si="11">F258+F271</f>
        <v>8640048.2800000012</v>
      </c>
      <c r="G272" s="39">
        <f t="shared" si="11"/>
        <v>4718583.3099999996</v>
      </c>
      <c r="H272" s="39">
        <f t="shared" si="11"/>
        <v>2746291.38</v>
      </c>
      <c r="I272" s="39">
        <f t="shared" si="11"/>
        <v>1099560.28</v>
      </c>
      <c r="J272" s="39">
        <f t="shared" si="11"/>
        <v>742385.46</v>
      </c>
      <c r="K272" s="39">
        <f t="shared" si="11"/>
        <v>672342.98</v>
      </c>
      <c r="L272" s="39">
        <f t="shared" si="11"/>
        <v>18619211.690000001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327816.82-0.07</f>
        <v>327816.75</v>
      </c>
      <c r="G277" s="18">
        <v>145656.15</v>
      </c>
      <c r="H277" s="18">
        <v>29292.51</v>
      </c>
      <c r="I277" s="18">
        <v>100745.93</v>
      </c>
      <c r="J277" s="18">
        <v>3081.94</v>
      </c>
      <c r="K277" s="18"/>
      <c r="L277" s="13">
        <f>SUM(F277:K277)</f>
        <v>606593.28000000003</v>
      </c>
      <c r="M277" s="8"/>
      <c r="N277" s="165"/>
    </row>
    <row r="278" spans="1:14" s="3" customFormat="1" ht="12.2" customHeight="1" x14ac:dyDescent="0.15">
      <c r="A278" s="1" t="s">
        <v>439</v>
      </c>
      <c r="B278" s="2" t="s">
        <v>357</v>
      </c>
      <c r="C278" s="2" t="s">
        <v>291</v>
      </c>
      <c r="D278" s="2" t="s">
        <v>431</v>
      </c>
      <c r="E278" s="6">
        <v>1200</v>
      </c>
      <c r="F278" s="18">
        <v>20540.490000000002</v>
      </c>
      <c r="G278" s="18">
        <v>20281.72</v>
      </c>
      <c r="H278" s="18">
        <v>10817.22</v>
      </c>
      <c r="I278" s="18">
        <v>14549.55</v>
      </c>
      <c r="J278" s="18"/>
      <c r="K278" s="18"/>
      <c r="L278" s="13">
        <f>SUM(F278:K278)</f>
        <v>66188.98000000001</v>
      </c>
      <c r="M278" s="8"/>
      <c r="N278" s="165"/>
    </row>
    <row r="279" spans="1:14" s="3" customFormat="1" ht="12.2" customHeight="1" x14ac:dyDescent="0.15">
      <c r="A279" s="1" t="s">
        <v>440</v>
      </c>
      <c r="B279" s="2" t="s">
        <v>357</v>
      </c>
      <c r="C279" s="2" t="s">
        <v>292</v>
      </c>
      <c r="D279" s="2" t="s">
        <v>431</v>
      </c>
      <c r="E279" s="6">
        <v>1300</v>
      </c>
      <c r="F279" s="18">
        <v>676.09</v>
      </c>
      <c r="G279" s="18">
        <v>193.23</v>
      </c>
      <c r="H279" s="18">
        <v>6666.39</v>
      </c>
      <c r="I279" s="18">
        <v>2376.08</v>
      </c>
      <c r="J279" s="18"/>
      <c r="K279" s="18"/>
      <c r="L279" s="13">
        <f>SUM(F279:K279)</f>
        <v>9911.7900000000009</v>
      </c>
      <c r="M279" s="8"/>
      <c r="N279" s="165"/>
    </row>
    <row r="280" spans="1:14" s="3" customFormat="1" ht="12.2" customHeight="1" x14ac:dyDescent="0.15">
      <c r="A280" s="1" t="s">
        <v>441</v>
      </c>
      <c r="B280" s="2" t="s">
        <v>357</v>
      </c>
      <c r="C280" s="2" t="s">
        <v>293</v>
      </c>
      <c r="D280" s="2" t="s">
        <v>431</v>
      </c>
      <c r="E280" s="6">
        <v>1400</v>
      </c>
      <c r="F280" s="18">
        <v>2785.09</v>
      </c>
      <c r="G280" s="18">
        <v>569.41999999999996</v>
      </c>
      <c r="H280" s="18"/>
      <c r="I280" s="18">
        <v>337.71</v>
      </c>
      <c r="J280" s="18"/>
      <c r="K280" s="18"/>
      <c r="L280" s="13">
        <f>SUM(F280:K280)</f>
        <v>3692.2200000000003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72647.38</v>
      </c>
      <c r="G282" s="18">
        <v>41066.720000000001</v>
      </c>
      <c r="H282" s="18">
        <v>41277.97</v>
      </c>
      <c r="I282" s="18">
        <v>3231.78</v>
      </c>
      <c r="J282" s="18"/>
      <c r="K282" s="18"/>
      <c r="L282" s="13">
        <f t="shared" ref="L282:L288" si="12">SUM(F282:K282)</f>
        <v>158223.85</v>
      </c>
      <c r="M282" s="8"/>
      <c r="N282" s="165"/>
    </row>
    <row r="283" spans="1:14" s="3" customFormat="1" ht="12.2" customHeight="1" x14ac:dyDescent="0.15">
      <c r="A283" s="1" t="s">
        <v>443</v>
      </c>
      <c r="B283" s="2" t="s">
        <v>357</v>
      </c>
      <c r="C283" s="2" t="s">
        <v>295</v>
      </c>
      <c r="D283" s="2" t="s">
        <v>431</v>
      </c>
      <c r="E283" s="6">
        <v>2200</v>
      </c>
      <c r="F283" s="18">
        <v>17040.82</v>
      </c>
      <c r="G283" s="18">
        <v>8301.4</v>
      </c>
      <c r="H283" s="18">
        <v>34323.97</v>
      </c>
      <c r="I283" s="18">
        <v>3235.98</v>
      </c>
      <c r="J283" s="18"/>
      <c r="K283" s="18"/>
      <c r="L283" s="13">
        <f t="shared" si="12"/>
        <v>62902.170000000006</v>
      </c>
      <c r="M283" s="8"/>
      <c r="N283" s="165"/>
    </row>
    <row r="284" spans="1:14" s="3" customFormat="1" ht="12.2" customHeight="1" x14ac:dyDescent="0.15">
      <c r="A284" s="1" t="s">
        <v>444</v>
      </c>
      <c r="B284" s="2" t="s">
        <v>357</v>
      </c>
      <c r="C284" s="2" t="s">
        <v>296</v>
      </c>
      <c r="D284" s="2" t="s">
        <v>431</v>
      </c>
      <c r="E284" s="6">
        <v>2300</v>
      </c>
      <c r="F284" s="18"/>
      <c r="G284" s="18"/>
      <c r="H284" s="18"/>
      <c r="I284" s="18">
        <v>819.82</v>
      </c>
      <c r="J284" s="18"/>
      <c r="K284" s="18"/>
      <c r="L284" s="13">
        <f t="shared" si="12"/>
        <v>819.82</v>
      </c>
      <c r="M284" s="8"/>
      <c r="N284" s="165"/>
    </row>
    <row r="285" spans="1:14" s="3" customFormat="1" ht="12.2" customHeight="1" x14ac:dyDescent="0.15">
      <c r="A285" s="1" t="s">
        <v>445</v>
      </c>
      <c r="B285" s="2" t="s">
        <v>357</v>
      </c>
      <c r="C285" s="2" t="s">
        <v>297</v>
      </c>
      <c r="D285" s="2" t="s">
        <v>431</v>
      </c>
      <c r="E285" s="6">
        <v>2400</v>
      </c>
      <c r="F285" s="18"/>
      <c r="G285" s="18"/>
      <c r="H285" s="18">
        <v>10411.93</v>
      </c>
      <c r="I285" s="18"/>
      <c r="J285" s="18"/>
      <c r="K285" s="18"/>
      <c r="L285" s="13">
        <f t="shared" si="12"/>
        <v>10411.93</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794.83</v>
      </c>
      <c r="I287" s="18"/>
      <c r="J287" s="18"/>
      <c r="K287" s="18"/>
      <c r="L287" s="13">
        <f t="shared" si="12"/>
        <v>794.83</v>
      </c>
      <c r="M287" s="8"/>
      <c r="N287" s="165"/>
    </row>
    <row r="288" spans="1:14" s="3" customFormat="1" ht="12.2" customHeight="1" x14ac:dyDescent="0.15">
      <c r="A288" s="1" t="s">
        <v>448</v>
      </c>
      <c r="B288" s="2" t="s">
        <v>357</v>
      </c>
      <c r="C288" s="2" t="s">
        <v>300</v>
      </c>
      <c r="D288" s="2" t="s">
        <v>431</v>
      </c>
      <c r="E288" s="6">
        <v>2700</v>
      </c>
      <c r="F288" s="18"/>
      <c r="G288" s="18"/>
      <c r="H288" s="18">
        <v>5589.67</v>
      </c>
      <c r="I288" s="18"/>
      <c r="J288" s="18"/>
      <c r="K288" s="18"/>
      <c r="L288" s="13">
        <f t="shared" si="12"/>
        <v>5589.67</v>
      </c>
      <c r="M288" s="8"/>
      <c r="N288" s="165"/>
    </row>
    <row r="289" spans="1:14" s="3" customFormat="1" ht="12.2" customHeight="1" x14ac:dyDescent="0.15">
      <c r="A289" s="1" t="s">
        <v>449</v>
      </c>
      <c r="B289" s="2" t="s">
        <v>357</v>
      </c>
      <c r="C289" s="2" t="s">
        <v>343</v>
      </c>
      <c r="D289" s="2" t="s">
        <v>431</v>
      </c>
      <c r="E289" s="6">
        <v>2800</v>
      </c>
      <c r="F289" s="18"/>
      <c r="G289" s="18"/>
      <c r="H289" s="18"/>
      <c r="I289" s="18">
        <v>4103.49</v>
      </c>
      <c r="J289" s="18"/>
      <c r="K289" s="18"/>
      <c r="L289" s="13">
        <f>SUM(F289:K289)</f>
        <v>4103.49</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441506.62000000005</v>
      </c>
      <c r="G291" s="39">
        <f t="shared" si="13"/>
        <v>216068.64</v>
      </c>
      <c r="H291" s="39">
        <f t="shared" si="13"/>
        <v>139174.49</v>
      </c>
      <c r="I291" s="39">
        <f t="shared" si="13"/>
        <v>129400.34000000001</v>
      </c>
      <c r="J291" s="39">
        <f t="shared" si="13"/>
        <v>3081.94</v>
      </c>
      <c r="K291" s="39">
        <f t="shared" si="13"/>
        <v>0</v>
      </c>
      <c r="L291" s="38">
        <f t="shared" si="13"/>
        <v>929232.03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109969.74</v>
      </c>
      <c r="G296" s="18">
        <v>29375.06</v>
      </c>
      <c r="H296" s="18">
        <v>16955.03</v>
      </c>
      <c r="I296" s="18">
        <v>47832.639999999999</v>
      </c>
      <c r="J296" s="18">
        <v>290.99</v>
      </c>
      <c r="K296" s="18"/>
      <c r="L296" s="13">
        <f>SUM(F296:K296)</f>
        <v>204423.46000000002</v>
      </c>
      <c r="M296" s="8"/>
      <c r="N296" s="165"/>
    </row>
    <row r="297" spans="1:14" s="3" customFormat="1" ht="12.2" customHeight="1" x14ac:dyDescent="0.15">
      <c r="A297" s="1" t="s">
        <v>439</v>
      </c>
      <c r="B297" s="2" t="s">
        <v>358</v>
      </c>
      <c r="C297" s="2" t="s">
        <v>291</v>
      </c>
      <c r="D297" s="2" t="s">
        <v>431</v>
      </c>
      <c r="E297" s="6">
        <v>1200</v>
      </c>
      <c r="F297" s="18">
        <v>11889.21</v>
      </c>
      <c r="G297" s="18">
        <v>11739.42</v>
      </c>
      <c r="H297" s="18">
        <v>6261.21</v>
      </c>
      <c r="I297" s="18">
        <v>8417.86</v>
      </c>
      <c r="J297" s="18"/>
      <c r="K297" s="18"/>
      <c r="L297" s="13">
        <f>SUM(F297:K297)</f>
        <v>38307.699999999997</v>
      </c>
      <c r="M297" s="8"/>
      <c r="N297" s="165"/>
    </row>
    <row r="298" spans="1:14" s="3" customFormat="1" ht="12.2" customHeight="1" x14ac:dyDescent="0.15">
      <c r="A298" s="1" t="s">
        <v>440</v>
      </c>
      <c r="B298" s="2" t="s">
        <v>358</v>
      </c>
      <c r="C298" s="2" t="s">
        <v>292</v>
      </c>
      <c r="D298" s="2" t="s">
        <v>431</v>
      </c>
      <c r="E298" s="6">
        <v>1300</v>
      </c>
      <c r="F298" s="18">
        <v>391.34</v>
      </c>
      <c r="G298" s="18">
        <v>111.85</v>
      </c>
      <c r="H298" s="18">
        <v>3858.63</v>
      </c>
      <c r="I298" s="18">
        <v>1375.31</v>
      </c>
      <c r="J298" s="18"/>
      <c r="K298" s="18"/>
      <c r="L298" s="13">
        <f>SUM(F298:K298)</f>
        <v>5737.1299999999992</v>
      </c>
      <c r="M298" s="8"/>
      <c r="N298" s="165"/>
    </row>
    <row r="299" spans="1:14" s="3" customFormat="1" ht="12.2" customHeight="1" x14ac:dyDescent="0.15">
      <c r="A299" s="1" t="s">
        <v>441</v>
      </c>
      <c r="B299" s="2" t="s">
        <v>358</v>
      </c>
      <c r="C299" s="2" t="s">
        <v>293</v>
      </c>
      <c r="D299" s="2" t="s">
        <v>431</v>
      </c>
      <c r="E299" s="6">
        <v>1400</v>
      </c>
      <c r="F299" s="18">
        <v>1612.06</v>
      </c>
      <c r="G299" s="18">
        <v>329.59</v>
      </c>
      <c r="H299" s="18"/>
      <c r="I299" s="18">
        <v>3174.1</v>
      </c>
      <c r="J299" s="18"/>
      <c r="K299" s="18"/>
      <c r="L299" s="13">
        <f>SUM(F299:K299)</f>
        <v>5115.75</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41069.760000000002</v>
      </c>
      <c r="G301" s="18">
        <v>23213.96</v>
      </c>
      <c r="H301" s="18">
        <f>23849+22478.54</f>
        <v>46327.54</v>
      </c>
      <c r="I301" s="18">
        <f>293.8+1516</f>
        <v>1809.8</v>
      </c>
      <c r="J301" s="18"/>
      <c r="K301" s="18"/>
      <c r="L301" s="13">
        <f t="shared" ref="L301:L307" si="14">SUM(F301:K301)</f>
        <v>112421.06000000001</v>
      </c>
      <c r="M301" s="8"/>
      <c r="N301" s="165"/>
    </row>
    <row r="302" spans="1:14" s="3" customFormat="1" ht="12.2" customHeight="1" x14ac:dyDescent="0.15">
      <c r="A302" s="1" t="s">
        <v>443</v>
      </c>
      <c r="B302" s="2" t="s">
        <v>358</v>
      </c>
      <c r="C302" s="2" t="s">
        <v>295</v>
      </c>
      <c r="D302" s="2" t="s">
        <v>431</v>
      </c>
      <c r="E302" s="6">
        <v>2200</v>
      </c>
      <c r="F302" s="18">
        <v>9863.5400000000009</v>
      </c>
      <c r="G302" s="18">
        <v>4805</v>
      </c>
      <c r="H302" s="18">
        <v>19374.27</v>
      </c>
      <c r="I302" s="18">
        <v>1873.04</v>
      </c>
      <c r="J302" s="18"/>
      <c r="K302" s="18"/>
      <c r="L302" s="13">
        <f t="shared" si="14"/>
        <v>35915.85</v>
      </c>
      <c r="M302" s="8"/>
      <c r="N302" s="165"/>
    </row>
    <row r="303" spans="1:14" s="3" customFormat="1" ht="12.2" customHeight="1" x14ac:dyDescent="0.15">
      <c r="A303" s="1" t="s">
        <v>444</v>
      </c>
      <c r="B303" s="2" t="s">
        <v>358</v>
      </c>
      <c r="C303" s="2" t="s">
        <v>296</v>
      </c>
      <c r="D303" s="2" t="s">
        <v>431</v>
      </c>
      <c r="E303" s="6">
        <v>2300</v>
      </c>
      <c r="F303" s="18"/>
      <c r="G303" s="18"/>
      <c r="H303" s="18"/>
      <c r="I303" s="18">
        <v>474.53</v>
      </c>
      <c r="J303" s="18"/>
      <c r="K303" s="18"/>
      <c r="L303" s="13">
        <f t="shared" si="14"/>
        <v>474.53</v>
      </c>
      <c r="M303" s="8"/>
      <c r="N303" s="165"/>
    </row>
    <row r="304" spans="1:14" s="3" customFormat="1" ht="12.2" customHeight="1" x14ac:dyDescent="0.15">
      <c r="A304" s="1" t="s">
        <v>445</v>
      </c>
      <c r="B304" s="2" t="s">
        <v>358</v>
      </c>
      <c r="C304" s="2" t="s">
        <v>297</v>
      </c>
      <c r="D304" s="2" t="s">
        <v>431</v>
      </c>
      <c r="E304" s="6">
        <v>2400</v>
      </c>
      <c r="F304" s="18"/>
      <c r="G304" s="18"/>
      <c r="H304" s="18">
        <v>5788.16</v>
      </c>
      <c r="I304" s="18"/>
      <c r="J304" s="18"/>
      <c r="K304" s="18"/>
      <c r="L304" s="13">
        <f t="shared" si="14"/>
        <v>5788.16</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460.06</v>
      </c>
      <c r="I306" s="18"/>
      <c r="J306" s="18"/>
      <c r="K306" s="18"/>
      <c r="L306" s="13">
        <f t="shared" si="14"/>
        <v>460.06</v>
      </c>
      <c r="M306" s="8"/>
      <c r="N306" s="165"/>
    </row>
    <row r="307" spans="1:14" s="3" customFormat="1" ht="12.2" customHeight="1" x14ac:dyDescent="0.15">
      <c r="A307" s="1" t="s">
        <v>448</v>
      </c>
      <c r="B307" s="2" t="s">
        <v>358</v>
      </c>
      <c r="C307" s="2" t="s">
        <v>300</v>
      </c>
      <c r="D307" s="2" t="s">
        <v>431</v>
      </c>
      <c r="E307" s="6">
        <v>2700</v>
      </c>
      <c r="F307" s="18"/>
      <c r="G307" s="18"/>
      <c r="H307" s="18">
        <v>3224.57</v>
      </c>
      <c r="I307" s="18"/>
      <c r="J307" s="18"/>
      <c r="K307" s="18"/>
      <c r="L307" s="13">
        <f t="shared" si="14"/>
        <v>3224.57</v>
      </c>
      <c r="M307" s="8"/>
      <c r="N307" s="165"/>
    </row>
    <row r="308" spans="1:14" s="3" customFormat="1" ht="12.2" customHeight="1" x14ac:dyDescent="0.15">
      <c r="A308" s="1" t="s">
        <v>449</v>
      </c>
      <c r="B308" s="2" t="s">
        <v>358</v>
      </c>
      <c r="C308" s="2" t="s">
        <v>343</v>
      </c>
      <c r="D308" s="2" t="s">
        <v>431</v>
      </c>
      <c r="E308" s="6">
        <v>2800</v>
      </c>
      <c r="F308" s="18"/>
      <c r="G308" s="18"/>
      <c r="H308" s="18"/>
      <c r="I308" s="18">
        <v>2375.1799999999998</v>
      </c>
      <c r="J308" s="18"/>
      <c r="K308" s="18"/>
      <c r="L308" s="13">
        <f>SUM(F308:K308)</f>
        <v>2375.1799999999998</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174795.65000000002</v>
      </c>
      <c r="G310" s="39">
        <f t="shared" si="15"/>
        <v>69574.880000000005</v>
      </c>
      <c r="H310" s="39">
        <f t="shared" si="15"/>
        <v>102249.47000000002</v>
      </c>
      <c r="I310" s="39">
        <f t="shared" si="15"/>
        <v>67332.459999999992</v>
      </c>
      <c r="J310" s="39">
        <f t="shared" si="15"/>
        <v>290.99</v>
      </c>
      <c r="K310" s="39">
        <f t="shared" si="15"/>
        <v>0</v>
      </c>
      <c r="L310" s="38">
        <f t="shared" si="15"/>
        <v>414243.45</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43494.74</v>
      </c>
      <c r="G315" s="18">
        <v>27213.56</v>
      </c>
      <c r="H315" s="18">
        <v>25890.39</v>
      </c>
      <c r="I315" s="18">
        <v>19591.419999999998</v>
      </c>
      <c r="J315" s="18"/>
      <c r="K315" s="18"/>
      <c r="L315" s="13">
        <f>SUM(F315:K315)</f>
        <v>116190.11</v>
      </c>
      <c r="M315" s="8"/>
      <c r="N315" s="165"/>
    </row>
    <row r="316" spans="1:14" s="3" customFormat="1" ht="12.2" customHeight="1" x14ac:dyDescent="0.15">
      <c r="A316" s="1" t="s">
        <v>439</v>
      </c>
      <c r="B316" s="2" t="s">
        <v>359</v>
      </c>
      <c r="C316" s="2" t="s">
        <v>291</v>
      </c>
      <c r="D316" s="2" t="s">
        <v>431</v>
      </c>
      <c r="E316" s="6">
        <v>1200</v>
      </c>
      <c r="F316" s="18">
        <v>18154.849999999999</v>
      </c>
      <c r="G316" s="18">
        <v>17926.13</v>
      </c>
      <c r="H316" s="18">
        <v>9560.8799999999992</v>
      </c>
      <c r="I316" s="18">
        <v>12717.7</v>
      </c>
      <c r="J316" s="18"/>
      <c r="K316" s="18"/>
      <c r="L316" s="13">
        <f>SUM(F316:K316)</f>
        <v>58359.56</v>
      </c>
      <c r="M316" s="8"/>
      <c r="N316" s="165"/>
    </row>
    <row r="317" spans="1:14" s="3" customFormat="1" ht="12.2" customHeight="1" x14ac:dyDescent="0.15">
      <c r="A317" s="1" t="s">
        <v>440</v>
      </c>
      <c r="B317" s="2" t="s">
        <v>359</v>
      </c>
      <c r="C317" s="2" t="s">
        <v>292</v>
      </c>
      <c r="D317" s="2" t="s">
        <v>431</v>
      </c>
      <c r="E317" s="6">
        <v>1300</v>
      </c>
      <c r="F317" s="18">
        <v>5812.57</v>
      </c>
      <c r="G317" s="18">
        <v>1647.83</v>
      </c>
      <c r="H317" s="18">
        <v>26767.48</v>
      </c>
      <c r="I317" s="18">
        <v>8030.56</v>
      </c>
      <c r="J317" s="18">
        <v>12284.4</v>
      </c>
      <c r="K317" s="18">
        <v>1767.51</v>
      </c>
      <c r="L317" s="13">
        <f>SUM(F317:K317)</f>
        <v>56310.35</v>
      </c>
      <c r="M317" s="8"/>
      <c r="N317" s="165"/>
    </row>
    <row r="318" spans="1:14" s="3" customFormat="1" ht="12.2" customHeight="1" x14ac:dyDescent="0.15">
      <c r="A318" s="1" t="s">
        <v>441</v>
      </c>
      <c r="B318" s="2" t="s">
        <v>359</v>
      </c>
      <c r="C318" s="2" t="s">
        <v>293</v>
      </c>
      <c r="D318" s="2" t="s">
        <v>431</v>
      </c>
      <c r="E318" s="6">
        <v>1400</v>
      </c>
      <c r="F318" s="18">
        <v>2461.62</v>
      </c>
      <c r="G318" s="18">
        <v>503.28</v>
      </c>
      <c r="H318" s="18"/>
      <c r="I318" s="18">
        <v>298.48</v>
      </c>
      <c r="J318" s="18"/>
      <c r="K318" s="18"/>
      <c r="L318" s="13">
        <f>SUM(F318:K318)</f>
        <v>3263.3799999999997</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26395.14</v>
      </c>
      <c r="G320" s="18">
        <v>14830.33</v>
      </c>
      <c r="H320" s="18">
        <f>34808.02+31971.46</f>
        <v>66779.48</v>
      </c>
      <c r="I320" s="18">
        <v>509.61</v>
      </c>
      <c r="J320" s="18"/>
      <c r="K320" s="18"/>
      <c r="L320" s="13">
        <f t="shared" ref="L320:L326" si="16">SUM(F320:K320)</f>
        <v>108514.56</v>
      </c>
      <c r="M320" s="8"/>
      <c r="N320" s="165"/>
    </row>
    <row r="321" spans="1:14" s="3" customFormat="1" ht="12.2" customHeight="1" x14ac:dyDescent="0.15">
      <c r="A321" s="1" t="s">
        <v>443</v>
      </c>
      <c r="B321" s="2" t="s">
        <v>359</v>
      </c>
      <c r="C321" s="2" t="s">
        <v>295</v>
      </c>
      <c r="D321" s="2" t="s">
        <v>431</v>
      </c>
      <c r="E321" s="6">
        <v>2200</v>
      </c>
      <c r="F321" s="18">
        <v>15061.65</v>
      </c>
      <c r="G321" s="18">
        <v>7337.25</v>
      </c>
      <c r="H321" s="18">
        <v>11309.1</v>
      </c>
      <c r="I321" s="18">
        <v>2860.15</v>
      </c>
      <c r="J321" s="18"/>
      <c r="K321" s="18"/>
      <c r="L321" s="13">
        <f t="shared" si="16"/>
        <v>36568.15</v>
      </c>
      <c r="M321" s="8"/>
      <c r="N321" s="165"/>
    </row>
    <row r="322" spans="1:14" s="3" customFormat="1" ht="12.2" customHeight="1" x14ac:dyDescent="0.15">
      <c r="A322" s="1" t="s">
        <v>444</v>
      </c>
      <c r="B322" s="2" t="s">
        <v>359</v>
      </c>
      <c r="C322" s="2" t="s">
        <v>296</v>
      </c>
      <c r="D322" s="2" t="s">
        <v>431</v>
      </c>
      <c r="E322" s="6">
        <v>2300</v>
      </c>
      <c r="F322" s="18"/>
      <c r="G322" s="18"/>
      <c r="H322" s="18"/>
      <c r="I322" s="18">
        <v>724.61</v>
      </c>
      <c r="J322" s="18"/>
      <c r="K322" s="18"/>
      <c r="L322" s="13">
        <f t="shared" si="16"/>
        <v>724.61</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702.51</v>
      </c>
      <c r="I325" s="18"/>
      <c r="J325" s="18">
        <v>41231.599999999999</v>
      </c>
      <c r="K325" s="18"/>
      <c r="L325" s="13">
        <f t="shared" si="16"/>
        <v>41934.11</v>
      </c>
      <c r="M325" s="8"/>
      <c r="N325" s="165"/>
    </row>
    <row r="326" spans="1:14" s="3" customFormat="1" ht="12.2" customHeight="1" x14ac:dyDescent="0.15">
      <c r="A326" s="1" t="s">
        <v>448</v>
      </c>
      <c r="B326" s="2" t="s">
        <v>359</v>
      </c>
      <c r="C326" s="2" t="s">
        <v>300</v>
      </c>
      <c r="D326" s="2" t="s">
        <v>431</v>
      </c>
      <c r="E326" s="6">
        <v>2700</v>
      </c>
      <c r="F326" s="18"/>
      <c r="G326" s="18"/>
      <c r="H326" s="18">
        <v>4522.1499999999996</v>
      </c>
      <c r="I326" s="18"/>
      <c r="J326" s="18"/>
      <c r="K326" s="18"/>
      <c r="L326" s="13">
        <f t="shared" si="16"/>
        <v>4522.1499999999996</v>
      </c>
      <c r="M326" s="8"/>
      <c r="N326" s="165"/>
    </row>
    <row r="327" spans="1:14" s="3" customFormat="1" ht="12.2" customHeight="1" x14ac:dyDescent="0.15">
      <c r="A327" s="1" t="s">
        <v>449</v>
      </c>
      <c r="B327" s="2" t="s">
        <v>359</v>
      </c>
      <c r="C327" s="2" t="s">
        <v>343</v>
      </c>
      <c r="D327" s="2" t="s">
        <v>431</v>
      </c>
      <c r="E327" s="6">
        <v>2800</v>
      </c>
      <c r="F327" s="18"/>
      <c r="G327" s="18"/>
      <c r="H327" s="18"/>
      <c r="I327" s="18">
        <v>3626.9</v>
      </c>
      <c r="J327" s="18"/>
      <c r="K327" s="18"/>
      <c r="L327" s="13">
        <f>SUM(F327:K327)</f>
        <v>3626.9</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111380.56999999999</v>
      </c>
      <c r="G329" s="39">
        <f t="shared" si="17"/>
        <v>69458.38</v>
      </c>
      <c r="H329" s="39">
        <f t="shared" si="17"/>
        <v>145531.99</v>
      </c>
      <c r="I329" s="39">
        <f t="shared" si="17"/>
        <v>48359.430000000008</v>
      </c>
      <c r="J329" s="39">
        <f t="shared" si="17"/>
        <v>53516</v>
      </c>
      <c r="K329" s="39">
        <f t="shared" si="17"/>
        <v>1767.51</v>
      </c>
      <c r="L329" s="38">
        <f t="shared" si="17"/>
        <v>430013.88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v>249.58</v>
      </c>
      <c r="G336" s="18">
        <v>19.09</v>
      </c>
      <c r="H336" s="18">
        <v>114.13</v>
      </c>
      <c r="I336" s="18"/>
      <c r="J336" s="18"/>
      <c r="K336" s="18"/>
      <c r="L336" s="13">
        <f t="shared" si="18"/>
        <v>382.8</v>
      </c>
      <c r="M336" s="8"/>
      <c r="N336" s="165"/>
    </row>
    <row r="337" spans="1:43" s="3" customFormat="1" ht="12.2" customHeight="1" thickBot="1" x14ac:dyDescent="0.2">
      <c r="A337" s="1" t="s">
        <v>584</v>
      </c>
      <c r="B337" s="6">
        <v>14</v>
      </c>
      <c r="C337" s="6">
        <v>5</v>
      </c>
      <c r="D337" s="2" t="s">
        <v>431</v>
      </c>
      <c r="E337" s="6">
        <v>4000</v>
      </c>
      <c r="F337" s="18"/>
      <c r="G337" s="18"/>
      <c r="H337" s="18">
        <v>641985.6</v>
      </c>
      <c r="I337" s="18">
        <v>33196.050000000003</v>
      </c>
      <c r="J337" s="18"/>
      <c r="K337" s="18"/>
      <c r="L337" s="13">
        <f t="shared" si="18"/>
        <v>675181.65</v>
      </c>
      <c r="M337" s="8"/>
      <c r="N337" s="165"/>
    </row>
    <row r="338" spans="1:43" s="3" customFormat="1" ht="12.2" customHeight="1" thickTop="1" thickBot="1" x14ac:dyDescent="0.2">
      <c r="A338" s="46" t="s">
        <v>467</v>
      </c>
      <c r="B338" s="37">
        <v>14</v>
      </c>
      <c r="C338" s="47">
        <v>6</v>
      </c>
      <c r="D338" s="44" t="s">
        <v>431</v>
      </c>
      <c r="E338" s="47"/>
      <c r="F338" s="38">
        <f t="shared" ref="F338:K338" si="19">SUM(F333:F337)</f>
        <v>249.58</v>
      </c>
      <c r="G338" s="38">
        <f t="shared" si="19"/>
        <v>19.09</v>
      </c>
      <c r="H338" s="38">
        <f t="shared" si="19"/>
        <v>642099.73</v>
      </c>
      <c r="I338" s="38">
        <f t="shared" si="19"/>
        <v>33196.050000000003</v>
      </c>
      <c r="J338" s="38">
        <f t="shared" si="19"/>
        <v>0</v>
      </c>
      <c r="K338" s="38">
        <f t="shared" si="19"/>
        <v>0</v>
      </c>
      <c r="L338" s="38">
        <f t="shared" si="18"/>
        <v>675564.45000000007</v>
      </c>
      <c r="M338" s="8"/>
      <c r="N338" s="165"/>
    </row>
    <row r="339" spans="1:43" s="3" customFormat="1" ht="12.2" customHeight="1" thickTop="1" x14ac:dyDescent="0.15">
      <c r="A339" s="35" t="s">
        <v>468</v>
      </c>
      <c r="B339" s="37">
        <v>14</v>
      </c>
      <c r="C339" s="37">
        <v>7</v>
      </c>
      <c r="D339" s="36" t="s">
        <v>431</v>
      </c>
      <c r="E339" s="37"/>
      <c r="F339" s="38">
        <f t="shared" ref="F339:L339" si="20">F291+F310+F329+F338</f>
        <v>727932.41999999993</v>
      </c>
      <c r="G339" s="38">
        <f t="shared" si="20"/>
        <v>355120.99000000005</v>
      </c>
      <c r="H339" s="38">
        <f t="shared" si="20"/>
        <v>1029055.6799999999</v>
      </c>
      <c r="I339" s="38">
        <f t="shared" si="20"/>
        <v>278288.27999999997</v>
      </c>
      <c r="J339" s="38">
        <f t="shared" si="20"/>
        <v>56888.93</v>
      </c>
      <c r="K339" s="38">
        <f t="shared" si="20"/>
        <v>1767.51</v>
      </c>
      <c r="L339" s="38">
        <f t="shared" si="20"/>
        <v>2449053.81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727932.41999999993</v>
      </c>
      <c r="G353" s="38">
        <f>G339</f>
        <v>355120.99000000005</v>
      </c>
      <c r="H353" s="38">
        <f>H339</f>
        <v>1029055.6799999999</v>
      </c>
      <c r="I353" s="38">
        <f>I339</f>
        <v>278288.27999999997</v>
      </c>
      <c r="J353" s="38">
        <f>J339</f>
        <v>56888.93</v>
      </c>
      <c r="K353" s="38">
        <f>K339+K352</f>
        <v>1767.51</v>
      </c>
      <c r="L353" s="38">
        <f>L339+L352</f>
        <v>2449053.81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494994.03/822.5*341.16</f>
        <v>205315.70003015202</v>
      </c>
      <c r="I359" s="18"/>
      <c r="J359" s="18"/>
      <c r="K359" s="18"/>
      <c r="L359" s="13">
        <f>SUM(F359:K359)</f>
        <v>205315.70003015202</v>
      </c>
      <c r="M359" s="8"/>
      <c r="N359" s="165"/>
    </row>
    <row r="360" spans="1:22" s="3" customFormat="1" ht="12.2" customHeight="1" x14ac:dyDescent="0.15">
      <c r="A360" s="1" t="s">
        <v>542</v>
      </c>
      <c r="B360" s="2" t="s">
        <v>366</v>
      </c>
      <c r="C360" s="6">
        <v>2</v>
      </c>
      <c r="D360" s="2" t="s">
        <v>431</v>
      </c>
      <c r="E360" s="6"/>
      <c r="F360" s="18"/>
      <c r="G360" s="18"/>
      <c r="H360" s="18">
        <f>494994.03/822.5*200.18</f>
        <v>120471.61693057753</v>
      </c>
      <c r="I360" s="18"/>
      <c r="J360" s="18"/>
      <c r="K360" s="18"/>
      <c r="L360" s="13">
        <f>SUM(F360:K360)</f>
        <v>120471.61693057753</v>
      </c>
      <c r="M360" s="8"/>
      <c r="N360" s="165"/>
    </row>
    <row r="361" spans="1:22" s="3" customFormat="1" ht="12.2" customHeight="1" x14ac:dyDescent="0.15">
      <c r="A361" s="3" t="s">
        <v>543</v>
      </c>
      <c r="B361" s="2" t="s">
        <v>366</v>
      </c>
      <c r="C361" s="6">
        <v>3</v>
      </c>
      <c r="D361" s="2" t="s">
        <v>431</v>
      </c>
      <c r="E361" s="6"/>
      <c r="F361" s="18"/>
      <c r="G361" s="18"/>
      <c r="H361" s="18">
        <f>494994.03/822.5*281.16</f>
        <v>169206.71303927054</v>
      </c>
      <c r="I361" s="18"/>
      <c r="J361" s="18"/>
      <c r="K361" s="18"/>
      <c r="L361" s="13">
        <f>SUM(F361:K361)</f>
        <v>169206.71303927054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494994.03000000009</v>
      </c>
      <c r="I363" s="38">
        <f t="shared" si="22"/>
        <v>0</v>
      </c>
      <c r="J363" s="38">
        <f t="shared" si="22"/>
        <v>0</v>
      </c>
      <c r="K363" s="38">
        <f t="shared" si="22"/>
        <v>0</v>
      </c>
      <c r="L363" s="38">
        <f t="shared" si="22"/>
        <v>494994.03000000009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f>619345.5+149450.12</f>
        <v>768795.62</v>
      </c>
      <c r="I377" s="18"/>
      <c r="J377" s="18"/>
      <c r="K377" s="18"/>
      <c r="L377" s="13">
        <f t="shared" si="23"/>
        <v>768795.62</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f>13000+7976</f>
        <v>20976</v>
      </c>
      <c r="I381" s="18"/>
      <c r="J381" s="18"/>
      <c r="K381" s="18"/>
      <c r="L381" s="13">
        <f t="shared" si="23"/>
        <v>20976</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789771.62</v>
      </c>
      <c r="I383" s="38">
        <f t="shared" si="24"/>
        <v>0</v>
      </c>
      <c r="J383" s="38">
        <f t="shared" si="24"/>
        <v>0</v>
      </c>
      <c r="K383" s="38">
        <f t="shared" si="24"/>
        <v>0</v>
      </c>
      <c r="L383" s="38">
        <f t="shared" si="24"/>
        <v>789771.62</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330558</v>
      </c>
      <c r="G443" s="18"/>
      <c r="H443" s="18"/>
      <c r="I443" s="13">
        <f t="shared" si="33"/>
        <v>330558</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330558</v>
      </c>
      <c r="G447" s="13">
        <f>SUM(G440:G446)</f>
        <v>0</v>
      </c>
      <c r="H447" s="13">
        <f>SUM(H440:H446)</f>
        <v>0</v>
      </c>
      <c r="I447" s="13">
        <f>SUM(I440:I446)</f>
        <v>330558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330558</v>
      </c>
      <c r="G460" s="18"/>
      <c r="H460" s="18"/>
      <c r="I460" s="13">
        <f t="shared" si="34"/>
        <v>330558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330558</v>
      </c>
      <c r="G461" s="65">
        <f>SUM(G455:G460)</f>
        <v>0</v>
      </c>
      <c r="H461" s="65">
        <f>SUM(H455:H460)</f>
        <v>0</v>
      </c>
      <c r="I461" s="65">
        <f>SUM(I455:I460)</f>
        <v>330558</v>
      </c>
      <c r="J461" s="23" t="s">
        <v>288</v>
      </c>
      <c r="K461" s="23" t="s">
        <v>288</v>
      </c>
      <c r="L461" s="23" t="s">
        <v>288</v>
      </c>
      <c r="N461" s="131"/>
    </row>
    <row r="462" spans="1:86" ht="12.2" customHeight="1" thickTop="1" x14ac:dyDescent="0.2">
      <c r="A462" s="40" t="s">
        <v>424</v>
      </c>
      <c r="B462" s="41">
        <v>18</v>
      </c>
      <c r="C462" s="64">
        <v>21</v>
      </c>
      <c r="D462" s="114" t="s">
        <v>432</v>
      </c>
      <c r="E462" s="64"/>
      <c r="F462" s="39">
        <f>F453+F461</f>
        <v>330558</v>
      </c>
      <c r="G462" s="39">
        <f>G453+G461</f>
        <v>0</v>
      </c>
      <c r="H462" s="39">
        <f>H453+H461</f>
        <v>0</v>
      </c>
      <c r="I462" s="39">
        <f>I453+I461</f>
        <v>330558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464161</v>
      </c>
      <c r="G466" s="18">
        <v>63201.91</v>
      </c>
      <c r="H466" s="18">
        <v>104092.82</v>
      </c>
      <c r="I466" s="18"/>
      <c r="J466" s="18">
        <v>330558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18431602.449999999</v>
      </c>
      <c r="G469" s="18">
        <v>449020.32</v>
      </c>
      <c r="H469" s="18">
        <f>2449053.81-104092.82+75140.6</f>
        <v>2420101.5900000003</v>
      </c>
      <c r="I469" s="18">
        <f>2503062.71-273576.84</f>
        <v>2229485.87</v>
      </c>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18431602.449999999</v>
      </c>
      <c r="G471" s="19">
        <f>SUM(G469:G470)</f>
        <v>449020.32</v>
      </c>
      <c r="H471" s="19">
        <f>SUM(H469:H470)</f>
        <v>2420101.5900000003</v>
      </c>
      <c r="I471" s="19">
        <f>SUM(I469:I470)</f>
        <v>2229485.87</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18619211.690000001</v>
      </c>
      <c r="G473" s="18">
        <v>494994.03</v>
      </c>
      <c r="H473" s="18">
        <v>2449053.81</v>
      </c>
      <c r="I473" s="18">
        <f>1063348.46-273576.84</f>
        <v>789771.61999999988</v>
      </c>
      <c r="J473" s="18"/>
      <c r="K473" s="23" t="s">
        <v>288</v>
      </c>
      <c r="L473" s="23" t="s">
        <v>288</v>
      </c>
      <c r="N473" s="131"/>
    </row>
    <row r="474" spans="1:14" ht="12.2" customHeight="1" x14ac:dyDescent="0.2">
      <c r="A474" s="71" t="s">
        <v>613</v>
      </c>
      <c r="B474" s="22">
        <v>19</v>
      </c>
      <c r="C474" s="31">
        <v>6</v>
      </c>
      <c r="D474" s="2" t="s">
        <v>432</v>
      </c>
      <c r="E474" s="31"/>
      <c r="F474" s="18">
        <v>23385.67</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18642597.360000003</v>
      </c>
      <c r="G475" s="19">
        <f>SUM(G473:G474)</f>
        <v>494994.03</v>
      </c>
      <c r="H475" s="19">
        <f>SUM(H473:H474)</f>
        <v>2449053.81</v>
      </c>
      <c r="I475" s="19">
        <f>SUM(I473:I474)</f>
        <v>789771.61999999988</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253166.08999999613</v>
      </c>
      <c r="G477" s="19">
        <f>(G466+G471)- G475</f>
        <v>17228.199999999953</v>
      </c>
      <c r="H477" s="19">
        <f>(H466+H471)- H475</f>
        <v>75140.600000000093</v>
      </c>
      <c r="I477" s="19">
        <f>(I466+I471)- I475</f>
        <v>1439714.2500000002</v>
      </c>
      <c r="J477" s="19">
        <f>(J466+J471)- J475</f>
        <v>330558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1816</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1763100</v>
      </c>
      <c r="G494" s="18">
        <v>10158100</v>
      </c>
      <c r="H494" s="18"/>
      <c r="I494" s="18"/>
      <c r="J494" s="18"/>
      <c r="K494" s="23" t="s">
        <v>288</v>
      </c>
      <c r="L494" s="23" t="s">
        <v>288</v>
      </c>
      <c r="N494" s="131"/>
    </row>
    <row r="495" spans="1:14" ht="12.2" customHeight="1" x14ac:dyDescent="0.2">
      <c r="A495" s="21" t="s">
        <v>618</v>
      </c>
      <c r="B495" s="22">
        <v>20</v>
      </c>
      <c r="C495" s="22">
        <v>5</v>
      </c>
      <c r="D495" s="2" t="s">
        <v>432</v>
      </c>
      <c r="E495" s="22"/>
      <c r="F495" s="18">
        <v>3.38</v>
      </c>
      <c r="G495" s="18">
        <v>4.57</v>
      </c>
      <c r="H495" s="18"/>
      <c r="I495" s="18"/>
      <c r="J495" s="18"/>
      <c r="K495" s="23" t="s">
        <v>288</v>
      </c>
      <c r="L495" s="23" t="s">
        <v>288</v>
      </c>
      <c r="N495" s="131"/>
    </row>
    <row r="496" spans="1:14" ht="12.2" customHeight="1" x14ac:dyDescent="0.2">
      <c r="A496" s="21" t="s">
        <v>619</v>
      </c>
      <c r="B496" s="22">
        <v>20</v>
      </c>
      <c r="C496" s="22">
        <v>6</v>
      </c>
      <c r="D496" s="2" t="s">
        <v>432</v>
      </c>
      <c r="E496" s="22"/>
      <c r="F496" s="18">
        <v>1763100</v>
      </c>
      <c r="G496" s="18">
        <v>3030000</v>
      </c>
      <c r="H496" s="18"/>
      <c r="I496" s="18"/>
      <c r="J496" s="18"/>
      <c r="K496" s="19">
        <f>SUM(F496:J496)</f>
        <v>4793100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1763100</v>
      </c>
      <c r="G499" s="147">
        <v>2525000</v>
      </c>
      <c r="H499" s="147"/>
      <c r="I499" s="147"/>
      <c r="J499" s="147"/>
      <c r="K499" s="148">
        <f t="shared" si="35"/>
        <v>4288100</v>
      </c>
      <c r="L499" s="149" t="s">
        <v>288</v>
      </c>
      <c r="N499" s="131"/>
    </row>
    <row r="500" spans="1:14" ht="12.2" customHeight="1" thickBot="1" x14ac:dyDescent="0.25">
      <c r="A500" s="21" t="s">
        <v>623</v>
      </c>
      <c r="B500" s="22">
        <v>20</v>
      </c>
      <c r="C500" s="22">
        <v>10</v>
      </c>
      <c r="D500" s="2" t="s">
        <v>432</v>
      </c>
      <c r="E500" s="22"/>
      <c r="F500" s="18">
        <v>821841</v>
      </c>
      <c r="G500" s="18">
        <v>143844</v>
      </c>
      <c r="H500" s="18"/>
      <c r="I500" s="18"/>
      <c r="J500" s="18"/>
      <c r="K500" s="19">
        <f t="shared" si="35"/>
        <v>965685</v>
      </c>
      <c r="L500" s="23" t="s">
        <v>288</v>
      </c>
      <c r="N500" s="131"/>
    </row>
    <row r="501" spans="1:14" ht="12.2" customHeight="1" thickTop="1" x14ac:dyDescent="0.2">
      <c r="A501" s="97" t="s">
        <v>624</v>
      </c>
      <c r="B501" s="41">
        <v>20</v>
      </c>
      <c r="C501" s="41">
        <v>11</v>
      </c>
      <c r="D501" s="36" t="s">
        <v>432</v>
      </c>
      <c r="E501" s="41"/>
      <c r="F501" s="39">
        <f>SUM(F499:F500)</f>
        <v>2584941</v>
      </c>
      <c r="G501" s="39">
        <f>SUM(G499:G500)</f>
        <v>2668844</v>
      </c>
      <c r="H501" s="39">
        <f>SUM(H499:H500)</f>
        <v>0</v>
      </c>
      <c r="I501" s="39">
        <f>SUM(I499:I500)</f>
        <v>0</v>
      </c>
      <c r="J501" s="39">
        <f>SUM(J499:J500)</f>
        <v>0</v>
      </c>
      <c r="K501" s="39">
        <f t="shared" si="35"/>
        <v>5253785</v>
      </c>
      <c r="L501" s="42" t="s">
        <v>288</v>
      </c>
      <c r="N501" s="131"/>
    </row>
    <row r="502" spans="1:14" ht="12.2" customHeight="1" x14ac:dyDescent="0.2">
      <c r="A502" s="144" t="s">
        <v>651</v>
      </c>
      <c r="B502" s="145">
        <v>20</v>
      </c>
      <c r="C502" s="145">
        <v>12</v>
      </c>
      <c r="D502" s="146" t="s">
        <v>432</v>
      </c>
      <c r="E502" s="145"/>
      <c r="F502" s="147">
        <v>88200</v>
      </c>
      <c r="G502" s="147">
        <v>505000</v>
      </c>
      <c r="H502" s="147"/>
      <c r="I502" s="147"/>
      <c r="J502" s="147"/>
      <c r="K502" s="148">
        <f t="shared" si="35"/>
        <v>593200</v>
      </c>
      <c r="L502" s="149" t="s">
        <v>288</v>
      </c>
      <c r="N502" s="131"/>
    </row>
    <row r="503" spans="1:14" ht="12.2" customHeight="1" thickBot="1" x14ac:dyDescent="0.25">
      <c r="A503" s="21" t="s">
        <v>625</v>
      </c>
      <c r="B503" s="22">
        <v>20</v>
      </c>
      <c r="C503" s="22">
        <v>13</v>
      </c>
      <c r="D503" s="2" t="s">
        <v>432</v>
      </c>
      <c r="E503" s="22"/>
      <c r="F503" s="18">
        <v>83264</v>
      </c>
      <c r="G503" s="18">
        <v>48044</v>
      </c>
      <c r="H503" s="18"/>
      <c r="I503" s="18"/>
      <c r="J503" s="18"/>
      <c r="K503" s="19">
        <f t="shared" si="35"/>
        <v>131308</v>
      </c>
      <c r="L503" s="23" t="s">
        <v>288</v>
      </c>
      <c r="N503" s="131"/>
    </row>
    <row r="504" spans="1:14" ht="12.2" customHeight="1" thickTop="1" x14ac:dyDescent="0.2">
      <c r="A504" s="97" t="s">
        <v>626</v>
      </c>
      <c r="B504" s="41">
        <v>20</v>
      </c>
      <c r="C504" s="41">
        <v>14</v>
      </c>
      <c r="D504" s="36" t="s">
        <v>432</v>
      </c>
      <c r="E504" s="41"/>
      <c r="F504" s="39">
        <f>SUM(F502:F503)</f>
        <v>171464</v>
      </c>
      <c r="G504" s="39">
        <f>SUM(G502:G503)</f>
        <v>553044</v>
      </c>
      <c r="H504" s="39">
        <f>SUM(H502:H503)</f>
        <v>0</v>
      </c>
      <c r="I504" s="39">
        <f>SUM(I502:I503)</f>
        <v>0</v>
      </c>
      <c r="J504" s="39">
        <f>SUM(J502:J503)</f>
        <v>0</v>
      </c>
      <c r="K504" s="39">
        <f t="shared" si="35"/>
        <v>724508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886105.27+27607.55+20739.67</f>
        <v>934452.49000000011</v>
      </c>
      <c r="G522" s="18">
        <f>414939.84+577.57+17800.43+20478.37</f>
        <v>453796.21</v>
      </c>
      <c r="H522" s="18">
        <f>362129.82+5328.21</f>
        <v>367458.03</v>
      </c>
      <c r="I522" s="18">
        <f>21064.89+59.49+83.03+14630.9</f>
        <v>35838.31</v>
      </c>
      <c r="J522" s="18">
        <v>3517.82</v>
      </c>
      <c r="K522" s="18"/>
      <c r="L522" s="69">
        <f>SUM(F522:K522)</f>
        <v>1795062.8600000003</v>
      </c>
      <c r="N522" s="131"/>
    </row>
    <row r="523" spans="1:14" ht="12.2" customHeight="1" x14ac:dyDescent="0.2">
      <c r="A523" s="21" t="s">
        <v>634</v>
      </c>
      <c r="B523" s="22">
        <v>21</v>
      </c>
      <c r="C523" s="22">
        <v>2</v>
      </c>
      <c r="D523" s="2" t="s">
        <v>432</v>
      </c>
      <c r="E523" s="22"/>
      <c r="F523" s="18">
        <f>370854.07+13803.76+11634.45</f>
        <v>396292.28</v>
      </c>
      <c r="G523" s="18">
        <f>285652.97+324+8900.25+11487.87</f>
        <v>306365.08999999997</v>
      </c>
      <c r="H523" s="18">
        <f>366643.94+2989</f>
        <v>369632.94</v>
      </c>
      <c r="I523" s="18">
        <f>1410.91+33.38+46.58+8207.58</f>
        <v>9698.4500000000007</v>
      </c>
      <c r="J523" s="18">
        <v>200</v>
      </c>
      <c r="K523" s="18"/>
      <c r="L523" s="69">
        <f>SUM(F523:K523)</f>
        <v>1082188.76</v>
      </c>
      <c r="N523" s="131"/>
    </row>
    <row r="524" spans="1:14" ht="12.2" customHeight="1" thickBot="1" x14ac:dyDescent="0.25">
      <c r="A524" s="21" t="s">
        <v>635</v>
      </c>
      <c r="B524" s="22">
        <v>21</v>
      </c>
      <c r="C524" s="22">
        <v>3</v>
      </c>
      <c r="D524" s="2" t="s">
        <v>432</v>
      </c>
      <c r="E524" s="22"/>
      <c r="F524" s="18">
        <f>346616.65+13803.76+18210.44</f>
        <v>378630.85000000003</v>
      </c>
      <c r="G524" s="18">
        <f>132549.75+8899.56+17981.01</f>
        <v>159430.32</v>
      </c>
      <c r="H524" s="18">
        <f>330082.04+4678.43</f>
        <v>334760.46999999997</v>
      </c>
      <c r="I524" s="18">
        <f>3304.62+52.24+72.89+12846.64</f>
        <v>16276.39</v>
      </c>
      <c r="J524" s="18">
        <v>16015.5</v>
      </c>
      <c r="K524" s="18"/>
      <c r="L524" s="69">
        <f>SUM(F524:K524)</f>
        <v>905113.53</v>
      </c>
      <c r="N524" s="131"/>
    </row>
    <row r="525" spans="1:14" ht="12.2" customHeight="1" thickTop="1" x14ac:dyDescent="0.2">
      <c r="A525" s="97" t="s">
        <v>63</v>
      </c>
      <c r="B525" s="41">
        <v>21</v>
      </c>
      <c r="C525" s="41">
        <v>4</v>
      </c>
      <c r="D525" s="115" t="s">
        <v>432</v>
      </c>
      <c r="E525" s="41"/>
      <c r="F525" s="81">
        <f>SUM(F522:F524)</f>
        <v>1709375.62</v>
      </c>
      <c r="G525" s="81">
        <f t="shared" ref="G525:L525" si="36">SUM(G522:G524)</f>
        <v>919591.62000000011</v>
      </c>
      <c r="H525" s="81">
        <f t="shared" si="36"/>
        <v>1071851.44</v>
      </c>
      <c r="I525" s="81">
        <f t="shared" si="36"/>
        <v>61813.149999999994</v>
      </c>
      <c r="J525" s="81">
        <f t="shared" si="36"/>
        <v>19733.32</v>
      </c>
      <c r="K525" s="81">
        <f t="shared" si="36"/>
        <v>0</v>
      </c>
      <c r="L525" s="70">
        <f t="shared" si="36"/>
        <v>3782365.1500000004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213015.2</v>
      </c>
      <c r="G527" s="18">
        <v>107384.3</v>
      </c>
      <c r="H527" s="18">
        <v>53126.02</v>
      </c>
      <c r="I527" s="18">
        <v>679.47</v>
      </c>
      <c r="J527" s="18"/>
      <c r="K527" s="18"/>
      <c r="L527" s="69">
        <f>SUM(F527:K527)</f>
        <v>374204.99</v>
      </c>
      <c r="M527" s="8"/>
      <c r="N527" s="165"/>
    </row>
    <row r="528" spans="1:14" s="3" customFormat="1" ht="12.2" customHeight="1" x14ac:dyDescent="0.15">
      <c r="A528" s="21" t="s">
        <v>634</v>
      </c>
      <c r="B528" s="22">
        <v>21</v>
      </c>
      <c r="C528" s="22">
        <v>6</v>
      </c>
      <c r="D528" s="2" t="s">
        <v>432</v>
      </c>
      <c r="E528" s="22"/>
      <c r="F528" s="18">
        <v>125979.2</v>
      </c>
      <c r="G528" s="18">
        <v>85083.29</v>
      </c>
      <c r="H528" s="18">
        <v>9231.3799999999992</v>
      </c>
      <c r="I528" s="18">
        <v>671.39</v>
      </c>
      <c r="J528" s="18"/>
      <c r="K528" s="18"/>
      <c r="L528" s="69">
        <f>SUM(F528:K528)</f>
        <v>220965.26</v>
      </c>
      <c r="M528" s="8"/>
      <c r="N528" s="165"/>
    </row>
    <row r="529" spans="1:14" s="3" customFormat="1" ht="12.2" customHeight="1" thickBot="1" x14ac:dyDescent="0.2">
      <c r="A529" s="21" t="s">
        <v>635</v>
      </c>
      <c r="B529" s="22">
        <v>21</v>
      </c>
      <c r="C529" s="22">
        <v>7</v>
      </c>
      <c r="D529" s="2" t="s">
        <v>432</v>
      </c>
      <c r="E529" s="22"/>
      <c r="F529" s="18">
        <v>90846.15</v>
      </c>
      <c r="G529" s="18">
        <v>63280.94</v>
      </c>
      <c r="H529" s="18">
        <v>9293.6</v>
      </c>
      <c r="I529" s="18">
        <v>864.6</v>
      </c>
      <c r="J529" s="18"/>
      <c r="K529" s="18"/>
      <c r="L529" s="69">
        <f>SUM(F529:K529)</f>
        <v>164285.29</v>
      </c>
      <c r="M529" s="8"/>
      <c r="N529" s="165"/>
    </row>
    <row r="530" spans="1:14" s="3" customFormat="1" ht="12.2" customHeight="1" thickTop="1" x14ac:dyDescent="0.15">
      <c r="A530" s="97" t="s">
        <v>65</v>
      </c>
      <c r="B530" s="41">
        <v>21</v>
      </c>
      <c r="C530" s="41">
        <v>8</v>
      </c>
      <c r="D530" s="115" t="s">
        <v>432</v>
      </c>
      <c r="E530" s="41"/>
      <c r="F530" s="70">
        <f>SUM(F527:F529)</f>
        <v>429840.55000000005</v>
      </c>
      <c r="G530" s="70">
        <f t="shared" ref="G530:L530" si="37">SUM(G527:G529)</f>
        <v>255748.53</v>
      </c>
      <c r="H530" s="70">
        <f t="shared" si="37"/>
        <v>71651</v>
      </c>
      <c r="I530" s="70">
        <f t="shared" si="37"/>
        <v>2215.46</v>
      </c>
      <c r="J530" s="70">
        <f t="shared" si="37"/>
        <v>0</v>
      </c>
      <c r="K530" s="70">
        <f t="shared" si="37"/>
        <v>0</v>
      </c>
      <c r="L530" s="70">
        <f t="shared" si="37"/>
        <v>759455.54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95476.57</v>
      </c>
      <c r="G532" s="18">
        <v>54444.9</v>
      </c>
      <c r="H532" s="18"/>
      <c r="I532" s="18"/>
      <c r="J532" s="18"/>
      <c r="K532" s="18"/>
      <c r="L532" s="69">
        <f>SUM(F532:K532)</f>
        <v>149921.47</v>
      </c>
      <c r="M532" s="8"/>
      <c r="N532" s="165"/>
    </row>
    <row r="533" spans="1:14" s="3" customFormat="1" ht="12.2" customHeight="1" x14ac:dyDescent="0.15">
      <c r="A533" s="21" t="s">
        <v>634</v>
      </c>
      <c r="B533" s="22">
        <v>21</v>
      </c>
      <c r="C533" s="22">
        <v>10</v>
      </c>
      <c r="D533" s="2" t="s">
        <v>432</v>
      </c>
      <c r="E533" s="22"/>
      <c r="F533" s="18">
        <v>36060.269999999997</v>
      </c>
      <c r="G533" s="18">
        <v>16960.77</v>
      </c>
      <c r="H533" s="18"/>
      <c r="I533" s="18"/>
      <c r="J533" s="18"/>
      <c r="K533" s="18"/>
      <c r="L533" s="69">
        <f>SUM(F533:K533)</f>
        <v>53021.039999999994</v>
      </c>
      <c r="M533" s="8"/>
      <c r="N533" s="165"/>
    </row>
    <row r="534" spans="1:14" s="3" customFormat="1" ht="12.2" customHeight="1" thickBot="1" x14ac:dyDescent="0.2">
      <c r="A534" s="21" t="s">
        <v>635</v>
      </c>
      <c r="B534" s="22">
        <v>21</v>
      </c>
      <c r="C534" s="22">
        <v>11</v>
      </c>
      <c r="D534" s="2" t="s">
        <v>432</v>
      </c>
      <c r="E534" s="22"/>
      <c r="F534" s="18">
        <v>33370.019999999997</v>
      </c>
      <c r="G534" s="18">
        <v>14914.67</v>
      </c>
      <c r="H534" s="18"/>
      <c r="I534" s="18"/>
      <c r="J534" s="18"/>
      <c r="K534" s="18"/>
      <c r="L534" s="69">
        <f>SUM(F534:K534)</f>
        <v>48284.689999999995</v>
      </c>
      <c r="M534" s="8"/>
      <c r="N534" s="165"/>
    </row>
    <row r="535" spans="1:14" s="3" customFormat="1" ht="12.2" customHeight="1" thickTop="1" x14ac:dyDescent="0.15">
      <c r="A535" s="97" t="s">
        <v>67</v>
      </c>
      <c r="B535" s="41">
        <v>21</v>
      </c>
      <c r="C535" s="41">
        <v>12</v>
      </c>
      <c r="D535" s="115" t="s">
        <v>432</v>
      </c>
      <c r="E535" s="41"/>
      <c r="F535" s="70">
        <f>SUM(F532:F534)</f>
        <v>164906.85999999999</v>
      </c>
      <c r="G535" s="70">
        <f t="shared" ref="G535:L535" si="38">SUM(G532:G534)</f>
        <v>86320.34</v>
      </c>
      <c r="H535" s="70">
        <f t="shared" si="38"/>
        <v>0</v>
      </c>
      <c r="I535" s="70">
        <f t="shared" si="38"/>
        <v>0</v>
      </c>
      <c r="J535" s="70">
        <f t="shared" si="38"/>
        <v>0</v>
      </c>
      <c r="K535" s="70">
        <f t="shared" si="38"/>
        <v>0</v>
      </c>
      <c r="L535" s="70">
        <f t="shared" si="38"/>
        <v>251227.2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f>42194.35+1713.51</f>
        <v>43907.86</v>
      </c>
      <c r="G542" s="18">
        <f>12081.31+124.95</f>
        <v>12206.26</v>
      </c>
      <c r="H542" s="18">
        <v>19682.91</v>
      </c>
      <c r="I542" s="18">
        <v>10937.07</v>
      </c>
      <c r="J542" s="18"/>
      <c r="K542" s="18"/>
      <c r="L542" s="69">
        <f>SUM(F542:K542)</f>
        <v>86734.1</v>
      </c>
      <c r="M542" s="8"/>
      <c r="N542" s="165"/>
    </row>
    <row r="543" spans="1:14" s="3" customFormat="1" ht="12.2" customHeight="1" x14ac:dyDescent="0.15">
      <c r="A543" s="21" t="s">
        <v>634</v>
      </c>
      <c r="B543" s="22">
        <v>21</v>
      </c>
      <c r="C543" s="22">
        <v>18</v>
      </c>
      <c r="D543" s="2" t="s">
        <v>432</v>
      </c>
      <c r="E543" s="22"/>
      <c r="F543" s="18">
        <v>23670</v>
      </c>
      <c r="G543" s="18">
        <v>6777.32</v>
      </c>
      <c r="H543" s="18">
        <v>11041.63</v>
      </c>
      <c r="I543" s="18">
        <v>6135.43</v>
      </c>
      <c r="J543" s="18"/>
      <c r="K543" s="18"/>
      <c r="L543" s="69">
        <f>SUM(F543:K543)</f>
        <v>47624.38</v>
      </c>
      <c r="M543" s="8"/>
      <c r="N543" s="165"/>
    </row>
    <row r="544" spans="1:14" s="3" customFormat="1" ht="12.2" customHeight="1" thickBot="1" x14ac:dyDescent="0.2">
      <c r="A544" s="21" t="s">
        <v>635</v>
      </c>
      <c r="B544" s="22">
        <v>21</v>
      </c>
      <c r="C544" s="22">
        <v>19</v>
      </c>
      <c r="D544" s="2" t="s">
        <v>432</v>
      </c>
      <c r="E544" s="22"/>
      <c r="F544" s="18">
        <v>37048.699999999997</v>
      </c>
      <c r="G544" s="18">
        <v>10607.98</v>
      </c>
      <c r="H544" s="18">
        <v>17282.560000000001</v>
      </c>
      <c r="I544" s="18">
        <v>9603.2800000000007</v>
      </c>
      <c r="J544" s="18"/>
      <c r="K544" s="18"/>
      <c r="L544" s="69">
        <f>SUM(F544:K544)</f>
        <v>74542.51999999999</v>
      </c>
      <c r="M544" s="8"/>
      <c r="N544" s="165"/>
    </row>
    <row r="545" spans="1:14" s="3" customFormat="1" ht="12.2" customHeight="1" thickTop="1" thickBot="1" x14ac:dyDescent="0.2">
      <c r="A545" s="93" t="s">
        <v>71</v>
      </c>
      <c r="B545" s="63">
        <v>21</v>
      </c>
      <c r="C545" s="63">
        <v>20</v>
      </c>
      <c r="D545" s="140" t="s">
        <v>432</v>
      </c>
      <c r="E545" s="63"/>
      <c r="F545" s="141">
        <f>SUM(F542:F544)</f>
        <v>104626.56</v>
      </c>
      <c r="G545" s="141">
        <f t="shared" ref="G545:L545" si="40">SUM(G542:G544)</f>
        <v>29591.56</v>
      </c>
      <c r="H545" s="141">
        <f t="shared" si="40"/>
        <v>48007.100000000006</v>
      </c>
      <c r="I545" s="141">
        <f t="shared" si="40"/>
        <v>26675.78</v>
      </c>
      <c r="J545" s="141">
        <f t="shared" si="40"/>
        <v>0</v>
      </c>
      <c r="K545" s="141">
        <f t="shared" si="40"/>
        <v>0</v>
      </c>
      <c r="L545" s="141">
        <f t="shared" si="40"/>
        <v>208901</v>
      </c>
      <c r="M545" s="8"/>
      <c r="N545" s="165"/>
    </row>
    <row r="546" spans="1:14" s="3" customFormat="1" ht="12.2" customHeight="1" thickTop="1" x14ac:dyDescent="0.15">
      <c r="A546" s="75" t="s">
        <v>72</v>
      </c>
      <c r="B546" s="41">
        <v>21</v>
      </c>
      <c r="C546" s="41">
        <v>21</v>
      </c>
      <c r="D546" s="115" t="s">
        <v>432</v>
      </c>
      <c r="E546" s="41"/>
      <c r="F546" s="70">
        <f>F525+F530+F535+F540+F545</f>
        <v>2408749.59</v>
      </c>
      <c r="G546" s="70">
        <f t="shared" ref="G546:L546" si="41">G525+G530+G535+G540+G545</f>
        <v>1291252.0500000003</v>
      </c>
      <c r="H546" s="70">
        <f t="shared" si="41"/>
        <v>1191509.54</v>
      </c>
      <c r="I546" s="70">
        <f t="shared" si="41"/>
        <v>90704.389999999985</v>
      </c>
      <c r="J546" s="70">
        <f t="shared" si="41"/>
        <v>19733.32</v>
      </c>
      <c r="K546" s="70">
        <f t="shared" si="41"/>
        <v>0</v>
      </c>
      <c r="L546" s="70">
        <f t="shared" si="41"/>
        <v>5001948.8900000006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1795062.8600000003</v>
      </c>
      <c r="G550" s="69">
        <f>L527</f>
        <v>374204.99</v>
      </c>
      <c r="H550" s="69">
        <f>L532</f>
        <v>149921.47</v>
      </c>
      <c r="I550" s="69">
        <f>L537</f>
        <v>0</v>
      </c>
      <c r="J550" s="69">
        <f>L542</f>
        <v>86734.1</v>
      </c>
      <c r="K550" s="69">
        <f>SUM(F550:J550)</f>
        <v>2405923.4200000009</v>
      </c>
      <c r="L550" s="23" t="s">
        <v>288</v>
      </c>
      <c r="M550" s="8"/>
      <c r="N550" s="165"/>
    </row>
    <row r="551" spans="1:14" s="3" customFormat="1" ht="12.2" customHeight="1" x14ac:dyDescent="0.15">
      <c r="A551" s="21" t="s">
        <v>634</v>
      </c>
      <c r="B551" s="22">
        <v>21</v>
      </c>
      <c r="C551" s="22">
        <v>23</v>
      </c>
      <c r="D551" s="2" t="s">
        <v>432</v>
      </c>
      <c r="E551" s="22"/>
      <c r="F551" s="69">
        <f>L523</f>
        <v>1082188.76</v>
      </c>
      <c r="G551" s="69">
        <f>L528</f>
        <v>220965.26</v>
      </c>
      <c r="H551" s="69">
        <f>L533</f>
        <v>53021.039999999994</v>
      </c>
      <c r="I551" s="69">
        <f>L538</f>
        <v>0</v>
      </c>
      <c r="J551" s="69">
        <f>L543</f>
        <v>47624.38</v>
      </c>
      <c r="K551" s="69">
        <f>SUM(F551:J551)</f>
        <v>1403799.44</v>
      </c>
      <c r="L551" s="23" t="s">
        <v>288</v>
      </c>
      <c r="M551" s="8"/>
      <c r="N551" s="165"/>
    </row>
    <row r="552" spans="1:14" s="3" customFormat="1" ht="12.2" customHeight="1" thickBot="1" x14ac:dyDescent="0.2">
      <c r="A552" s="21" t="s">
        <v>635</v>
      </c>
      <c r="B552" s="22">
        <v>21</v>
      </c>
      <c r="C552" s="22">
        <v>24</v>
      </c>
      <c r="D552" s="2" t="s">
        <v>432</v>
      </c>
      <c r="E552" s="22"/>
      <c r="F552" s="69">
        <f>L524</f>
        <v>905113.53</v>
      </c>
      <c r="G552" s="69">
        <f>L529</f>
        <v>164285.29</v>
      </c>
      <c r="H552" s="69">
        <f>L534</f>
        <v>48284.689999999995</v>
      </c>
      <c r="I552" s="69">
        <f>L539</f>
        <v>0</v>
      </c>
      <c r="J552" s="69">
        <f>L544</f>
        <v>74542.51999999999</v>
      </c>
      <c r="K552" s="69">
        <f>SUM(F552:J552)</f>
        <v>1192226.03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3782365.1500000004</v>
      </c>
      <c r="G553" s="70">
        <f t="shared" si="42"/>
        <v>759455.54</v>
      </c>
      <c r="H553" s="70">
        <f t="shared" si="42"/>
        <v>251227.2</v>
      </c>
      <c r="I553" s="70">
        <f t="shared" si="42"/>
        <v>0</v>
      </c>
      <c r="J553" s="70">
        <f t="shared" si="42"/>
        <v>208901</v>
      </c>
      <c r="K553" s="70">
        <f t="shared" si="42"/>
        <v>5001948.8900000006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270604.55</v>
      </c>
      <c r="G563" s="18">
        <f>9785.52+213.18+1998.61+5803.12</f>
        <v>17800.43</v>
      </c>
      <c r="H563" s="18"/>
      <c r="I563" s="18">
        <v>249.99</v>
      </c>
      <c r="J563" s="18"/>
      <c r="K563" s="18"/>
      <c r="L563" s="69">
        <f>SUM(F563:K563)</f>
        <v>288654.96999999997</v>
      </c>
      <c r="M563" s="8"/>
      <c r="N563" s="165"/>
    </row>
    <row r="564" spans="1:14" s="3" customFormat="1" ht="12.2" customHeight="1" x14ac:dyDescent="0.15">
      <c r="A564" s="21" t="s">
        <v>634</v>
      </c>
      <c r="B564" s="22">
        <v>22</v>
      </c>
      <c r="C564" s="22">
        <v>6</v>
      </c>
      <c r="D564" s="2" t="s">
        <v>432</v>
      </c>
      <c r="E564" s="22"/>
      <c r="F564" s="18">
        <v>13803.76</v>
      </c>
      <c r="G564" s="18">
        <f>4892.78+106.6+999.31+2901.56</f>
        <v>8900.25</v>
      </c>
      <c r="H564" s="18"/>
      <c r="I564" s="18"/>
      <c r="J564" s="18"/>
      <c r="K564" s="18"/>
      <c r="L564" s="69">
        <f>SUM(F564:K564)</f>
        <v>22704.010000000002</v>
      </c>
      <c r="M564" s="8"/>
      <c r="N564" s="165"/>
    </row>
    <row r="565" spans="1:14" s="3" customFormat="1" ht="12.2" customHeight="1" thickBot="1" x14ac:dyDescent="0.2">
      <c r="A565" s="21" t="s">
        <v>635</v>
      </c>
      <c r="B565" s="22">
        <v>22</v>
      </c>
      <c r="C565" s="22">
        <v>7</v>
      </c>
      <c r="D565" s="2" t="s">
        <v>432</v>
      </c>
      <c r="E565" s="22"/>
      <c r="F565" s="18">
        <v>13803.76</v>
      </c>
      <c r="G565" s="18">
        <f>4892.59+106.22+999.23+2901.52</f>
        <v>8899.5600000000013</v>
      </c>
      <c r="H565" s="18"/>
      <c r="I565" s="18"/>
      <c r="J565" s="18"/>
      <c r="K565" s="18"/>
      <c r="L565" s="69">
        <f>SUM(F565:K565)</f>
        <v>22703.32</v>
      </c>
      <c r="M565" s="8"/>
      <c r="N565" s="165"/>
    </row>
    <row r="566" spans="1:14" s="3" customFormat="1" ht="12.2" customHeight="1" thickTop="1" x14ac:dyDescent="0.15">
      <c r="A566" s="97" t="s">
        <v>65</v>
      </c>
      <c r="B566" s="41">
        <v>22</v>
      </c>
      <c r="C566" s="41">
        <v>8</v>
      </c>
      <c r="D566" s="115" t="s">
        <v>432</v>
      </c>
      <c r="E566" s="41"/>
      <c r="F566" s="70">
        <f t="shared" ref="F566:L566" si="44">SUM(F563:F565)</f>
        <v>298212.07</v>
      </c>
      <c r="G566" s="70">
        <f t="shared" si="44"/>
        <v>35600.240000000005</v>
      </c>
      <c r="H566" s="70">
        <f t="shared" si="44"/>
        <v>0</v>
      </c>
      <c r="I566" s="70">
        <f t="shared" si="44"/>
        <v>249.99</v>
      </c>
      <c r="J566" s="70">
        <f t="shared" si="44"/>
        <v>0</v>
      </c>
      <c r="K566" s="70">
        <f t="shared" si="44"/>
        <v>0</v>
      </c>
      <c r="L566" s="70">
        <f t="shared" si="44"/>
        <v>334062.3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298212.07</v>
      </c>
      <c r="G572" s="70">
        <f t="shared" ref="G572:L572" si="46">G561+G566+G571</f>
        <v>35600.240000000005</v>
      </c>
      <c r="H572" s="70">
        <f t="shared" si="46"/>
        <v>0</v>
      </c>
      <c r="I572" s="70">
        <f t="shared" si="46"/>
        <v>249.99</v>
      </c>
      <c r="J572" s="70">
        <f t="shared" si="46"/>
        <v>0</v>
      </c>
      <c r="K572" s="70">
        <f t="shared" si="46"/>
        <v>0</v>
      </c>
      <c r="L572" s="70">
        <f t="shared" si="46"/>
        <v>334062.3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1271.71</v>
      </c>
      <c r="I576" s="69">
        <f>SUM(F576:H576)</f>
        <v>1271.71</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11549.16</v>
      </c>
      <c r="G580" s="18">
        <v>29082.32</v>
      </c>
      <c r="H580" s="18"/>
      <c r="I580" s="69">
        <f t="shared" si="47"/>
        <v>40631.479999999996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73246.320000000007</v>
      </c>
      <c r="G583" s="18">
        <v>215272.27</v>
      </c>
      <c r="H583" s="18">
        <v>207923.83</v>
      </c>
      <c r="I583" s="69">
        <f t="shared" si="47"/>
        <v>496442.41999999993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19411.7</v>
      </c>
      <c r="I585" s="69">
        <f t="shared" si="47"/>
        <v>19411.7</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206096.17</v>
      </c>
      <c r="I592" s="18">
        <v>119262.74</v>
      </c>
      <c r="J592" s="18">
        <v>182142.1</v>
      </c>
      <c r="K592" s="80">
        <f t="shared" ref="K592:K598" si="48">SUM(H592:J592)</f>
        <v>507501.01</v>
      </c>
      <c r="L592" s="23" t="s">
        <v>288</v>
      </c>
      <c r="M592" s="8"/>
      <c r="N592" s="165"/>
    </row>
    <row r="593" spans="1:14" s="3" customFormat="1" ht="12.2" customHeight="1" x14ac:dyDescent="0.15">
      <c r="A593" s="3" t="s">
        <v>638</v>
      </c>
      <c r="B593" s="22">
        <v>23</v>
      </c>
      <c r="C593" s="22">
        <v>2</v>
      </c>
      <c r="D593" s="2" t="s">
        <v>432</v>
      </c>
      <c r="E593" s="22"/>
      <c r="F593" s="78">
        <v>2722</v>
      </c>
      <c r="G593" s="79" t="s">
        <v>97</v>
      </c>
      <c r="H593" s="18">
        <v>90453.5</v>
      </c>
      <c r="I593" s="18">
        <v>51816.44</v>
      </c>
      <c r="J593" s="18">
        <v>66631.06</v>
      </c>
      <c r="K593" s="80">
        <f t="shared" si="48"/>
        <v>208901</v>
      </c>
      <c r="L593" s="23" t="s">
        <v>288</v>
      </c>
      <c r="M593" s="8"/>
      <c r="N593" s="165"/>
    </row>
    <row r="594" spans="1:14" s="3" customFormat="1" ht="12.2" customHeight="1" x14ac:dyDescent="0.15">
      <c r="A594" s="3" t="s">
        <v>639</v>
      </c>
      <c r="B594" s="22">
        <v>23</v>
      </c>
      <c r="C594" s="22">
        <v>3</v>
      </c>
      <c r="D594" s="2" t="s">
        <v>432</v>
      </c>
      <c r="E594" s="22"/>
      <c r="F594" s="78">
        <v>2723</v>
      </c>
      <c r="G594" s="79" t="s">
        <v>97</v>
      </c>
      <c r="H594" s="18">
        <v>833</v>
      </c>
      <c r="I594" s="18">
        <v>482.03</v>
      </c>
      <c r="J594" s="18">
        <v>983.67</v>
      </c>
      <c r="K594" s="80">
        <f t="shared" si="48"/>
        <v>2298.6999999999998</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787.93</v>
      </c>
      <c r="J595" s="18">
        <v>5672.02</v>
      </c>
      <c r="K595" s="80">
        <f t="shared" si="48"/>
        <v>6459.9500000000007</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1875.2</v>
      </c>
      <c r="I596" s="18">
        <v>1142.49</v>
      </c>
      <c r="J596" s="18">
        <v>2327.38</v>
      </c>
      <c r="K596" s="80">
        <f t="shared" si="48"/>
        <v>5345.07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299257.87000000005</v>
      </c>
      <c r="I599" s="81">
        <f>SUM(I592:I598)</f>
        <v>173491.62999999998</v>
      </c>
      <c r="J599" s="81">
        <f>SUM(J592:J598)</f>
        <v>257756.23</v>
      </c>
      <c r="K599" s="81">
        <f>SUM(K592:K598)</f>
        <v>730505.72999999986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219194.92</v>
      </c>
      <c r="I605" s="18">
        <v>169944.97</v>
      </c>
      <c r="J605" s="18">
        <v>410134.5</v>
      </c>
      <c r="K605" s="80">
        <f>SUM(H605:J605)</f>
        <v>799274.39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219194.92</v>
      </c>
      <c r="I606" s="81">
        <f>SUM(I603:I605)</f>
        <v>169944.97</v>
      </c>
      <c r="J606" s="81">
        <f>SUM(J603:J605)</f>
        <v>410134.5</v>
      </c>
      <c r="K606" s="81">
        <f>SUM(K603:K605)</f>
        <v>799274.39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2543.66</v>
      </c>
      <c r="G612" s="18">
        <v>701.14</v>
      </c>
      <c r="H612" s="18"/>
      <c r="I612" s="18"/>
      <c r="J612" s="18"/>
      <c r="K612" s="18"/>
      <c r="L612" s="69">
        <f>SUM(F612:K612)</f>
        <v>3244.7999999999997</v>
      </c>
      <c r="M612" s="8"/>
      <c r="N612" s="165"/>
    </row>
    <row r="613" spans="1:14" s="3" customFormat="1" ht="12.2" customHeight="1" x14ac:dyDescent="0.15">
      <c r="A613" s="21" t="s">
        <v>634</v>
      </c>
      <c r="B613" s="22">
        <v>23</v>
      </c>
      <c r="C613" s="22">
        <v>14</v>
      </c>
      <c r="D613" s="2" t="s">
        <v>432</v>
      </c>
      <c r="E613" s="22"/>
      <c r="F613" s="18">
        <f>1461.9+6858.76</f>
        <v>8320.66</v>
      </c>
      <c r="G613" s="18">
        <f>419.21+524.71+877.57</f>
        <v>1821.4900000000002</v>
      </c>
      <c r="H613" s="18"/>
      <c r="I613" s="18">
        <v>831.66</v>
      </c>
      <c r="J613" s="18"/>
      <c r="K613" s="18"/>
      <c r="L613" s="69">
        <f>SUM(F613:K613)</f>
        <v>10973.81</v>
      </c>
      <c r="M613" s="8"/>
      <c r="N613" s="165"/>
    </row>
    <row r="614" spans="1:14" s="3" customFormat="1" ht="12.2" customHeight="1" thickBot="1" x14ac:dyDescent="0.2">
      <c r="A614" s="21" t="s">
        <v>645</v>
      </c>
      <c r="B614" s="22">
        <v>23</v>
      </c>
      <c r="C614" s="22">
        <v>15</v>
      </c>
      <c r="D614" s="2" t="s">
        <v>432</v>
      </c>
      <c r="E614" s="22"/>
      <c r="F614" s="18">
        <v>14563.34</v>
      </c>
      <c r="G614" s="18">
        <v>3497.71</v>
      </c>
      <c r="H614" s="18"/>
      <c r="I614" s="18"/>
      <c r="J614" s="18"/>
      <c r="K614" s="18"/>
      <c r="L614" s="69">
        <f>SUM(F614:K614)</f>
        <v>18061.05</v>
      </c>
      <c r="M614" s="8"/>
      <c r="N614" s="165"/>
    </row>
    <row r="615" spans="1:14" s="3" customFormat="1" ht="12.2" customHeight="1" thickTop="1" x14ac:dyDescent="0.15">
      <c r="A615" s="75" t="s">
        <v>340</v>
      </c>
      <c r="B615" s="41">
        <v>23</v>
      </c>
      <c r="C615" s="41">
        <v>16</v>
      </c>
      <c r="D615" s="36" t="s">
        <v>432</v>
      </c>
      <c r="E615" s="41"/>
      <c r="F615" s="81">
        <f t="shared" ref="F615:L615" si="49">SUM(F612:F614)</f>
        <v>25427.66</v>
      </c>
      <c r="G615" s="81">
        <f t="shared" si="49"/>
        <v>6020.34</v>
      </c>
      <c r="H615" s="81">
        <f t="shared" si="49"/>
        <v>0</v>
      </c>
      <c r="I615" s="81">
        <f t="shared" si="49"/>
        <v>831.66</v>
      </c>
      <c r="J615" s="81">
        <f t="shared" si="49"/>
        <v>0</v>
      </c>
      <c r="K615" s="81">
        <f t="shared" si="49"/>
        <v>0</v>
      </c>
      <c r="L615" s="70">
        <f t="shared" si="49"/>
        <v>32279.659999999996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2267411.8199999998</v>
      </c>
      <c r="H618" s="80">
        <f>SUM(F52)</f>
        <v>2267411.8200000003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72745.97</v>
      </c>
      <c r="H619" s="80">
        <f>SUM(G52)</f>
        <v>72745.97</v>
      </c>
      <c r="I619" s="87" t="s">
        <v>875</v>
      </c>
      <c r="J619" s="80">
        <f>G619-H619</f>
        <v>0</v>
      </c>
      <c r="K619" s="80"/>
      <c r="L619" s="80"/>
      <c r="M619" s="8"/>
    </row>
    <row r="620" spans="1:14" s="3" customFormat="1" ht="12.2" customHeight="1" x14ac:dyDescent="0.15">
      <c r="A620" s="74"/>
      <c r="B620" s="22"/>
      <c r="C620" s="22"/>
      <c r="D620" s="22"/>
      <c r="E620" s="22"/>
      <c r="F620" s="87" t="s">
        <v>685</v>
      </c>
      <c r="G620" s="80">
        <f>SUM(H19)</f>
        <v>449021.6</v>
      </c>
      <c r="H620" s="80">
        <f>SUM(H52)</f>
        <v>449021.6</v>
      </c>
      <c r="I620" s="87" t="s">
        <v>876</v>
      </c>
      <c r="J620" s="80">
        <f>G620-H620</f>
        <v>0</v>
      </c>
      <c r="K620" s="80"/>
      <c r="L620" s="80"/>
      <c r="M620" s="8"/>
    </row>
    <row r="621" spans="1:14" s="3" customFormat="1" ht="12.2" customHeight="1" x14ac:dyDescent="0.15">
      <c r="A621" s="74"/>
      <c r="B621" s="22"/>
      <c r="C621" s="22"/>
      <c r="D621" s="22"/>
      <c r="E621" s="22"/>
      <c r="F621" s="87" t="s">
        <v>686</v>
      </c>
      <c r="G621" s="80">
        <f>SUM(I19)</f>
        <v>1439714.25</v>
      </c>
      <c r="H621" s="80">
        <f>SUM(I52)</f>
        <v>1439714.25</v>
      </c>
      <c r="I621" s="87" t="s">
        <v>877</v>
      </c>
      <c r="J621" s="80">
        <f>G621-H621</f>
        <v>0</v>
      </c>
      <c r="K621" s="80"/>
      <c r="L621" s="80"/>
      <c r="M621" s="8"/>
    </row>
    <row r="622" spans="1:14" s="3" customFormat="1" ht="12.2" customHeight="1" x14ac:dyDescent="0.15">
      <c r="A622" s="74"/>
      <c r="B622" s="22"/>
      <c r="C622" s="22"/>
      <c r="D622" s="22"/>
      <c r="E622" s="22"/>
      <c r="F622" s="87" t="s">
        <v>687</v>
      </c>
      <c r="G622" s="80">
        <f>SUM(J19)</f>
        <v>330558</v>
      </c>
      <c r="H622" s="80">
        <f>SUM(J52)</f>
        <v>330558</v>
      </c>
      <c r="I622" s="87" t="s">
        <v>878</v>
      </c>
      <c r="J622" s="80">
        <f>G622-H622</f>
        <v>0</v>
      </c>
      <c r="K622" s="80"/>
      <c r="L622" s="80"/>
      <c r="M622" s="8"/>
    </row>
    <row r="623" spans="1:14" s="3" customFormat="1" ht="12.2" customHeight="1" x14ac:dyDescent="0.15">
      <c r="A623" s="74"/>
      <c r="B623" s="22"/>
      <c r="C623" s="22"/>
      <c r="D623" s="22"/>
      <c r="E623" s="22"/>
      <c r="F623" s="87" t="s">
        <v>864</v>
      </c>
      <c r="G623" s="80">
        <f>F51</f>
        <v>253166.09</v>
      </c>
      <c r="H623" s="80">
        <f>F477</f>
        <v>253166.08999999613</v>
      </c>
      <c r="I623" s="87" t="s">
        <v>101</v>
      </c>
      <c r="J623" s="80">
        <f t="shared" ref="J623:J656" si="50">G623-H623</f>
        <v>3.8708094507455826E-9</v>
      </c>
      <c r="K623" s="80"/>
      <c r="L623" s="80"/>
      <c r="M623" s="8"/>
    </row>
    <row r="624" spans="1:14" s="3" customFormat="1" ht="12.2" customHeight="1" x14ac:dyDescent="0.15">
      <c r="A624" s="74"/>
      <c r="B624" s="22"/>
      <c r="C624" s="85"/>
      <c r="D624" s="85"/>
      <c r="E624" s="85"/>
      <c r="F624" s="85" t="s">
        <v>865</v>
      </c>
      <c r="G624" s="80">
        <f>G51</f>
        <v>17228.2</v>
      </c>
      <c r="H624" s="80">
        <f>G477</f>
        <v>17228.199999999953</v>
      </c>
      <c r="I624" s="87" t="s">
        <v>102</v>
      </c>
      <c r="J624" s="80">
        <f t="shared" si="50"/>
        <v>4.7293724492192268E-11</v>
      </c>
      <c r="K624" s="80"/>
      <c r="L624" s="80"/>
      <c r="M624" s="8"/>
    </row>
    <row r="625" spans="1:13" s="3" customFormat="1" ht="12.2" customHeight="1" x14ac:dyDescent="0.15">
      <c r="A625" s="74"/>
      <c r="B625" s="22"/>
      <c r="C625" s="22"/>
      <c r="D625" s="22"/>
      <c r="E625" s="22"/>
      <c r="F625" s="86" t="s">
        <v>866</v>
      </c>
      <c r="G625" s="80">
        <f>H51</f>
        <v>75140.600000000006</v>
      </c>
      <c r="H625" s="80">
        <f>H477</f>
        <v>75140.600000000093</v>
      </c>
      <c r="I625" s="87" t="s">
        <v>103</v>
      </c>
      <c r="J625" s="80">
        <f t="shared" si="50"/>
        <v>0</v>
      </c>
      <c r="K625" s="80"/>
      <c r="L625" s="80"/>
      <c r="M625" s="8"/>
    </row>
    <row r="626" spans="1:13" s="3" customFormat="1" ht="12.2" customHeight="1" x14ac:dyDescent="0.15">
      <c r="A626" s="74"/>
      <c r="B626" s="22"/>
      <c r="C626" s="22"/>
      <c r="D626" s="22"/>
      <c r="E626" s="22"/>
      <c r="F626" s="86" t="s">
        <v>867</v>
      </c>
      <c r="G626" s="80">
        <f>I51</f>
        <v>1439714.25</v>
      </c>
      <c r="H626" s="80">
        <f>I477</f>
        <v>1439714.2500000002</v>
      </c>
      <c r="I626" s="87" t="s">
        <v>104</v>
      </c>
      <c r="J626" s="80">
        <f t="shared" si="50"/>
        <v>0</v>
      </c>
      <c r="K626" s="80"/>
      <c r="L626" s="80"/>
      <c r="M626" s="8"/>
    </row>
    <row r="627" spans="1:13" s="3" customFormat="1" ht="12.2" customHeight="1" x14ac:dyDescent="0.15">
      <c r="A627" s="21"/>
      <c r="B627" s="22"/>
      <c r="C627" s="22"/>
      <c r="D627" s="22"/>
      <c r="E627" s="22"/>
      <c r="F627" s="86" t="s">
        <v>868</v>
      </c>
      <c r="G627" s="80">
        <f>J51</f>
        <v>330558</v>
      </c>
      <c r="H627" s="80">
        <f>J477</f>
        <v>330558</v>
      </c>
      <c r="I627" s="87" t="s">
        <v>105</v>
      </c>
      <c r="J627" s="80">
        <f t="shared" si="50"/>
        <v>0</v>
      </c>
      <c r="K627" s="67"/>
      <c r="L627" s="69"/>
      <c r="M627" s="8"/>
    </row>
    <row r="628" spans="1:13" s="3" customFormat="1" ht="12.2" customHeight="1" x14ac:dyDescent="0.15">
      <c r="A628" s="21"/>
      <c r="B628" s="22"/>
      <c r="C628" s="22"/>
      <c r="D628" s="22"/>
      <c r="E628" s="22"/>
      <c r="F628" s="86" t="s">
        <v>658</v>
      </c>
      <c r="G628" s="80">
        <f>F194</f>
        <v>18431602.449999999</v>
      </c>
      <c r="H628" s="80">
        <f>SUM(F469)</f>
        <v>18431602.449999999</v>
      </c>
      <c r="I628" s="87" t="s">
        <v>106</v>
      </c>
      <c r="J628" s="80">
        <f>G628-H628</f>
        <v>0</v>
      </c>
      <c r="K628" s="67"/>
      <c r="L628" s="69"/>
      <c r="M628" s="8"/>
    </row>
    <row r="629" spans="1:13" s="3" customFormat="1" ht="12.2" customHeight="1" x14ac:dyDescent="0.15">
      <c r="A629" s="21"/>
      <c r="B629" s="22"/>
      <c r="C629" s="22"/>
      <c r="D629" s="22"/>
      <c r="E629" s="22"/>
      <c r="F629" s="86" t="s">
        <v>659</v>
      </c>
      <c r="G629" s="80">
        <f>G194</f>
        <v>449020.31999999989</v>
      </c>
      <c r="H629" s="80">
        <f>SUM(G469)</f>
        <v>449020.32</v>
      </c>
      <c r="I629" s="87" t="s">
        <v>107</v>
      </c>
      <c r="J629" s="80">
        <f>G629-H629</f>
        <v>0</v>
      </c>
      <c r="K629" s="67"/>
      <c r="L629" s="69"/>
      <c r="M629" s="8"/>
    </row>
    <row r="630" spans="1:13" s="3" customFormat="1" ht="12.2" customHeight="1" x14ac:dyDescent="0.15">
      <c r="A630" s="21"/>
      <c r="B630" s="22"/>
      <c r="C630" s="22"/>
      <c r="D630" s="22"/>
      <c r="E630" s="22"/>
      <c r="F630" s="86" t="s">
        <v>660</v>
      </c>
      <c r="G630" s="80">
        <f>H194</f>
        <v>2420101.59</v>
      </c>
      <c r="H630" s="80">
        <f>SUM(H469)</f>
        <v>2420101.5900000003</v>
      </c>
      <c r="I630" s="87" t="s">
        <v>108</v>
      </c>
      <c r="J630" s="80">
        <f>G630-H630</f>
        <v>0</v>
      </c>
      <c r="K630" s="67"/>
      <c r="L630" s="69"/>
      <c r="M630" s="8"/>
    </row>
    <row r="631" spans="1:13" s="3" customFormat="1" ht="12.2" customHeight="1" x14ac:dyDescent="0.15">
      <c r="A631" s="21"/>
      <c r="B631" s="22"/>
      <c r="C631" s="22"/>
      <c r="D631" s="22"/>
      <c r="E631" s="22"/>
      <c r="F631" s="86" t="s">
        <v>661</v>
      </c>
      <c r="G631" s="80">
        <f>I194</f>
        <v>2229485.87</v>
      </c>
      <c r="H631" s="80">
        <f>SUM(I469)</f>
        <v>2229485.87</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18619211.690000001</v>
      </c>
      <c r="H633" s="80">
        <f>SUM(F473)</f>
        <v>18619211.690000001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2449053.81</v>
      </c>
      <c r="H634" s="80">
        <f>SUM(H473)</f>
        <v>2449053.81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494994.03000000009</v>
      </c>
      <c r="H636" s="80">
        <f>SUM(G473)</f>
        <v>494994.03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789771.62</v>
      </c>
      <c r="H637" s="80">
        <f>SUM(I473)</f>
        <v>789771.61999999988</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330558</v>
      </c>
      <c r="H640" s="80">
        <f>SUM(F462)</f>
        <v>330558</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330558</v>
      </c>
      <c r="H643" s="80">
        <f>SUM(I462)</f>
        <v>330558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730505.72999999986</v>
      </c>
      <c r="H648" s="80">
        <f>L209+L227+L245</f>
        <v>730505.73</v>
      </c>
      <c r="I648" s="87" t="s">
        <v>396</v>
      </c>
      <c r="J648" s="80">
        <f t="shared" si="50"/>
        <v>0</v>
      </c>
      <c r="K648" s="67"/>
      <c r="L648" s="69"/>
      <c r="M648" s="8"/>
    </row>
    <row r="649" spans="1:13" s="3" customFormat="1" ht="12.2" customHeight="1" x14ac:dyDescent="0.15">
      <c r="A649" s="21"/>
      <c r="B649" s="22"/>
      <c r="C649" s="22"/>
      <c r="D649" s="22"/>
      <c r="E649" s="22"/>
      <c r="F649" s="86" t="s">
        <v>52</v>
      </c>
      <c r="G649" s="80">
        <f>K606</f>
        <v>799274.39</v>
      </c>
      <c r="H649" s="80">
        <f>(J258+J339)-(J256+J337)</f>
        <v>799274.39</v>
      </c>
      <c r="I649" s="87" t="s">
        <v>699</v>
      </c>
      <c r="J649" s="80">
        <f t="shared" si="50"/>
        <v>0</v>
      </c>
      <c r="K649" s="67"/>
      <c r="L649" s="69"/>
      <c r="M649" s="8"/>
    </row>
    <row r="650" spans="1:13" s="3" customFormat="1" ht="12.2" customHeight="1" x14ac:dyDescent="0.15">
      <c r="A650" s="21"/>
      <c r="B650" s="22"/>
      <c r="C650" s="22"/>
      <c r="D650" s="22"/>
      <c r="E650" s="22"/>
      <c r="F650" s="86" t="s">
        <v>387</v>
      </c>
      <c r="G650" s="80">
        <f>L209</f>
        <v>299257.87</v>
      </c>
      <c r="H650" s="80">
        <f>H599</f>
        <v>299257.87000000005</v>
      </c>
      <c r="I650" s="87" t="s">
        <v>388</v>
      </c>
      <c r="J650" s="80">
        <f t="shared" si="50"/>
        <v>0</v>
      </c>
      <c r="K650" s="67"/>
      <c r="L650" s="69"/>
      <c r="M650" s="8"/>
    </row>
    <row r="651" spans="1:13" s="3" customFormat="1" ht="12.2" customHeight="1" x14ac:dyDescent="0.15">
      <c r="A651" s="21"/>
      <c r="B651" s="22"/>
      <c r="C651" s="22"/>
      <c r="D651" s="22"/>
      <c r="E651" s="22"/>
      <c r="F651" s="86" t="s">
        <v>392</v>
      </c>
      <c r="G651" s="80">
        <f>L227</f>
        <v>173491.63000000003</v>
      </c>
      <c r="H651" s="80">
        <f>I599</f>
        <v>173491.62999999998</v>
      </c>
      <c r="I651" s="87" t="s">
        <v>389</v>
      </c>
      <c r="J651" s="80">
        <f t="shared" si="50"/>
        <v>0</v>
      </c>
      <c r="K651" s="67"/>
      <c r="L651" s="69"/>
      <c r="M651" s="8"/>
    </row>
    <row r="652" spans="1:13" s="3" customFormat="1" ht="12.2" customHeight="1" x14ac:dyDescent="0.15">
      <c r="A652" s="21"/>
      <c r="B652" s="22"/>
      <c r="C652" s="22"/>
      <c r="D652" s="22"/>
      <c r="E652" s="22"/>
      <c r="F652" s="86" t="s">
        <v>393</v>
      </c>
      <c r="G652" s="80">
        <f>L245</f>
        <v>257756.23</v>
      </c>
      <c r="H652" s="80">
        <f>J599</f>
        <v>257756.23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4230.3</v>
      </c>
      <c r="H653" s="80">
        <f>K264+K346</f>
        <v>4230.3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7820276.1800301522</v>
      </c>
      <c r="G661" s="13">
        <f>(L230+L310+L360)</f>
        <v>4842803.6269305786</v>
      </c>
      <c r="H661" s="13">
        <f>(L248+L329+L361)</f>
        <v>7586220.0130392704</v>
      </c>
      <c r="I661" s="13">
        <f>SUM(F661:H661)</f>
        <v>20249299.82</v>
      </c>
      <c r="J661" s="13"/>
      <c r="K661" s="13"/>
      <c r="L661" s="13"/>
      <c r="M661" s="9"/>
    </row>
    <row r="662" spans="1:13" s="3" customFormat="1" ht="12.2" customHeight="1" x14ac:dyDescent="0.2">
      <c r="A662" s="1" t="s">
        <v>127</v>
      </c>
      <c r="F662" s="13">
        <f>(L359/IF(SUM(L359:L361)=0,1,SUM(L359:L361))*(SUM(G97:G110)))</f>
        <v>45408.130538115503</v>
      </c>
      <c r="G662" s="13">
        <f>(L360/IF(SUM(L359:L361)=0,1,SUM(L359:L361))*(SUM(G97:G110)))</f>
        <v>26643.802236838907</v>
      </c>
      <c r="H662" s="13">
        <f>(L361/IF(SUM(L359:L361)=0,1,SUM(L359:L361))*(SUM(G97:G110)))</f>
        <v>37422.177225045591</v>
      </c>
      <c r="I662" s="13">
        <f>SUM(F662:H662)</f>
        <v>109474.11000000002</v>
      </c>
      <c r="J662"/>
      <c r="K662" s="13"/>
      <c r="L662" s="13"/>
      <c r="M662" s="8"/>
    </row>
    <row r="663" spans="1:13" s="3" customFormat="1" ht="12.2" customHeight="1" x14ac:dyDescent="0.2">
      <c r="A663" s="1" t="s">
        <v>128</v>
      </c>
      <c r="F663" s="13">
        <f>(L209+L288)-(J209+J288)</f>
        <v>255165.87999999998</v>
      </c>
      <c r="G663" s="13">
        <f>(L227+L307)-(J227+J307)</f>
        <v>147966.66000000003</v>
      </c>
      <c r="H663" s="13">
        <f>(L245+L326)-(J245+J326)</f>
        <v>218371.1</v>
      </c>
      <c r="I663" s="13">
        <f>SUM(F663:H663)</f>
        <v>621503.64</v>
      </c>
      <c r="J663"/>
      <c r="K663" s="13"/>
      <c r="L663" s="13"/>
      <c r="M663" s="9"/>
    </row>
    <row r="664" spans="1:13" s="3" customFormat="1" ht="12.2" customHeight="1" x14ac:dyDescent="0.15">
      <c r="A664" s="142" t="s">
        <v>129</v>
      </c>
      <c r="B664" s="124"/>
      <c r="C664" s="124"/>
      <c r="D664" s="124"/>
      <c r="E664" s="124"/>
      <c r="F664" s="143">
        <f>SUM(F576:F588)+SUM(H603:H605)+SUM(L612)</f>
        <v>307235.20000000001</v>
      </c>
      <c r="G664" s="143">
        <f>SUM(G576:G588)+SUM(I603:I605)+L613</f>
        <v>425273.37</v>
      </c>
      <c r="H664" s="143">
        <f>SUM(H576:H588)+SUM(J603:J605)+L614</f>
        <v>656802.79</v>
      </c>
      <c r="I664" s="13">
        <f>SUM(F664:H664)</f>
        <v>1389311.36</v>
      </c>
      <c r="J664" s="13"/>
      <c r="K664" s="13"/>
      <c r="L664" s="13"/>
      <c r="M664" s="9"/>
    </row>
    <row r="665" spans="1:13" s="3" customFormat="1" ht="12.2" customHeight="1" x14ac:dyDescent="0.15">
      <c r="A665" s="1" t="s">
        <v>130</v>
      </c>
      <c r="F665" s="13">
        <f>F661-SUM(F662:F664)</f>
        <v>7212466.9694920368</v>
      </c>
      <c r="G665" s="13">
        <f>G661-SUM(G662:G664)</f>
        <v>4242919.7946937401</v>
      </c>
      <c r="H665" s="13">
        <f>H661-SUM(H662:H664)</f>
        <v>6673623.9458142249</v>
      </c>
      <c r="I665" s="13">
        <f>I661-SUM(I662:I664)</f>
        <v>18129010.710000001</v>
      </c>
      <c r="J665" s="13"/>
      <c r="K665" s="13"/>
      <c r="L665" s="13"/>
      <c r="M665" s="8"/>
    </row>
    <row r="666" spans="1:13" s="3" customFormat="1" ht="12.2" customHeight="1" x14ac:dyDescent="0.2">
      <c r="A666" s="1" t="s">
        <v>131</v>
      </c>
      <c r="F666" s="183">
        <v>321.47000000000003</v>
      </c>
      <c r="G666" s="184">
        <v>186.09</v>
      </c>
      <c r="H666" s="184">
        <v>284.14999999999998</v>
      </c>
      <c r="I666" s="13">
        <f>SUM(F666:H666)</f>
        <v>791.71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22435.89</v>
      </c>
      <c r="G668" s="13">
        <f>ROUND(G665/G666,2)</f>
        <v>22800.36</v>
      </c>
      <c r="H668" s="13">
        <f>ROUND(H665/H666,2)</f>
        <v>23486.27</v>
      </c>
      <c r="I668" s="13">
        <f>ROUND(I665/I666,2)</f>
        <v>22898.55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5.89</v>
      </c>
      <c r="I671" s="13">
        <f>SUM(F671:H671)</f>
        <v>5.89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22435.89</v>
      </c>
      <c r="G673" s="13">
        <f>ROUND((G665+G670)/(G666+G671),2)</f>
        <v>22800.36</v>
      </c>
      <c r="H673" s="13">
        <f>ROUND((H665+H670)/(H666+H671),2)</f>
        <v>23009.32</v>
      </c>
      <c r="I673" s="13">
        <f>ROUND((I665+I670)/(I666+I671),2)</f>
        <v>22729.45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6" sqref="E2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200713.48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126625.07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53952.85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20135.560000000001</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Newport</v>
      </c>
      <c r="C5" s="317"/>
      <c r="D5" s="317"/>
      <c r="E5" s="317"/>
      <c r="F5" s="317"/>
    </row>
    <row r="8" spans="1:9" ht="18" x14ac:dyDescent="0.25">
      <c r="A8" s="240" t="s">
        <v>1560</v>
      </c>
      <c r="F8" s="247" t="s">
        <v>1578</v>
      </c>
    </row>
    <row r="9" spans="1:9" ht="15" x14ac:dyDescent="0.2">
      <c r="A9" s="238" t="s">
        <v>1561</v>
      </c>
      <c r="B9" s="241">
        <f>'DOE25'!G97</f>
        <v>86411.27</v>
      </c>
      <c r="F9" s="238" t="s">
        <v>1574</v>
      </c>
    </row>
    <row r="10" spans="1:9" ht="15" x14ac:dyDescent="0.2">
      <c r="A10" s="238" t="s">
        <v>1562</v>
      </c>
      <c r="B10" s="241">
        <f>'DOE25'!G112-'DOE25'!G97</f>
        <v>23062.839999999997</v>
      </c>
      <c r="F10" s="238" t="s">
        <v>1575</v>
      </c>
    </row>
    <row r="11" spans="1:9" ht="15" x14ac:dyDescent="0.2">
      <c r="A11" s="238" t="s">
        <v>1563</v>
      </c>
      <c r="B11" s="241">
        <f>'DOE25'!G140</f>
        <v>1883.79</v>
      </c>
      <c r="F11" s="238" t="s">
        <v>1576</v>
      </c>
    </row>
    <row r="12" spans="1:9" ht="15" x14ac:dyDescent="0.2">
      <c r="A12" s="238" t="s">
        <v>1564</v>
      </c>
      <c r="B12" s="241">
        <f>'DOE25'!G170</f>
        <v>333432.11999999994</v>
      </c>
      <c r="F12" s="238" t="s">
        <v>1577</v>
      </c>
    </row>
    <row r="13" spans="1:9" ht="15" x14ac:dyDescent="0.2">
      <c r="A13" s="238" t="s">
        <v>1565</v>
      </c>
      <c r="B13" s="241">
        <f>'DOE25'!G193-'DOE25'!G180</f>
        <v>0</v>
      </c>
      <c r="F13" s="238" t="s">
        <v>1587</v>
      </c>
    </row>
    <row r="14" spans="1:9" ht="18" x14ac:dyDescent="0.25">
      <c r="A14" s="240" t="s">
        <v>732</v>
      </c>
      <c r="B14" s="242">
        <f>SUM(B9:B13)</f>
        <v>444790.0199999999</v>
      </c>
    </row>
    <row r="16" spans="1:9" ht="18" x14ac:dyDescent="0.25">
      <c r="A16" s="240" t="s">
        <v>786</v>
      </c>
      <c r="F16" s="247" t="s">
        <v>1579</v>
      </c>
    </row>
    <row r="17" spans="1:6" ht="15" x14ac:dyDescent="0.2">
      <c r="A17" s="238" t="s">
        <v>1566</v>
      </c>
      <c r="B17" s="241">
        <f>'DOE25'!L363-'DOE25'!L362</f>
        <v>494994.03000000009</v>
      </c>
      <c r="F17" s="238" t="s">
        <v>1580</v>
      </c>
    </row>
    <row r="18" spans="1:6" ht="15" x14ac:dyDescent="0.2">
      <c r="A18" s="238" t="s">
        <v>1567</v>
      </c>
      <c r="B18" s="251"/>
      <c r="F18" s="247" t="s">
        <v>1604</v>
      </c>
    </row>
    <row r="19" spans="1:6" ht="18" x14ac:dyDescent="0.25">
      <c r="A19" s="240" t="s">
        <v>725</v>
      </c>
      <c r="B19" s="242">
        <f>SUM(B17:B18)</f>
        <v>494994.03000000009</v>
      </c>
    </row>
    <row r="21" spans="1:6" ht="18.75" thickBot="1" x14ac:dyDescent="0.3">
      <c r="A21" s="240" t="s">
        <v>1568</v>
      </c>
    </row>
    <row r="22" spans="1:6" ht="18.75" thickTop="1" x14ac:dyDescent="0.25">
      <c r="A22" s="240" t="s">
        <v>1569</v>
      </c>
      <c r="B22" s="246">
        <f>B14-B19</f>
        <v>-50204.010000000184</v>
      </c>
      <c r="F22" s="238" t="s">
        <v>1581</v>
      </c>
    </row>
    <row r="26" spans="1:6" ht="18" x14ac:dyDescent="0.25">
      <c r="A26" s="240" t="s">
        <v>186</v>
      </c>
    </row>
    <row r="27" spans="1:6" ht="15" x14ac:dyDescent="0.2">
      <c r="A27" s="238" t="s">
        <v>1570</v>
      </c>
      <c r="B27" s="241">
        <f>'DOE25'!G180</f>
        <v>4230.3</v>
      </c>
      <c r="F27" s="238" t="s">
        <v>1582</v>
      </c>
    </row>
    <row r="28" spans="1:6" ht="15" x14ac:dyDescent="0.2">
      <c r="A28" s="238" t="s">
        <v>1572</v>
      </c>
      <c r="B28" s="241">
        <f>'DOE25'!L362</f>
        <v>0</v>
      </c>
      <c r="F28" s="238" t="s">
        <v>1583</v>
      </c>
    </row>
    <row r="31" spans="1:6" ht="15" x14ac:dyDescent="0.2">
      <c r="A31" s="238" t="s">
        <v>1797</v>
      </c>
      <c r="B31" s="241">
        <f>'DOE25'!G466</f>
        <v>63201.91</v>
      </c>
      <c r="F31" s="238" t="s">
        <v>1584</v>
      </c>
    </row>
    <row r="33" spans="1:6" ht="15" x14ac:dyDescent="0.2">
      <c r="A33" s="238" t="s">
        <v>1798</v>
      </c>
      <c r="B33" s="241">
        <f>'DOE25'!G477</f>
        <v>17228.199999999953</v>
      </c>
      <c r="F33" s="238" t="s">
        <v>1585</v>
      </c>
    </row>
    <row r="36" spans="1:6" ht="15" x14ac:dyDescent="0.2">
      <c r="A36" s="238" t="s">
        <v>1571</v>
      </c>
      <c r="B36" s="252">
        <v>38181.519999999997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7" sqref="C2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Newport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3136144.5800000005</v>
      </c>
      <c r="C9" s="167">
        <f>'DOE25'!G198+'DOE25'!G216+'DOE25'!G234+'DOE25'!G277+'DOE25'!G296+'DOE25'!G315</f>
        <v>1816418.4100000001</v>
      </c>
    </row>
    <row r="10" spans="1:3" x14ac:dyDescent="0.2">
      <c r="A10" t="s">
        <v>775</v>
      </c>
      <c r="B10" s="177">
        <v>2761629.98</v>
      </c>
      <c r="C10" s="177">
        <v>1594815.37</v>
      </c>
    </row>
    <row r="11" spans="1:3" x14ac:dyDescent="0.2">
      <c r="A11" t="s">
        <v>776</v>
      </c>
      <c r="B11" s="177">
        <v>38536.949999999997</v>
      </c>
      <c r="C11" s="177">
        <v>21797.02</v>
      </c>
    </row>
    <row r="12" spans="1:3" x14ac:dyDescent="0.2">
      <c r="A12" t="s">
        <v>777</v>
      </c>
      <c r="B12" s="177">
        <v>335977.65</v>
      </c>
      <c r="C12" s="177">
        <v>199806.02</v>
      </c>
    </row>
    <row r="13" spans="1:3" x14ac:dyDescent="0.2">
      <c r="A13" t="str">
        <f>IF(B9=B13,IF(C9=C13,"Check Total OK","Check Total Error"),"Check Total Error")</f>
        <v>Check Total OK</v>
      </c>
      <c r="B13" s="169">
        <f>SUM(B10:B12)</f>
        <v>3136144.58</v>
      </c>
      <c r="C13" s="169">
        <f>SUM(C10:C12)</f>
        <v>1816418.4100000001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1709585.61</v>
      </c>
      <c r="C18" s="167">
        <f>'DOE25'!G199+'DOE25'!G217+'DOE25'!G235+'DOE25'!G278+'DOE25'!G297+'DOE25'!G316</f>
        <v>949793.97000000009</v>
      </c>
    </row>
    <row r="19" spans="1:3" x14ac:dyDescent="0.2">
      <c r="A19" t="s">
        <v>775</v>
      </c>
      <c r="B19" s="177">
        <f>586755.98+55215.07</f>
        <v>641971.04999999993</v>
      </c>
      <c r="C19" s="177">
        <v>356172.74</v>
      </c>
    </row>
    <row r="20" spans="1:3" x14ac:dyDescent="0.2">
      <c r="A20" t="s">
        <v>776</v>
      </c>
      <c r="B20" s="177">
        <v>873614.11</v>
      </c>
      <c r="C20" s="177">
        <v>485344.72</v>
      </c>
    </row>
    <row r="21" spans="1:3" x14ac:dyDescent="0.2">
      <c r="A21" t="s">
        <v>777</v>
      </c>
      <c r="B21" s="177">
        <v>194000.45</v>
      </c>
      <c r="C21" s="177">
        <v>108276.51</v>
      </c>
    </row>
    <row r="22" spans="1:3" x14ac:dyDescent="0.2">
      <c r="A22" t="str">
        <f>IF(B18=B22,IF(C18=C22,"Check Total OK","Check Total Error"),"Check Total Error")</f>
        <v>Check Total OK</v>
      </c>
      <c r="B22" s="169">
        <f>SUM(B19:B21)</f>
        <v>1709585.6099999999</v>
      </c>
      <c r="C22" s="169">
        <f>SUM(C19:C21)</f>
        <v>949793.97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353424.89000000007</v>
      </c>
      <c r="C27" s="172">
        <f>'DOE25'!G200+'DOE25'!G218+'DOE25'!G236+'DOE25'!G279+'DOE25'!G298+'DOE25'!G317</f>
        <v>220263.76</v>
      </c>
    </row>
    <row r="28" spans="1:3" x14ac:dyDescent="0.2">
      <c r="A28" t="s">
        <v>775</v>
      </c>
      <c r="B28" s="177">
        <v>346544.89</v>
      </c>
      <c r="C28" s="177">
        <v>215982.3</v>
      </c>
    </row>
    <row r="29" spans="1:3" x14ac:dyDescent="0.2">
      <c r="A29" t="s">
        <v>776</v>
      </c>
      <c r="B29" s="177">
        <v>4480</v>
      </c>
      <c r="C29" s="177">
        <v>2568.87</v>
      </c>
    </row>
    <row r="30" spans="1:3" x14ac:dyDescent="0.2">
      <c r="A30" t="s">
        <v>777</v>
      </c>
      <c r="B30" s="177">
        <v>2400</v>
      </c>
      <c r="C30" s="177">
        <v>1712.59</v>
      </c>
    </row>
    <row r="31" spans="1:3" x14ac:dyDescent="0.2">
      <c r="A31" t="str">
        <f>IF(B27=B31,IF(C27=C31,"Check Total OK","Check Total Error"),"Check Total Error")</f>
        <v>Check Total OK</v>
      </c>
      <c r="B31" s="169">
        <f>SUM(B28:B30)</f>
        <v>353424.89</v>
      </c>
      <c r="C31" s="169">
        <f>SUM(C28:C30)</f>
        <v>220263.75999999998</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277162.41000000003</v>
      </c>
      <c r="C36" s="173">
        <f>'DOE25'!G201+'DOE25'!G219+'DOE25'!G237+'DOE25'!G280+'DOE25'!G299+'DOE25'!G318</f>
        <v>84460.76999999999</v>
      </c>
    </row>
    <row r="37" spans="1:3" x14ac:dyDescent="0.2">
      <c r="A37" t="s">
        <v>775</v>
      </c>
      <c r="B37" s="177">
        <v>174492.79999999999</v>
      </c>
      <c r="C37" s="177">
        <v>50047.23</v>
      </c>
    </row>
    <row r="38" spans="1:3" x14ac:dyDescent="0.2">
      <c r="A38" t="s">
        <v>776</v>
      </c>
      <c r="B38" s="177">
        <v>3560.84</v>
      </c>
      <c r="C38" s="177">
        <v>3384.84</v>
      </c>
    </row>
    <row r="39" spans="1:3" x14ac:dyDescent="0.2">
      <c r="A39" t="s">
        <v>777</v>
      </c>
      <c r="B39" s="177">
        <v>99108.77</v>
      </c>
      <c r="C39" s="177">
        <v>31028.7</v>
      </c>
    </row>
    <row r="40" spans="1:3" x14ac:dyDescent="0.2">
      <c r="A40" t="str">
        <f>IF(B36=B40,IF(C36=C40,"Check Total OK","Check Total Error"),"Check Total Error")</f>
        <v>Check Total OK</v>
      </c>
      <c r="B40" s="169">
        <f>SUM(B37:B39)</f>
        <v>277162.40999999997</v>
      </c>
      <c r="C40" s="169">
        <f>SUM(C37:C39)</f>
        <v>84460.77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3" zoomScaleNormal="93"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Newport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9312187.75</v>
      </c>
      <c r="D5" s="19">
        <f>SUM('DOE25'!L198:L201)+SUM('DOE25'!L216:L219)+SUM('DOE25'!L234:L237)-F5-G5-H5</f>
        <v>8586610.9299999997</v>
      </c>
      <c r="E5" s="180"/>
      <c r="F5" s="181">
        <v>565821.18999999994</v>
      </c>
      <c r="G5" s="19">
        <f>SUM('DOE25'!J198:J201)+SUM('DOE25'!J216:J219)+SUM('DOE25'!J234:J237)</f>
        <v>144330.66999999998</v>
      </c>
      <c r="H5" s="19">
        <f>SUM('DOE25'!K198:K201)+SUM('DOE25'!K216:K219)+SUM('DOE25'!K234:K237)</f>
        <v>15424.96</v>
      </c>
      <c r="I5" s="192"/>
    </row>
    <row r="6" spans="1:9" x14ac:dyDescent="0.2">
      <c r="A6" s="31">
        <v>2100</v>
      </c>
      <c r="B6" t="s">
        <v>796</v>
      </c>
      <c r="C6" s="206">
        <f t="shared" si="0"/>
        <v>1424664.84</v>
      </c>
      <c r="D6" s="19">
        <f>'DOE25'!L203+'DOE25'!L221+'DOE25'!L239-F6-G6-H6</f>
        <v>1349692.3900000001</v>
      </c>
      <c r="E6" s="180"/>
      <c r="F6" s="181">
        <v>74322.45</v>
      </c>
      <c r="G6" s="19">
        <f>'DOE25'!J203+'DOE25'!J221+'DOE25'!J239</f>
        <v>500</v>
      </c>
      <c r="H6" s="19">
        <f>'DOE25'!K203+'DOE25'!K221+'DOE25'!K239</f>
        <v>150</v>
      </c>
      <c r="I6" s="192"/>
    </row>
    <row r="7" spans="1:9" x14ac:dyDescent="0.2">
      <c r="A7" s="31">
        <v>2200</v>
      </c>
      <c r="B7" t="s">
        <v>820</v>
      </c>
      <c r="C7" s="206">
        <f t="shared" si="0"/>
        <v>995284.05</v>
      </c>
      <c r="D7" s="19">
        <f>'DOE25'!L204+'DOE25'!L222+'DOE25'!L240-F7-G7-H7</f>
        <v>750722.42999999993</v>
      </c>
      <c r="E7" s="180"/>
      <c r="F7" s="181">
        <v>20151.43</v>
      </c>
      <c r="G7" s="19">
        <f>'DOE25'!J204+'DOE25'!J222+'DOE25'!J240</f>
        <v>224385.19</v>
      </c>
      <c r="H7" s="19">
        <f>'DOE25'!K204+'DOE25'!K222+'DOE25'!K240</f>
        <v>25</v>
      </c>
      <c r="I7" s="192"/>
    </row>
    <row r="8" spans="1:9" x14ac:dyDescent="0.2">
      <c r="A8" s="31">
        <v>2300</v>
      </c>
      <c r="B8" t="s">
        <v>797</v>
      </c>
      <c r="C8" s="206">
        <f t="shared" si="0"/>
        <v>883240.75000000012</v>
      </c>
      <c r="D8" s="180"/>
      <c r="E8" s="19">
        <f>'DOE25'!L205+'DOE25'!L223+'DOE25'!L241-F8-G8-H8-D9-D11</f>
        <v>873065.21000000008</v>
      </c>
      <c r="F8" s="181">
        <v>0</v>
      </c>
      <c r="G8" s="19">
        <f>'DOE25'!J205+'DOE25'!J223+'DOE25'!J241</f>
        <v>0</v>
      </c>
      <c r="H8" s="19">
        <f>'DOE25'!K205+'DOE25'!K223+'DOE25'!K241</f>
        <v>10175.540000000001</v>
      </c>
      <c r="I8" s="192"/>
    </row>
    <row r="9" spans="1:9" ht="14.25" x14ac:dyDescent="0.2">
      <c r="A9" s="31">
        <v>2310</v>
      </c>
      <c r="B9" s="71" t="s">
        <v>887</v>
      </c>
      <c r="C9" s="206">
        <f t="shared" si="0"/>
        <v>102892.83</v>
      </c>
      <c r="D9" s="181">
        <v>102892.83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v>0</v>
      </c>
      <c r="E11" s="180"/>
      <c r="F11" s="180"/>
      <c r="G11" s="180"/>
      <c r="H11" s="180"/>
      <c r="I11" s="192"/>
    </row>
    <row r="12" spans="1:9" x14ac:dyDescent="0.2">
      <c r="A12" s="31">
        <v>2400</v>
      </c>
      <c r="B12" t="s">
        <v>711</v>
      </c>
      <c r="C12" s="206">
        <f t="shared" si="0"/>
        <v>1319078.8999999999</v>
      </c>
      <c r="D12" s="19">
        <f>'DOE25'!L206+'DOE25'!L224+'DOE25'!L242-F12-G12-H12</f>
        <v>1312291.96</v>
      </c>
      <c r="E12" s="180"/>
      <c r="F12" s="181">
        <v>0</v>
      </c>
      <c r="G12" s="19">
        <f>'DOE25'!J206+'DOE25'!J224+'DOE25'!J242</f>
        <v>678.94</v>
      </c>
      <c r="H12" s="19">
        <f>'DOE25'!K206+'DOE25'!K224+'DOE25'!K242</f>
        <v>6108</v>
      </c>
      <c r="I12" s="192"/>
    </row>
    <row r="13" spans="1:9" x14ac:dyDescent="0.2">
      <c r="A13" s="31">
        <v>2500</v>
      </c>
      <c r="B13" t="s">
        <v>798</v>
      </c>
      <c r="C13" s="206">
        <f t="shared" si="0"/>
        <v>574588.08000000007</v>
      </c>
      <c r="D13" s="180"/>
      <c r="E13" s="19">
        <f>'DOE25'!L207+'DOE25'!L225+'DOE25'!L243-F13-G13-H13</f>
        <v>551689.83000000007</v>
      </c>
      <c r="F13" s="181">
        <v>22135.25</v>
      </c>
      <c r="G13" s="19">
        <f>'DOE25'!J207+'DOE25'!J225+'DOE25'!J243</f>
        <v>289</v>
      </c>
      <c r="H13" s="19">
        <f>'DOE25'!K207+'DOE25'!K225+'DOE25'!K243</f>
        <v>474</v>
      </c>
      <c r="I13" s="192"/>
    </row>
    <row r="14" spans="1:9" x14ac:dyDescent="0.2">
      <c r="A14" s="31">
        <v>2600</v>
      </c>
      <c r="B14" t="s">
        <v>818</v>
      </c>
      <c r="C14" s="206">
        <f t="shared" si="0"/>
        <v>2638373.5</v>
      </c>
      <c r="D14" s="19">
        <f>'DOE25'!L208+'DOE25'!L226+'DOE25'!L244-F14-G14-H14</f>
        <v>2388260.31</v>
      </c>
      <c r="E14" s="180"/>
      <c r="F14" s="181"/>
      <c r="G14" s="19">
        <f>'DOE25'!J208+'DOE25'!J226+'DOE25'!J244</f>
        <v>249863.18</v>
      </c>
      <c r="H14" s="19">
        <f>'DOE25'!K208+'DOE25'!K226+'DOE25'!K244</f>
        <v>250.01</v>
      </c>
      <c r="I14" s="192"/>
    </row>
    <row r="15" spans="1:9" x14ac:dyDescent="0.2">
      <c r="A15" s="31">
        <v>2700</v>
      </c>
      <c r="B15" t="s">
        <v>799</v>
      </c>
      <c r="C15" s="206">
        <f t="shared" si="0"/>
        <v>730505.73</v>
      </c>
      <c r="D15" s="19">
        <f>'DOE25'!L209+'DOE25'!L227+'DOE25'!L245-F15-G15-H15</f>
        <v>606827.04</v>
      </c>
      <c r="E15" s="180"/>
      <c r="F15" s="181"/>
      <c r="G15" s="19">
        <f>'DOE25'!J209+'DOE25'!J227+'DOE25'!J245</f>
        <v>122338.48000000001</v>
      </c>
      <c r="H15" s="19">
        <f>'DOE25'!K209+'DOE25'!K227+'DOE25'!K245</f>
        <v>1340.21</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675181.65</v>
      </c>
      <c r="D22" s="180"/>
      <c r="E22" s="180"/>
      <c r="F22" s="180"/>
      <c r="G22" s="19">
        <f>'DOE25'!L256+'DOE25'!L337</f>
        <v>675181.65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634164.96</v>
      </c>
      <c r="D25" s="180"/>
      <c r="E25" s="180"/>
      <c r="F25" s="191"/>
      <c r="G25" s="180"/>
      <c r="H25" s="180"/>
      <c r="I25" s="190">
        <f>'DOE25'!L261+'DOE25'!L262+'DOE25'!L342+'DOE25'!L343</f>
        <v>634164.96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294907.03000000009</v>
      </c>
      <c r="D29" s="212">
        <f>'DOE25'!L359+'DOE25'!L360+'DOE25'!L361-'DOE25'!I368-F29-G29-H29-F39</f>
        <v>294907.03000000009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1773872.16</v>
      </c>
      <c r="D31" s="19">
        <f>'DOE25'!L291+'DOE25'!L310+'DOE25'!L329+'DOE25'!L334+'DOE25'!L335+'DOE25'!L336-F31-G31-H31</f>
        <v>1715215.72</v>
      </c>
      <c r="E31" s="180"/>
      <c r="F31" s="181"/>
      <c r="G31" s="19">
        <f>'DOE25'!J291+'DOE25'!J310+'DOE25'!J329+'DOE25'!J334+'DOE25'!J335+'DOE25'!J336</f>
        <v>56888.93</v>
      </c>
      <c r="H31" s="19">
        <f>'DOE25'!K291+'DOE25'!K310+'DOE25'!K329+'DOE25'!K334+'DOE25'!K335+'DOE25'!K336</f>
        <v>1767.51</v>
      </c>
      <c r="I31" s="192"/>
    </row>
    <row r="32" spans="1:9" ht="12" thickBot="1" x14ac:dyDescent="0.25">
      <c r="C32" s="207"/>
      <c r="G32" s="188"/>
      <c r="H32" s="188"/>
      <c r="I32" s="194"/>
    </row>
    <row r="33" spans="1:9" ht="12" thickTop="1" x14ac:dyDescent="0.2">
      <c r="B33" t="s">
        <v>809</v>
      </c>
      <c r="D33" s="182">
        <f t="shared" ref="D33:I33" si="1">SUM(D5:D31)</f>
        <v>17107420.640000001</v>
      </c>
      <c r="E33" s="182">
        <f t="shared" si="1"/>
        <v>1424755.04</v>
      </c>
      <c r="F33" s="182">
        <f t="shared" si="1"/>
        <v>682430.32</v>
      </c>
      <c r="G33" s="182">
        <f t="shared" si="1"/>
        <v>1474456.0399999998</v>
      </c>
      <c r="H33" s="182">
        <f t="shared" si="1"/>
        <v>35715.230000000003</v>
      </c>
      <c r="I33" s="182">
        <f t="shared" si="1"/>
        <v>634164.96</v>
      </c>
    </row>
    <row r="34" spans="1:9" ht="12" thickBot="1" x14ac:dyDescent="0.25"/>
    <row r="35" spans="1:9" ht="12" thickBot="1" x14ac:dyDescent="0.25">
      <c r="B35" s="188" t="s">
        <v>830</v>
      </c>
      <c r="D35" s="189">
        <f>E33</f>
        <v>1424755.04</v>
      </c>
      <c r="E35" s="185"/>
      <c r="F35" s="295" t="s">
        <v>1608</v>
      </c>
      <c r="G35" s="296"/>
      <c r="H35" s="296"/>
      <c r="I35" s="297"/>
    </row>
    <row r="36" spans="1:9" ht="12" thickTop="1" x14ac:dyDescent="0.2">
      <c r="B36" t="s">
        <v>810</v>
      </c>
      <c r="D36" s="19">
        <f>D33</f>
        <v>17107420.640000001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200087</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3" zoomScale="80" zoomScaleNormal="8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Newport</v>
      </c>
      <c r="B2">
        <f>'DOE25'!B2</f>
        <v>401</v>
      </c>
      <c r="J2" s="224" t="s">
        <v>1808</v>
      </c>
      <c r="K2" s="309">
        <f>SUM('DOE25'!L198:L201)+SUM('DOE25'!L216:L219)+SUM('DOE25'!L234:L237)+SUM('DOE25'!L277:L280)+SUM('DOE25'!L296:L299)+SUM('DOE25'!L315:L318)</f>
        <v>10486281.459999999</v>
      </c>
      <c r="L2" s="309">
        <f>'DOE25'!L203+'DOE25'!L221+'DOE25'!L239+'DOE25'!L282+'DOE25'!L301+'DOE25'!L320</f>
        <v>1803824.3100000003</v>
      </c>
      <c r="M2" s="309">
        <f>'DOE25'!L204+'DOE25'!L222+'DOE25'!L240+'DOE25'!L283+'DOE25'!L302+'DOE25'!L321</f>
        <v>1130670.22</v>
      </c>
      <c r="N2" s="309">
        <f>'DOE25'!L206+'DOE25'!L224+'DOE25'!L242+'DOE25'!L285+'DOE25'!L304+'DOE25'!L323</f>
        <v>1335278.9899999998</v>
      </c>
      <c r="O2" s="309">
        <f>'Salaries-Benefits'!B10+'Salaries-Benefits'!B12+'Salaries-Benefits'!B19+'Salaries-Benefits'!B21+'Salaries-Benefits'!B28+'Salaries-Benefits'!B30+'Salaries-Benefits'!B37+'Salaries-Benefits'!B39</f>
        <v>4556125.5899999989</v>
      </c>
      <c r="P2" s="309">
        <f>'Salaries-Benefits'!B11+'Salaries-Benefits'!B20+'Salaries-Benefits'!B29+'Salaries-Benefits'!B38</f>
        <v>920191.89999999991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-10486281.459999999</v>
      </c>
      <c r="L3" s="311">
        <f t="shared" ref="L3:P3" si="0">L21+L33+L43-L2</f>
        <v>-1803824.3100000003</v>
      </c>
      <c r="M3" s="311">
        <f t="shared" si="0"/>
        <v>-1130670.22</v>
      </c>
      <c r="N3" s="311">
        <f t="shared" si="0"/>
        <v>-1335278.9899999998</v>
      </c>
      <c r="O3" s="311">
        <f t="shared" si="0"/>
        <v>-4556125.5899999989</v>
      </c>
      <c r="P3" s="311">
        <f t="shared" si="0"/>
        <v>-920191.89999999991</v>
      </c>
      <c r="Q3" s="310"/>
      <c r="R3" s="306"/>
      <c r="S3" s="215"/>
      <c r="T3" s="215"/>
      <c r="U3" s="216"/>
    </row>
    <row r="4" spans="1:21" ht="55.5" customHeight="1" thickBot="1" x14ac:dyDescent="0.25">
      <c r="A4" s="224" t="s">
        <v>1522</v>
      </c>
      <c r="B4" s="224" t="s">
        <v>1523</v>
      </c>
      <c r="C4" s="224" t="s">
        <v>896</v>
      </c>
      <c r="D4" s="224" t="s">
        <v>786</v>
      </c>
      <c r="E4" s="224" t="s">
        <v>786</v>
      </c>
      <c r="F4" s="228">
        <f>SUM(F5:F20)</f>
        <v>7614960.4800000004</v>
      </c>
      <c r="G4" s="229">
        <f>'DOE25'!L212+'DOE25'!L291</f>
        <v>7614960.4800000004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Richards Elementary School</v>
      </c>
      <c r="B6" s="230">
        <f>IFERROR(VLOOKUP(A6,'School Tables'!$C$3:$D$365,2,FALSE),"")</f>
        <v>21995</v>
      </c>
      <c r="C6" s="223" t="str">
        <f>IFERROR(INDEX('School Tables'!$B$3:$B$365,MATCH('School Level Expenditures'!B6,'School Tables'!$D$3:$D$365,0)),"")</f>
        <v>Newport</v>
      </c>
      <c r="D6" s="220">
        <v>6685728.4500000002</v>
      </c>
      <c r="E6" s="220">
        <v>929232.03</v>
      </c>
      <c r="F6" s="232">
        <f t="shared" ref="F6:F20" si="1">D6+E6</f>
        <v>7614960.4800000004</v>
      </c>
      <c r="G6" s="223"/>
      <c r="H6" s="223"/>
      <c r="J6" t="str">
        <f>A6</f>
        <v>Richards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6685728.4500000002</v>
      </c>
      <c r="E21" s="262">
        <f>SUM(E5:E20)</f>
        <v>929232.03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4722332.01</v>
      </c>
      <c r="G24" s="229">
        <f>'DOE25'!L230+'DOE25'!L310</f>
        <v>4722332.0100000007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Newport Middle School</v>
      </c>
      <c r="B26" s="230">
        <f>IFERROR(VLOOKUP(A26,'School Tables'!$N$4:$O$75,2,FALSE),"")</f>
        <v>26970</v>
      </c>
      <c r="C26" s="223" t="str">
        <f>IFERROR(INDEX('School Tables'!$M$4:$M$75,MATCH('School Level Expenditures'!A26,'School Tables'!$N$4:$N$75,0)),"")</f>
        <v>Newport</v>
      </c>
      <c r="D26" s="220">
        <v>4308088.5599999996</v>
      </c>
      <c r="E26" s="220">
        <v>414243.45</v>
      </c>
      <c r="F26" s="232">
        <f t="shared" ref="F26:F32" si="4">D26+E26</f>
        <v>4722332.01</v>
      </c>
      <c r="G26" s="223"/>
      <c r="H26" s="223"/>
      <c r="J26" t="str">
        <f t="shared" ref="J26:J32" si="5">A26</f>
        <v>Newport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4308088.5599999996</v>
      </c>
      <c r="E33" s="262">
        <f>SUM(E25:E32)</f>
        <v>414243.45</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7417013.2999999998</v>
      </c>
      <c r="G36" s="229">
        <f>'DOE25'!L248+'DOE25'!L329</f>
        <v>7417013.2999999998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Newport Middle High School (High)</v>
      </c>
      <c r="B38" s="230">
        <f>IFERROR(VLOOKUP(A38,'School Tables'!$Y$4:$Z$100,2,FALSE),"")</f>
        <v>21985</v>
      </c>
      <c r="C38" s="223" t="str">
        <f>IFERROR(INDEX('School Tables'!$X$4:$X$100,MATCH('School Level Expenditures'!A38,'School Tables'!$Y$4:$Y$100,0)),"")</f>
        <v>Newport</v>
      </c>
      <c r="D38" s="220">
        <v>6986999.4199999999</v>
      </c>
      <c r="E38" s="220">
        <v>430013.88</v>
      </c>
      <c r="F38" s="232">
        <f t="shared" si="7"/>
        <v>7417013.2999999998</v>
      </c>
      <c r="G38" s="223"/>
      <c r="H38" s="223"/>
      <c r="J38" t="str">
        <f t="shared" ref="J38:J42" si="8">A38</f>
        <v>Newport Middle High School (High)</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6986999.4199999999</v>
      </c>
      <c r="E43" s="263">
        <f>SUM(E37:E42)</f>
        <v>430013.88</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Newport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553009.37</v>
      </c>
      <c r="D8" s="73">
        <f>'DOE25'!G9</f>
        <v>200</v>
      </c>
      <c r="E8" s="73">
        <f>'DOE25'!H9</f>
        <v>0</v>
      </c>
      <c r="F8" s="73">
        <f>'DOE25'!I9</f>
        <v>0</v>
      </c>
      <c r="G8" s="73">
        <f>'DOE25'!J9</f>
        <v>0</v>
      </c>
      <c r="H8" s="13">
        <f>SUM(C8:G8)</f>
        <v>553209.37</v>
      </c>
      <c r="I8" s="90"/>
    </row>
    <row r="9" spans="1:9" x14ac:dyDescent="0.2">
      <c r="A9" s="1" t="s">
        <v>140</v>
      </c>
      <c r="B9" s="6">
        <v>110</v>
      </c>
      <c r="C9" s="73">
        <f>'DOE25'!F10</f>
        <v>1528128.15</v>
      </c>
      <c r="D9" s="73">
        <f>'DOE25'!G10</f>
        <v>0</v>
      </c>
      <c r="E9" s="73">
        <f>'DOE25'!H10</f>
        <v>0</v>
      </c>
      <c r="F9" s="73">
        <f>'DOE25'!I10</f>
        <v>0</v>
      </c>
      <c r="G9" s="73">
        <f>'DOE25'!J10</f>
        <v>0</v>
      </c>
      <c r="H9" s="13">
        <f t="shared" ref="H9:H18" si="0">SUM(C9:G9)</f>
        <v>1528128.15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1431012.25</v>
      </c>
      <c r="G11" s="73">
        <f>'DOE25'!J12</f>
        <v>0</v>
      </c>
      <c r="H11" s="13">
        <f t="shared" si="0"/>
        <v>1431012.25</v>
      </c>
      <c r="I11" s="90"/>
    </row>
    <row r="12" spans="1:9" x14ac:dyDescent="0.2">
      <c r="A12" s="1" t="s">
        <v>143</v>
      </c>
      <c r="B12" s="6">
        <v>140</v>
      </c>
      <c r="C12" s="73">
        <f>'DOE25'!F13</f>
        <v>0</v>
      </c>
      <c r="D12" s="73">
        <f>'DOE25'!G13</f>
        <v>0</v>
      </c>
      <c r="E12" s="73">
        <f>'DOE25'!H13</f>
        <v>440167.6</v>
      </c>
      <c r="F12" s="73">
        <f>'DOE25'!I13</f>
        <v>8702</v>
      </c>
      <c r="G12" s="73">
        <f>'DOE25'!J13</f>
        <v>330558</v>
      </c>
      <c r="H12" s="13">
        <f t="shared" si="0"/>
        <v>779427.6</v>
      </c>
      <c r="I12" s="90"/>
    </row>
    <row r="13" spans="1:9" x14ac:dyDescent="0.2">
      <c r="A13" s="1" t="s">
        <v>144</v>
      </c>
      <c r="B13" s="6">
        <v>150</v>
      </c>
      <c r="C13" s="73">
        <f>'DOE25'!F14</f>
        <v>186274.3</v>
      </c>
      <c r="D13" s="73">
        <f>'DOE25'!G14</f>
        <v>55317.77</v>
      </c>
      <c r="E13" s="73">
        <f>'DOE25'!H14</f>
        <v>8854</v>
      </c>
      <c r="F13" s="73">
        <f>'DOE25'!I14</f>
        <v>0</v>
      </c>
      <c r="G13" s="73">
        <f>'DOE25'!J14</f>
        <v>0</v>
      </c>
      <c r="H13" s="13">
        <f t="shared" si="0"/>
        <v>250446.06999999998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17228.2</v>
      </c>
      <c r="E15" s="73">
        <f>'DOE25'!H16</f>
        <v>0</v>
      </c>
      <c r="F15" s="73">
        <f>'DOE25'!I16</f>
        <v>0</v>
      </c>
      <c r="G15" s="23" t="s">
        <v>288</v>
      </c>
      <c r="H15" s="13">
        <f t="shared" si="0"/>
        <v>17228.2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2267411.8199999998</v>
      </c>
      <c r="D18" s="38">
        <f>SUM(D8:D17)</f>
        <v>72745.97</v>
      </c>
      <c r="E18" s="38">
        <f>SUM(E8:E17)</f>
        <v>449021.6</v>
      </c>
      <c r="F18" s="38">
        <f>SUM(F8:F17)</f>
        <v>1439714.25</v>
      </c>
      <c r="G18" s="38">
        <f>SUM(G8:G17)</f>
        <v>330558</v>
      </c>
      <c r="H18" s="38">
        <f t="shared" si="0"/>
        <v>4559451.6400000006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1052606.54</v>
      </c>
      <c r="D21" s="73">
        <f>'DOE25'!G22</f>
        <v>4504.71</v>
      </c>
      <c r="E21" s="73">
        <f>'DOE25'!H22</f>
        <v>373881</v>
      </c>
      <c r="F21" s="73">
        <f>'DOE25'!I22</f>
        <v>0</v>
      </c>
      <c r="G21" s="73">
        <f>'DOE25'!J22</f>
        <v>0</v>
      </c>
      <c r="H21" s="13">
        <f t="shared" ref="H21:H31" si="1">SUM(C21:G21)</f>
        <v>1430992.25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914619.33</v>
      </c>
      <c r="D23" s="73">
        <f>'DOE25'!G24</f>
        <v>19752.55</v>
      </c>
      <c r="E23" s="73">
        <f>'DOE25'!H24</f>
        <v>0</v>
      </c>
      <c r="F23" s="73">
        <f>'DOE25'!I24</f>
        <v>0</v>
      </c>
      <c r="G23" s="73">
        <f>'DOE25'!J24</f>
        <v>0</v>
      </c>
      <c r="H23" s="13">
        <f t="shared" si="1"/>
        <v>934371.88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47019.86</v>
      </c>
      <c r="D27" s="73">
        <f>'DOE25'!G28</f>
        <v>0</v>
      </c>
      <c r="E27" s="73">
        <f>'DOE25'!H28</f>
        <v>0</v>
      </c>
      <c r="F27" s="73">
        <f>'DOE25'!I28</f>
        <v>0</v>
      </c>
      <c r="G27" s="23" t="s">
        <v>288</v>
      </c>
      <c r="H27" s="13">
        <f t="shared" si="1"/>
        <v>47019.86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31260.510000000002</v>
      </c>
      <c r="E29" s="73">
        <f>'DOE25'!H30</f>
        <v>0</v>
      </c>
      <c r="F29" s="73">
        <f>'DOE25'!I30</f>
        <v>0</v>
      </c>
      <c r="G29" s="23" t="s">
        <v>288</v>
      </c>
      <c r="H29" s="13">
        <f t="shared" si="1"/>
        <v>31260.510000000002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2014245.7300000002</v>
      </c>
      <c r="D31" s="38">
        <f>SUM(D21:D30)</f>
        <v>55517.770000000004</v>
      </c>
      <c r="E31" s="38">
        <f>SUM(E21:E30)</f>
        <v>373881</v>
      </c>
      <c r="F31" s="38">
        <f>SUM(F21:F30)</f>
        <v>0</v>
      </c>
      <c r="G31" s="38">
        <f>SUM(G21:G30)</f>
        <v>0</v>
      </c>
      <c r="H31" s="38">
        <f t="shared" si="1"/>
        <v>2443644.5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17228.2</v>
      </c>
      <c r="E34" s="73">
        <f>'DOE25'!H35</f>
        <v>0</v>
      </c>
      <c r="F34" s="73">
        <f>'DOE25'!I35</f>
        <v>0</v>
      </c>
      <c r="G34" s="23" t="s">
        <v>288</v>
      </c>
      <c r="H34" s="13">
        <f t="shared" ref="H34:H51" si="2">SUM(C34:G34)</f>
        <v>17228.2</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75140.600000000006</v>
      </c>
      <c r="F47" s="73">
        <f>'DOE25'!I48</f>
        <v>1439714.25</v>
      </c>
      <c r="G47" s="73">
        <f>'DOE25'!J48</f>
        <v>330558</v>
      </c>
      <c r="H47" s="13">
        <f t="shared" si="2"/>
        <v>1845412.85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253166.09</v>
      </c>
      <c r="D49" s="23" t="s">
        <v>288</v>
      </c>
      <c r="E49" s="23" t="s">
        <v>288</v>
      </c>
      <c r="F49" s="23" t="s">
        <v>288</v>
      </c>
      <c r="G49" s="23" t="s">
        <v>288</v>
      </c>
      <c r="H49" s="13">
        <f t="shared" si="2"/>
        <v>253166.09</v>
      </c>
      <c r="I49" s="90"/>
    </row>
    <row r="50" spans="1:9" ht="12.75" thickTop="1" thickBot="1" x14ac:dyDescent="0.25">
      <c r="A50" s="35" t="s">
        <v>883</v>
      </c>
      <c r="B50" s="44"/>
      <c r="C50" s="38">
        <f>SUM(C34:C49)</f>
        <v>253166.09</v>
      </c>
      <c r="D50" s="38">
        <f>SUM(D34:D49)</f>
        <v>17228.2</v>
      </c>
      <c r="E50" s="38">
        <f>SUM(E34:E49)</f>
        <v>75140.600000000006</v>
      </c>
      <c r="F50" s="38">
        <f>SUM(F34:F49)</f>
        <v>1439714.25</v>
      </c>
      <c r="G50" s="38">
        <f>SUM(G34:G49)</f>
        <v>330558</v>
      </c>
      <c r="H50" s="38">
        <f t="shared" si="2"/>
        <v>2115807.14</v>
      </c>
      <c r="I50" s="90"/>
    </row>
    <row r="51" spans="1:9" ht="12" thickTop="1" x14ac:dyDescent="0.2">
      <c r="A51" s="35" t="s">
        <v>884</v>
      </c>
      <c r="B51" s="2"/>
      <c r="C51" s="38">
        <f>C50+C31</f>
        <v>2267411.8200000003</v>
      </c>
      <c r="D51" s="38">
        <f>D50+D31</f>
        <v>72745.97</v>
      </c>
      <c r="E51" s="38">
        <f>E50+E31</f>
        <v>449021.6</v>
      </c>
      <c r="F51" s="38">
        <f>F50+F31</f>
        <v>1439714.25</v>
      </c>
      <c r="G51" s="38">
        <f>G50+G31</f>
        <v>330558</v>
      </c>
      <c r="H51" s="38">
        <f t="shared" si="2"/>
        <v>4559451.6400000006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8160040</v>
      </c>
      <c r="D56" s="73">
        <f>'DOE25'!G60</f>
        <v>0</v>
      </c>
      <c r="E56" s="73">
        <f>'DOE25'!H60</f>
        <v>0</v>
      </c>
      <c r="F56" s="73">
        <f>'DOE25'!I60</f>
        <v>0</v>
      </c>
      <c r="G56" s="73">
        <f>'DOE25'!J60</f>
        <v>0</v>
      </c>
      <c r="H56" s="13">
        <f t="shared" ref="H56:H63" si="3">SUM(C56:G56)</f>
        <v>8160040</v>
      </c>
      <c r="I56"/>
    </row>
    <row r="57" spans="1:9" x14ac:dyDescent="0.2">
      <c r="A57" s="1" t="s">
        <v>164</v>
      </c>
      <c r="B57" s="6" t="s">
        <v>165</v>
      </c>
      <c r="C57" s="73">
        <f>'DOE25'!F79</f>
        <v>1313139.78</v>
      </c>
      <c r="D57" s="23" t="s">
        <v>288</v>
      </c>
      <c r="E57" s="73">
        <f>'DOE25'!H79</f>
        <v>0</v>
      </c>
      <c r="F57" s="23" t="s">
        <v>288</v>
      </c>
      <c r="G57" s="23" t="s">
        <v>288</v>
      </c>
      <c r="H57" s="13">
        <f t="shared" si="3"/>
        <v>1313139.78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1797.86</v>
      </c>
      <c r="D59" s="73">
        <f>'DOE25'!G96</f>
        <v>0</v>
      </c>
      <c r="E59" s="73">
        <f>'DOE25'!H96</f>
        <v>0</v>
      </c>
      <c r="F59" s="73">
        <f>'DOE25'!I96</f>
        <v>68128.149999999994</v>
      </c>
      <c r="G59" s="73">
        <f>'DOE25'!J96</f>
        <v>0</v>
      </c>
      <c r="H59" s="13">
        <f t="shared" si="3"/>
        <v>69926.009999999995</v>
      </c>
      <c r="I59"/>
    </row>
    <row r="60" spans="1:9" x14ac:dyDescent="0.2">
      <c r="A60" s="1" t="s">
        <v>170</v>
      </c>
      <c r="B60" s="22" t="s">
        <v>171</v>
      </c>
      <c r="C60" s="23" t="s">
        <v>288</v>
      </c>
      <c r="D60" s="73">
        <f>'DOE25'!G97</f>
        <v>86411.27</v>
      </c>
      <c r="E60" s="23" t="s">
        <v>288</v>
      </c>
      <c r="F60" s="23" t="s">
        <v>288</v>
      </c>
      <c r="G60" s="23" t="s">
        <v>288</v>
      </c>
      <c r="H60" s="13">
        <f t="shared" si="3"/>
        <v>86411.27</v>
      </c>
      <c r="I60"/>
    </row>
    <row r="61" spans="1:9" ht="12" thickBot="1" x14ac:dyDescent="0.25">
      <c r="A61" s="1" t="s">
        <v>172</v>
      </c>
      <c r="B61" s="22" t="s">
        <v>173</v>
      </c>
      <c r="C61" s="73">
        <f>SUM('DOE25'!F98:F110)</f>
        <v>51326.36</v>
      </c>
      <c r="D61" s="73">
        <f>SUM('DOE25'!G98:G110)</f>
        <v>23062.84</v>
      </c>
      <c r="E61" s="73">
        <f>SUM('DOE25'!H98:H110)</f>
        <v>50190.42</v>
      </c>
      <c r="F61" s="73">
        <f>SUM('DOE25'!I98:I110)</f>
        <v>43931.6</v>
      </c>
      <c r="G61" s="73">
        <f>SUM('DOE25'!J98:J110)</f>
        <v>0</v>
      </c>
      <c r="H61" s="13">
        <f t="shared" si="3"/>
        <v>168511.22</v>
      </c>
      <c r="I61"/>
    </row>
    <row r="62" spans="1:9" ht="12.75" thickTop="1" thickBot="1" x14ac:dyDescent="0.25">
      <c r="A62" s="28" t="s">
        <v>174</v>
      </c>
      <c r="B62" s="6"/>
      <c r="C62" s="93">
        <f>SUM(C57:C61)</f>
        <v>1366264.0000000002</v>
      </c>
      <c r="D62" s="93">
        <f>SUM(D57:D61)</f>
        <v>109474.11</v>
      </c>
      <c r="E62" s="93">
        <f>SUM(E57:E61)</f>
        <v>50190.42</v>
      </c>
      <c r="F62" s="93">
        <f>SUM(F57:F61)</f>
        <v>112059.75</v>
      </c>
      <c r="G62" s="93">
        <f>SUM(G57:G61)</f>
        <v>0</v>
      </c>
      <c r="H62" s="13">
        <f t="shared" si="3"/>
        <v>1637988.2800000003</v>
      </c>
      <c r="I62"/>
    </row>
    <row r="63" spans="1:9" ht="12" thickTop="1" x14ac:dyDescent="0.2">
      <c r="A63" s="28" t="s">
        <v>175</v>
      </c>
      <c r="B63" s="6"/>
      <c r="C63" s="21">
        <f>C56+C62</f>
        <v>9526304</v>
      </c>
      <c r="D63" s="21">
        <f>D56+D62</f>
        <v>109474.11</v>
      </c>
      <c r="E63" s="21">
        <f>E56+E62</f>
        <v>50190.42</v>
      </c>
      <c r="F63" s="21">
        <f>F56+F62</f>
        <v>112059.75</v>
      </c>
      <c r="G63" s="21">
        <f>G56+G62</f>
        <v>0</v>
      </c>
      <c r="H63" s="13">
        <f t="shared" si="3"/>
        <v>9798028.2799999993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7406322.7199999997</v>
      </c>
      <c r="D66" s="23" t="s">
        <v>288</v>
      </c>
      <c r="E66" s="23" t="s">
        <v>288</v>
      </c>
      <c r="F66" s="23" t="s">
        <v>288</v>
      </c>
      <c r="G66" s="23" t="s">
        <v>288</v>
      </c>
      <c r="H66" s="13">
        <f t="shared" ref="H66:H81" si="4">SUM(C66:G66)</f>
        <v>7406322.7199999997</v>
      </c>
      <c r="I66"/>
    </row>
    <row r="67" spans="1:9" x14ac:dyDescent="0.2">
      <c r="A67" s="1" t="s">
        <v>770</v>
      </c>
      <c r="B67" s="6">
        <v>3112</v>
      </c>
      <c r="C67" s="73">
        <f>'DOE25'!F118</f>
        <v>605418</v>
      </c>
      <c r="D67" s="23"/>
      <c r="E67" s="23"/>
      <c r="F67" s="23"/>
      <c r="G67" s="23"/>
      <c r="H67" s="13">
        <f t="shared" si="4"/>
        <v>605418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91048.320000000007</v>
      </c>
      <c r="D69" s="73">
        <f>'DOE25'!G120</f>
        <v>0</v>
      </c>
      <c r="E69" s="73">
        <f>'DOE25'!H120</f>
        <v>0</v>
      </c>
      <c r="F69" s="73">
        <f>'DOE25'!I120</f>
        <v>0</v>
      </c>
      <c r="G69" s="73">
        <f>'DOE25'!J120</f>
        <v>0</v>
      </c>
      <c r="H69" s="13">
        <f t="shared" si="4"/>
        <v>91048.320000000007</v>
      </c>
      <c r="I69"/>
    </row>
    <row r="70" spans="1:9" ht="12" thickTop="1" x14ac:dyDescent="0.2">
      <c r="A70" s="28" t="s">
        <v>252</v>
      </c>
      <c r="B70" s="2"/>
      <c r="C70" s="97">
        <f>SUM(C66:C69)</f>
        <v>8102789.04</v>
      </c>
      <c r="D70" s="97">
        <f>D69</f>
        <v>0</v>
      </c>
      <c r="E70" s="97">
        <f>E69</f>
        <v>0</v>
      </c>
      <c r="F70" s="97">
        <f>F69</f>
        <v>0</v>
      </c>
      <c r="G70" s="97">
        <f>G69</f>
        <v>0</v>
      </c>
      <c r="H70" s="13">
        <f t="shared" si="4"/>
        <v>8102789.04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336744.38</v>
      </c>
      <c r="D72" s="23" t="s">
        <v>288</v>
      </c>
      <c r="E72" s="23" t="s">
        <v>288</v>
      </c>
      <c r="F72" s="73">
        <f>'DOE25'!I123</f>
        <v>0</v>
      </c>
      <c r="G72" s="23" t="s">
        <v>288</v>
      </c>
      <c r="H72" s="13">
        <f t="shared" si="4"/>
        <v>336744.38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119908.48</v>
      </c>
      <c r="D75" s="23" t="s">
        <v>288</v>
      </c>
      <c r="E75" s="23" t="s">
        <v>288</v>
      </c>
      <c r="F75" s="23" t="s">
        <v>288</v>
      </c>
      <c r="G75" s="23" t="s">
        <v>288</v>
      </c>
      <c r="H75" s="13">
        <f t="shared" si="4"/>
        <v>119908.48</v>
      </c>
      <c r="I75"/>
    </row>
    <row r="76" spans="1:9" x14ac:dyDescent="0.2">
      <c r="A76" s="1" t="s">
        <v>257</v>
      </c>
      <c r="B76" s="6" t="s">
        <v>179</v>
      </c>
      <c r="C76" s="73">
        <f>SUM('DOE25'!F127:F130)</f>
        <v>99795.01</v>
      </c>
      <c r="D76" s="23" t="s">
        <v>288</v>
      </c>
      <c r="E76" s="73">
        <f>SUM('DOE25'!H127:H130)</f>
        <v>0</v>
      </c>
      <c r="F76" s="73">
        <f>SUM('DOE25'!I127:I130)</f>
        <v>0</v>
      </c>
      <c r="G76" s="23" t="s">
        <v>288</v>
      </c>
      <c r="H76" s="13">
        <f t="shared" si="4"/>
        <v>99795.01</v>
      </c>
      <c r="I76"/>
    </row>
    <row r="77" spans="1:9" ht="12" thickBot="1" x14ac:dyDescent="0.25">
      <c r="A77" s="1" t="s">
        <v>258</v>
      </c>
      <c r="B77" s="6" t="s">
        <v>180</v>
      </c>
      <c r="C77" s="73">
        <f>SUM('DOE25'!F131:F135)</f>
        <v>0</v>
      </c>
      <c r="D77" s="73">
        <f>SUM('DOE25'!G131:G135)</f>
        <v>1883.79</v>
      </c>
      <c r="E77" s="73">
        <f>SUM('DOE25'!H131:H135)</f>
        <v>0</v>
      </c>
      <c r="F77" s="73">
        <f>SUM('DOE25'!I131:I135)</f>
        <v>0</v>
      </c>
      <c r="G77" s="73">
        <f>SUM('DOE25'!J131:J135)</f>
        <v>0</v>
      </c>
      <c r="H77" s="13">
        <f t="shared" si="4"/>
        <v>1883.79</v>
      </c>
      <c r="I77"/>
    </row>
    <row r="78" spans="1:9" ht="12.75" thickTop="1" thickBot="1" x14ac:dyDescent="0.25">
      <c r="A78" s="28" t="s">
        <v>259</v>
      </c>
      <c r="B78" s="6"/>
      <c r="C78" s="93">
        <f>SUM(C72:C77)</f>
        <v>556447.87</v>
      </c>
      <c r="D78" s="93">
        <f>SUM(D72:D77)</f>
        <v>1883.79</v>
      </c>
      <c r="E78" s="93">
        <f>SUM(E72:E77)</f>
        <v>0</v>
      </c>
      <c r="F78" s="93">
        <f>SUM(F72:F77)</f>
        <v>0</v>
      </c>
      <c r="G78" s="93">
        <f>SUM(G72:G77)</f>
        <v>0</v>
      </c>
      <c r="H78" s="13">
        <f t="shared" si="4"/>
        <v>558331.66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8659236.9100000001</v>
      </c>
      <c r="D81" s="93">
        <f>SUM(D79:D80)+D78+D70</f>
        <v>1883.79</v>
      </c>
      <c r="E81" s="93">
        <f>SUM(E79:E80)+E78+E70</f>
        <v>0</v>
      </c>
      <c r="F81" s="93">
        <f>SUM(F79:F80)+F78+F70</f>
        <v>0</v>
      </c>
      <c r="G81" s="93">
        <f>SUM(G79:G80)+G78+G70</f>
        <v>0</v>
      </c>
      <c r="H81" s="93">
        <f t="shared" si="4"/>
        <v>8661120.6999999993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19680.560000000001</v>
      </c>
      <c r="D85" s="73">
        <f>'DOE25'!G147</f>
        <v>0</v>
      </c>
      <c r="E85" s="73">
        <f>'DOE25'!H147</f>
        <v>0</v>
      </c>
      <c r="F85" s="73">
        <f>'DOE25'!I147</f>
        <v>0</v>
      </c>
      <c r="G85" s="23" t="s">
        <v>288</v>
      </c>
      <c r="H85" s="13">
        <f t="shared" ref="H85:H104" si="5">SUM(C85:G85)</f>
        <v>19680.560000000001</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226380.98</v>
      </c>
      <c r="D88" s="253">
        <f>SUM('DOE25'!G153:G162)</f>
        <v>333432.11999999994</v>
      </c>
      <c r="E88" s="253">
        <f>SUM('DOE25'!H153:H162)</f>
        <v>2369911.17</v>
      </c>
      <c r="F88" s="253">
        <f>SUM('DOE25'!I153:I162)</f>
        <v>157426.12</v>
      </c>
      <c r="G88" s="23" t="s">
        <v>288</v>
      </c>
      <c r="H88" s="13">
        <f t="shared" si="5"/>
        <v>3087150.39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246061.54</v>
      </c>
      <c r="D91" s="94">
        <f>SUM(D85:D90)</f>
        <v>333432.11999999994</v>
      </c>
      <c r="E91" s="94">
        <f>SUM(E85:E90)</f>
        <v>2369911.17</v>
      </c>
      <c r="F91" s="94">
        <f>SUM(F85:F90)</f>
        <v>157426.12</v>
      </c>
      <c r="G91" s="23" t="s">
        <v>288</v>
      </c>
      <c r="H91" s="13">
        <f t="shared" si="5"/>
        <v>3106830.95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1960000</v>
      </c>
      <c r="G93" s="23" t="s">
        <v>288</v>
      </c>
      <c r="H93" s="13">
        <f t="shared" si="5"/>
        <v>1960000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4230.3</v>
      </c>
      <c r="E96" s="73">
        <f>'DOE25'!H180</f>
        <v>0</v>
      </c>
      <c r="F96" s="73">
        <f>'DOE25'!I180</f>
        <v>0</v>
      </c>
      <c r="G96" s="73">
        <f>'DOE25'!J180</f>
        <v>0</v>
      </c>
      <c r="H96" s="13">
        <f t="shared" si="5"/>
        <v>4230.3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4230.3</v>
      </c>
      <c r="E103" s="68">
        <f>SUM(E93:E102)</f>
        <v>0</v>
      </c>
      <c r="F103" s="68">
        <f>SUM(F93:F102)</f>
        <v>1960000</v>
      </c>
      <c r="G103" s="68">
        <f>SUM(G93:G102)</f>
        <v>0</v>
      </c>
      <c r="H103" s="68">
        <f t="shared" si="5"/>
        <v>1964230.3</v>
      </c>
    </row>
    <row r="104" spans="1:8" ht="12.75" thickTop="1" thickBot="1" x14ac:dyDescent="0.25">
      <c r="A104" s="32" t="s">
        <v>761</v>
      </c>
      <c r="C104" s="68">
        <f>C63+C81+C91+C103</f>
        <v>18431602.449999999</v>
      </c>
      <c r="D104" s="68">
        <f>D63+D81+D91+D103</f>
        <v>449020.31999999989</v>
      </c>
      <c r="E104" s="68">
        <f>E63+E81+E91+E103</f>
        <v>2420101.59</v>
      </c>
      <c r="F104" s="68">
        <f>F63+F81+F91+F103</f>
        <v>2229485.87</v>
      </c>
      <c r="G104" s="68">
        <f>G63+G81+G103</f>
        <v>0</v>
      </c>
      <c r="H104" s="68">
        <f t="shared" si="5"/>
        <v>23530210.23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4495592.67</v>
      </c>
      <c r="D109" s="23" t="s">
        <v>288</v>
      </c>
      <c r="E109" s="73">
        <f>('DOE25'!L277)+('DOE25'!L296)+('DOE25'!L315)</f>
        <v>927206.85</v>
      </c>
      <c r="F109" s="23" t="s">
        <v>288</v>
      </c>
      <c r="G109" s="23" t="s">
        <v>288</v>
      </c>
      <c r="H109" s="13">
        <f t="shared" ref="H109:H115" si="6">SUM(C109:G109)</f>
        <v>5422799.5199999996</v>
      </c>
    </row>
    <row r="110" spans="1:8" x14ac:dyDescent="0.2">
      <c r="A110" t="s">
        <v>198</v>
      </c>
      <c r="B110" s="31" t="s">
        <v>199</v>
      </c>
      <c r="C110" s="73">
        <f>('DOE25'!L199)+('DOE25'!L217)+('DOE25'!L235)</f>
        <v>3663564.9200000004</v>
      </c>
      <c r="D110" s="23" t="s">
        <v>288</v>
      </c>
      <c r="E110" s="73">
        <f>('DOE25'!L278)+('DOE25'!L297)+('DOE25'!L316)</f>
        <v>162856.24</v>
      </c>
      <c r="F110" s="23" t="s">
        <v>288</v>
      </c>
      <c r="G110" s="23" t="s">
        <v>288</v>
      </c>
      <c r="H110" s="13">
        <f t="shared" si="6"/>
        <v>3826421.16</v>
      </c>
    </row>
    <row r="111" spans="1:8" x14ac:dyDescent="0.2">
      <c r="A111" t="s">
        <v>200</v>
      </c>
      <c r="B111" s="31" t="s">
        <v>165</v>
      </c>
      <c r="C111" s="73">
        <f>('DOE25'!L200)+('DOE25'!L218)+('DOE25'!L236)</f>
        <v>720696.3</v>
      </c>
      <c r="D111" s="23" t="s">
        <v>288</v>
      </c>
      <c r="E111" s="73">
        <f>('DOE25'!L279)+('DOE25'!L298)+('DOE25'!L317)</f>
        <v>71959.27</v>
      </c>
      <c r="F111" s="23" t="s">
        <v>288</v>
      </c>
      <c r="G111" s="23" t="s">
        <v>288</v>
      </c>
      <c r="H111" s="13">
        <f t="shared" si="6"/>
        <v>792655.57000000007</v>
      </c>
    </row>
    <row r="112" spans="1:8" x14ac:dyDescent="0.2">
      <c r="A112" t="s">
        <v>201</v>
      </c>
      <c r="B112" s="31" t="s">
        <v>167</v>
      </c>
      <c r="C112" s="73">
        <f>('DOE25'!L201)+('DOE25'!L219)+('DOE25'!L237)</f>
        <v>432333.8600000001</v>
      </c>
      <c r="D112" s="23" t="s">
        <v>288</v>
      </c>
      <c r="E112" s="73">
        <f>+('DOE25'!L280)+('DOE25'!L299)+('DOE25'!L318)</f>
        <v>12071.35</v>
      </c>
      <c r="F112" s="23" t="s">
        <v>288</v>
      </c>
      <c r="G112" s="23" t="s">
        <v>288</v>
      </c>
      <c r="H112" s="13">
        <f t="shared" si="6"/>
        <v>444405.21000000008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382.8</v>
      </c>
      <c r="F114" s="23" t="s">
        <v>288</v>
      </c>
      <c r="G114" s="23" t="s">
        <v>288</v>
      </c>
      <c r="H114" s="13">
        <f t="shared" si="6"/>
        <v>382.8</v>
      </c>
    </row>
    <row r="115" spans="1:8" ht="12.75" thickTop="1" thickBot="1" x14ac:dyDescent="0.25">
      <c r="A115" s="32" t="s">
        <v>205</v>
      </c>
      <c r="C115" s="68">
        <f>SUM(C109:C114)</f>
        <v>9312187.75</v>
      </c>
      <c r="D115" s="68">
        <f>SUM(D109:D114)</f>
        <v>0</v>
      </c>
      <c r="E115" s="68">
        <f>SUM(E109:E114)</f>
        <v>1174476.51</v>
      </c>
      <c r="F115" s="68">
        <f>SUM(F109:F114)</f>
        <v>0</v>
      </c>
      <c r="G115" s="68">
        <f>SUM(G109:G114)</f>
        <v>0</v>
      </c>
      <c r="H115" s="68">
        <f t="shared" si="6"/>
        <v>10486664.26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1424664.84</v>
      </c>
      <c r="D118" s="23" t="s">
        <v>288</v>
      </c>
      <c r="E118" s="73">
        <f>+('DOE25'!L282)+('DOE25'!L301)+('DOE25'!L320)</f>
        <v>379159.47000000003</v>
      </c>
      <c r="F118" s="23" t="s">
        <v>288</v>
      </c>
      <c r="G118" s="23" t="s">
        <v>288</v>
      </c>
      <c r="H118" s="13">
        <f t="shared" ref="H118:H145" si="7">SUM(C118:G118)</f>
        <v>1803824.31</v>
      </c>
    </row>
    <row r="119" spans="1:8" x14ac:dyDescent="0.2">
      <c r="A119" t="s">
        <v>208</v>
      </c>
      <c r="B119" s="31" t="s">
        <v>209</v>
      </c>
      <c r="C119" s="73">
        <f>('DOE25'!L204)+('DOE25'!L222)+('DOE25'!L240)</f>
        <v>995284.05</v>
      </c>
      <c r="D119" s="23" t="s">
        <v>288</v>
      </c>
      <c r="E119" s="73">
        <f>+('DOE25'!L283)+('DOE25'!L302)+('DOE25'!L321)</f>
        <v>135386.17000000001</v>
      </c>
      <c r="F119" s="23" t="s">
        <v>288</v>
      </c>
      <c r="G119" s="23" t="s">
        <v>288</v>
      </c>
      <c r="H119" s="13">
        <f t="shared" si="7"/>
        <v>1130670.22</v>
      </c>
    </row>
    <row r="120" spans="1:8" x14ac:dyDescent="0.2">
      <c r="A120" t="s">
        <v>210</v>
      </c>
      <c r="B120" s="31" t="s">
        <v>211</v>
      </c>
      <c r="C120" s="73">
        <f>('DOE25'!L205)+('DOE25'!L223)+('DOE25'!L241)</f>
        <v>986133.58000000007</v>
      </c>
      <c r="D120" s="23" t="s">
        <v>288</v>
      </c>
      <c r="E120" s="73">
        <f>+('DOE25'!L284)+('DOE25'!L303)+('DOE25'!L322)</f>
        <v>2018.96</v>
      </c>
      <c r="F120" s="23" t="s">
        <v>288</v>
      </c>
      <c r="G120" s="23" t="s">
        <v>288</v>
      </c>
      <c r="H120" s="13">
        <f t="shared" si="7"/>
        <v>988152.54</v>
      </c>
    </row>
    <row r="121" spans="1:8" x14ac:dyDescent="0.2">
      <c r="A121" t="s">
        <v>212</v>
      </c>
      <c r="B121" s="31" t="s">
        <v>213</v>
      </c>
      <c r="C121" s="73">
        <f>('DOE25'!L206)+('DOE25'!L224)+('DOE25'!L242)</f>
        <v>1319078.8999999999</v>
      </c>
      <c r="D121" s="23" t="s">
        <v>288</v>
      </c>
      <c r="E121" s="73">
        <f>+('DOE25'!L285)+('DOE25'!L304)+('DOE25'!L323)</f>
        <v>16200.09</v>
      </c>
      <c r="F121" s="23" t="s">
        <v>288</v>
      </c>
      <c r="G121" s="23" t="s">
        <v>288</v>
      </c>
      <c r="H121" s="13">
        <f t="shared" si="7"/>
        <v>1335278.99</v>
      </c>
    </row>
    <row r="122" spans="1:8" x14ac:dyDescent="0.2">
      <c r="A122" t="s">
        <v>214</v>
      </c>
      <c r="B122" s="31" t="s">
        <v>215</v>
      </c>
      <c r="C122" s="73">
        <f>('DOE25'!L207)+('DOE25'!L225)+('DOE25'!L243)</f>
        <v>574588.08000000007</v>
      </c>
      <c r="D122" s="23" t="s">
        <v>288</v>
      </c>
      <c r="E122" s="73">
        <f>+('DOE25'!L286)+('DOE25'!L305)+('DOE25'!L324)</f>
        <v>0</v>
      </c>
      <c r="F122" s="23" t="s">
        <v>288</v>
      </c>
      <c r="G122" s="23" t="s">
        <v>288</v>
      </c>
      <c r="H122" s="13">
        <f t="shared" si="7"/>
        <v>574588.08000000007</v>
      </c>
    </row>
    <row r="123" spans="1:8" x14ac:dyDescent="0.2">
      <c r="A123" t="s">
        <v>216</v>
      </c>
      <c r="B123" s="31" t="s">
        <v>217</v>
      </c>
      <c r="C123" s="73">
        <f>('DOE25'!L208)+('DOE25'!L226)+('DOE25'!L244)</f>
        <v>2638373.5</v>
      </c>
      <c r="D123" s="23" t="s">
        <v>288</v>
      </c>
      <c r="E123" s="73">
        <f>+('DOE25'!L287)+('DOE25'!L306)+('DOE25'!L325)</f>
        <v>43189</v>
      </c>
      <c r="F123" s="23" t="s">
        <v>288</v>
      </c>
      <c r="G123" s="23" t="s">
        <v>288</v>
      </c>
      <c r="H123" s="13">
        <f t="shared" si="7"/>
        <v>2681562.5</v>
      </c>
    </row>
    <row r="124" spans="1:8" x14ac:dyDescent="0.2">
      <c r="A124" t="s">
        <v>218</v>
      </c>
      <c r="B124" s="31" t="s">
        <v>219</v>
      </c>
      <c r="C124" s="73">
        <f>('DOE25'!L209)+('DOE25'!L227)+('DOE25'!L245+'DOE25'!L255)</f>
        <v>730505.73</v>
      </c>
      <c r="D124" s="23" t="s">
        <v>288</v>
      </c>
      <c r="E124" s="73">
        <f>+('DOE25'!L288)+('DOE25'!L307)+('DOE25'!L326)</f>
        <v>13336.39</v>
      </c>
      <c r="F124" s="23" t="s">
        <v>288</v>
      </c>
      <c r="G124" s="23" t="s">
        <v>288</v>
      </c>
      <c r="H124" s="13">
        <f t="shared" si="7"/>
        <v>743842.12</v>
      </c>
    </row>
    <row r="125" spans="1:8" x14ac:dyDescent="0.2">
      <c r="A125" t="s">
        <v>220</v>
      </c>
      <c r="B125" s="31" t="s">
        <v>221</v>
      </c>
      <c r="C125" s="73">
        <f>('DOE25'!L210)+('DOE25'!L228)+('DOE25'!L246)</f>
        <v>0</v>
      </c>
      <c r="D125" s="23" t="s">
        <v>288</v>
      </c>
      <c r="E125" s="73">
        <f>+('DOE25'!L289)+('DOE25'!L308)+('DOE25'!L327)</f>
        <v>10105.57</v>
      </c>
      <c r="F125" s="23" t="s">
        <v>288</v>
      </c>
      <c r="G125" s="23" t="s">
        <v>288</v>
      </c>
      <c r="H125" s="13">
        <f t="shared" si="7"/>
        <v>10105.57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494994.03000000009</v>
      </c>
      <c r="E127" s="23" t="s">
        <v>288</v>
      </c>
      <c r="F127" s="23" t="s">
        <v>288</v>
      </c>
      <c r="G127" s="23" t="s">
        <v>288</v>
      </c>
      <c r="H127" s="13">
        <f t="shared" si="7"/>
        <v>494994.03000000009</v>
      </c>
    </row>
    <row r="128" spans="1:8" ht="12.75" thickTop="1" thickBot="1" x14ac:dyDescent="0.25">
      <c r="A128" s="32" t="s">
        <v>226</v>
      </c>
      <c r="C128" s="68">
        <f>SUM(C118:C127)</f>
        <v>8668628.6799999997</v>
      </c>
      <c r="D128" s="68">
        <f>SUM(D118:D127)</f>
        <v>494994.03000000009</v>
      </c>
      <c r="E128" s="68">
        <f>SUM(E118:E127)</f>
        <v>599395.65</v>
      </c>
      <c r="F128" s="68">
        <f>SUM(F118:F127)</f>
        <v>0</v>
      </c>
      <c r="G128" s="68">
        <f>SUM(G118:G127)</f>
        <v>0</v>
      </c>
      <c r="H128" s="68">
        <f t="shared" si="7"/>
        <v>9763018.3599999994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675181.65</v>
      </c>
      <c r="F130" s="92">
        <f>SUM('DOE25'!L375:'DOE25'!L381)</f>
        <v>789771.62</v>
      </c>
      <c r="G130" s="23" t="s">
        <v>288</v>
      </c>
      <c r="H130" s="13">
        <f t="shared" si="7"/>
        <v>1464953.27</v>
      </c>
    </row>
    <row r="131" spans="1:8" x14ac:dyDescent="0.2">
      <c r="A131" t="s">
        <v>229</v>
      </c>
      <c r="B131" s="31">
        <v>5110</v>
      </c>
      <c r="C131" s="73">
        <f>'DOE25'!L261</f>
        <v>505000</v>
      </c>
      <c r="D131" s="23" t="s">
        <v>288</v>
      </c>
      <c r="E131" s="92">
        <f>'DOE25'!L342</f>
        <v>0</v>
      </c>
      <c r="F131" s="23" t="s">
        <v>288</v>
      </c>
      <c r="G131" s="23" t="s">
        <v>288</v>
      </c>
      <c r="H131" s="13">
        <f t="shared" si="7"/>
        <v>505000</v>
      </c>
    </row>
    <row r="132" spans="1:8" x14ac:dyDescent="0.2">
      <c r="A132" t="s">
        <v>230</v>
      </c>
      <c r="B132" s="31">
        <v>5120</v>
      </c>
      <c r="C132" s="73">
        <f>'DOE25'!L262</f>
        <v>129164.96</v>
      </c>
      <c r="D132" s="23" t="s">
        <v>288</v>
      </c>
      <c r="E132" s="92">
        <f>'DOE25'!L343</f>
        <v>0</v>
      </c>
      <c r="F132" s="23" t="s">
        <v>288</v>
      </c>
      <c r="G132" s="23" t="s">
        <v>288</v>
      </c>
      <c r="H132" s="13">
        <f t="shared" si="7"/>
        <v>129164.96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4230.3</v>
      </c>
      <c r="D135" s="23" t="s">
        <v>288</v>
      </c>
      <c r="E135" s="92">
        <f>'DOE25'!L346</f>
        <v>0</v>
      </c>
      <c r="F135" s="23" t="s">
        <v>288</v>
      </c>
      <c r="G135" s="23" t="s">
        <v>288</v>
      </c>
      <c r="H135" s="13">
        <f t="shared" si="7"/>
        <v>4230.3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638395.26</v>
      </c>
      <c r="D144" s="98">
        <f>SUM(D130:D143)</f>
        <v>0</v>
      </c>
      <c r="E144" s="98">
        <f>SUM(E130:E143)</f>
        <v>675181.65</v>
      </c>
      <c r="F144" s="98">
        <f>SUM(F130:F143)</f>
        <v>789771.62</v>
      </c>
      <c r="G144" s="98">
        <f>SUM(G130:G143)</f>
        <v>0</v>
      </c>
      <c r="H144" s="98">
        <f t="shared" si="7"/>
        <v>2103348.5300000003</v>
      </c>
    </row>
    <row r="145" spans="1:9" ht="12.75" thickTop="1" thickBot="1" x14ac:dyDescent="0.25">
      <c r="A145" s="32" t="s">
        <v>244</v>
      </c>
      <c r="C145" s="68">
        <f>(C115+C128+C144)</f>
        <v>18619211.690000001</v>
      </c>
      <c r="D145" s="68">
        <f>(D115+D128+D144)</f>
        <v>494994.03000000009</v>
      </c>
      <c r="E145" s="68">
        <f>(E115+E128+E144)</f>
        <v>2449053.81</v>
      </c>
      <c r="F145" s="68">
        <f>(F115+F128+F144)</f>
        <v>789771.62</v>
      </c>
      <c r="G145" s="68">
        <f>(G115+G128+G144)</f>
        <v>0</v>
      </c>
      <c r="H145" s="68">
        <f t="shared" si="7"/>
        <v>22353031.150000002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07/22</v>
      </c>
      <c r="C152" s="109" t="str">
        <f>'DOE25'!G492</f>
        <v>08/07</v>
      </c>
      <c r="D152" s="109">
        <f>'DOE25'!H492</f>
        <v>0</v>
      </c>
      <c r="E152" s="109">
        <f>'DOE25'!I492</f>
        <v>0</v>
      </c>
      <c r="F152" s="109">
        <f>'DOE25'!J492</f>
        <v>0</v>
      </c>
      <c r="G152" s="23" t="s">
        <v>288</v>
      </c>
    </row>
    <row r="153" spans="1:9" x14ac:dyDescent="0.2">
      <c r="A153" s="21" t="s">
        <v>29</v>
      </c>
      <c r="B153" s="109" t="str">
        <f>'DOE25'!F493</f>
        <v>08/42</v>
      </c>
      <c r="C153" s="109" t="str">
        <f>'DOE25'!G493</f>
        <v>08/27</v>
      </c>
      <c r="D153" s="109">
        <f>'DOE25'!H493</f>
        <v>0</v>
      </c>
      <c r="E153" s="109">
        <f>'DOE25'!I493</f>
        <v>0</v>
      </c>
      <c r="F153" s="109">
        <f>'DOE25'!J493</f>
        <v>0</v>
      </c>
      <c r="G153" s="23" t="s">
        <v>288</v>
      </c>
    </row>
    <row r="154" spans="1:9" x14ac:dyDescent="0.2">
      <c r="A154" s="21" t="s">
        <v>30</v>
      </c>
      <c r="B154" s="19">
        <f>'DOE25'!F494</f>
        <v>1763100</v>
      </c>
      <c r="C154" s="19">
        <f>'DOE25'!G494</f>
        <v>10158100</v>
      </c>
      <c r="D154" s="19">
        <f>'DOE25'!H494</f>
        <v>0</v>
      </c>
      <c r="E154" s="19">
        <f>'DOE25'!I494</f>
        <v>0</v>
      </c>
      <c r="F154" s="19">
        <f>'DOE25'!J494</f>
        <v>0</v>
      </c>
      <c r="G154" s="23" t="s">
        <v>288</v>
      </c>
    </row>
    <row r="155" spans="1:9" x14ac:dyDescent="0.2">
      <c r="A155" s="21" t="s">
        <v>31</v>
      </c>
      <c r="B155" s="19">
        <f>'DOE25'!F495</f>
        <v>3.38</v>
      </c>
      <c r="C155" s="19">
        <f>'DOE25'!G495</f>
        <v>4.57</v>
      </c>
      <c r="D155" s="19">
        <f>'DOE25'!H495</f>
        <v>0</v>
      </c>
      <c r="E155" s="19">
        <f>'DOE25'!I495</f>
        <v>0</v>
      </c>
      <c r="F155" s="19">
        <f>'DOE25'!J495</f>
        <v>0</v>
      </c>
      <c r="G155" s="23" t="s">
        <v>288</v>
      </c>
    </row>
    <row r="156" spans="1:9" x14ac:dyDescent="0.2">
      <c r="A156" s="21" t="s">
        <v>32</v>
      </c>
      <c r="B156" s="19">
        <f>'DOE25'!F496</f>
        <v>1763100</v>
      </c>
      <c r="C156" s="19">
        <f>'DOE25'!G496</f>
        <v>3030000</v>
      </c>
      <c r="D156" s="19">
        <f>'DOE25'!H496</f>
        <v>0</v>
      </c>
      <c r="E156" s="19">
        <f>'DOE25'!I496</f>
        <v>0</v>
      </c>
      <c r="F156" s="19">
        <f>'DOE25'!J496</f>
        <v>0</v>
      </c>
      <c r="G156" s="96">
        <f>SUM(B156:F156)</f>
        <v>4793100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1763100</v>
      </c>
      <c r="C159" s="19">
        <f>'DOE25'!G499</f>
        <v>2525000</v>
      </c>
      <c r="D159" s="19">
        <f>'DOE25'!H499</f>
        <v>0</v>
      </c>
      <c r="E159" s="19">
        <f>'DOE25'!I499</f>
        <v>0</v>
      </c>
      <c r="F159" s="19">
        <f>'DOE25'!J499</f>
        <v>0</v>
      </c>
      <c r="G159" s="96">
        <f t="shared" si="8"/>
        <v>4288100</v>
      </c>
    </row>
    <row r="160" spans="1:9" x14ac:dyDescent="0.2">
      <c r="A160" s="21" t="s">
        <v>36</v>
      </c>
      <c r="B160" s="19">
        <f>'DOE25'!F500</f>
        <v>821841</v>
      </c>
      <c r="C160" s="19">
        <f>'DOE25'!G500</f>
        <v>143844</v>
      </c>
      <c r="D160" s="19">
        <f>'DOE25'!H500</f>
        <v>0</v>
      </c>
      <c r="E160" s="19">
        <f>'DOE25'!I500</f>
        <v>0</v>
      </c>
      <c r="F160" s="19">
        <f>'DOE25'!J500</f>
        <v>0</v>
      </c>
      <c r="G160" s="96">
        <f t="shared" si="8"/>
        <v>965685</v>
      </c>
    </row>
    <row r="161" spans="1:7" x14ac:dyDescent="0.2">
      <c r="A161" s="21" t="s">
        <v>37</v>
      </c>
      <c r="B161" s="19">
        <f>'DOE25'!F501</f>
        <v>2584941</v>
      </c>
      <c r="C161" s="19">
        <f>'DOE25'!G501</f>
        <v>2668844</v>
      </c>
      <c r="D161" s="19">
        <f>'DOE25'!H501</f>
        <v>0</v>
      </c>
      <c r="E161" s="19">
        <f>'DOE25'!I501</f>
        <v>0</v>
      </c>
      <c r="F161" s="19">
        <f>'DOE25'!J501</f>
        <v>0</v>
      </c>
      <c r="G161" s="96">
        <f t="shared" si="8"/>
        <v>5253785</v>
      </c>
    </row>
    <row r="162" spans="1:7" x14ac:dyDescent="0.2">
      <c r="A162" s="21" t="s">
        <v>38</v>
      </c>
      <c r="B162" s="19">
        <f>'DOE25'!F502</f>
        <v>88200</v>
      </c>
      <c r="C162" s="19">
        <f>'DOE25'!G502</f>
        <v>505000</v>
      </c>
      <c r="D162" s="19">
        <f>'DOE25'!H502</f>
        <v>0</v>
      </c>
      <c r="E162" s="19">
        <f>'DOE25'!I502</f>
        <v>0</v>
      </c>
      <c r="F162" s="19">
        <f>'DOE25'!J502</f>
        <v>0</v>
      </c>
      <c r="G162" s="96">
        <f t="shared" si="8"/>
        <v>593200</v>
      </c>
    </row>
    <row r="163" spans="1:7" x14ac:dyDescent="0.2">
      <c r="A163" s="21" t="s">
        <v>39</v>
      </c>
      <c r="B163" s="19">
        <f>'DOE25'!F503</f>
        <v>83264</v>
      </c>
      <c r="C163" s="19">
        <f>'DOE25'!G503</f>
        <v>48044</v>
      </c>
      <c r="D163" s="19">
        <f>'DOE25'!H503</f>
        <v>0</v>
      </c>
      <c r="E163" s="19">
        <f>'DOE25'!I503</f>
        <v>0</v>
      </c>
      <c r="F163" s="19">
        <f>'DOE25'!J503</f>
        <v>0</v>
      </c>
      <c r="G163" s="96">
        <f t="shared" si="8"/>
        <v>131308</v>
      </c>
    </row>
    <row r="164" spans="1:7" x14ac:dyDescent="0.2">
      <c r="A164" s="21" t="s">
        <v>246</v>
      </c>
      <c r="B164" s="19">
        <f>'DOE25'!F504</f>
        <v>171464</v>
      </c>
      <c r="C164" s="19">
        <f>'DOE25'!G504</f>
        <v>553044</v>
      </c>
      <c r="D164" s="19">
        <f>'DOE25'!H504</f>
        <v>0</v>
      </c>
      <c r="E164" s="19">
        <f>'DOE25'!I504</f>
        <v>0</v>
      </c>
      <c r="F164" s="19">
        <f>'DOE25'!J504</f>
        <v>0</v>
      </c>
      <c r="G164" s="96">
        <f t="shared" si="8"/>
        <v>724508</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7"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Newport</v>
      </c>
    </row>
    <row r="3" spans="1:4" x14ac:dyDescent="0.2">
      <c r="B3" s="137" t="s">
        <v>1799</v>
      </c>
    </row>
    <row r="4" spans="1:4" x14ac:dyDescent="0.2">
      <c r="B4" t="s">
        <v>61</v>
      </c>
      <c r="C4" s="129">
        <f>IF('DOE25'!F666+'DOE25'!F671=0,0,ROUND('DOE25'!F673,0))</f>
        <v>22436</v>
      </c>
    </row>
    <row r="5" spans="1:4" x14ac:dyDescent="0.2">
      <c r="B5" t="s">
        <v>700</v>
      </c>
      <c r="C5" s="129">
        <f>IF('DOE25'!G666+'DOE25'!G671=0,0,ROUND('DOE25'!G673,0))</f>
        <v>22800</v>
      </c>
    </row>
    <row r="6" spans="1:4" x14ac:dyDescent="0.2">
      <c r="B6" t="s">
        <v>62</v>
      </c>
      <c r="C6" s="129">
        <f>IF('DOE25'!H666+'DOE25'!H671=0,0,ROUND('DOE25'!H673,0))</f>
        <v>23009</v>
      </c>
    </row>
    <row r="7" spans="1:4" x14ac:dyDescent="0.2">
      <c r="B7" t="s">
        <v>701</v>
      </c>
      <c r="C7" s="129">
        <f>IF('DOE25'!I666+'DOE25'!I671=0,0,ROUND('DOE25'!I673,0))</f>
        <v>22729</v>
      </c>
    </row>
    <row r="9" spans="1:4" x14ac:dyDescent="0.2">
      <c r="A9" s="136" t="s">
        <v>94</v>
      </c>
      <c r="B9" s="137" t="s">
        <v>1800</v>
      </c>
      <c r="C9" s="131" t="s">
        <v>720</v>
      </c>
      <c r="D9" s="131" t="s">
        <v>721</v>
      </c>
    </row>
    <row r="10" spans="1:4" x14ac:dyDescent="0.2">
      <c r="A10">
        <v>1100</v>
      </c>
      <c r="B10" t="s">
        <v>702</v>
      </c>
      <c r="C10" s="129">
        <f>ROUND('DOE25'!L198+'DOE25'!L216+'DOE25'!L234+'DOE25'!L277+'DOE25'!L296+'DOE25'!L315,0)</f>
        <v>5422800</v>
      </c>
      <c r="D10" s="132">
        <f>ROUND((C10/$C$28)*100,1)</f>
        <v>26.8</v>
      </c>
    </row>
    <row r="11" spans="1:4" x14ac:dyDescent="0.2">
      <c r="A11">
        <v>1200</v>
      </c>
      <c r="B11" t="s">
        <v>703</v>
      </c>
      <c r="C11" s="129">
        <f>ROUND('DOE25'!L199+'DOE25'!L217+'DOE25'!L235+'DOE25'!L278+'DOE25'!L297+'DOE25'!L316,0)</f>
        <v>3826421</v>
      </c>
      <c r="D11" s="132">
        <f>ROUND((C11/$C$28)*100,1)</f>
        <v>18.899999999999999</v>
      </c>
    </row>
    <row r="12" spans="1:4" x14ac:dyDescent="0.2">
      <c r="A12">
        <v>1300</v>
      </c>
      <c r="B12" t="s">
        <v>704</v>
      </c>
      <c r="C12" s="129">
        <f>ROUND('DOE25'!L200+'DOE25'!L218+'DOE25'!L236+'DOE25'!L279+'DOE25'!L298+'DOE25'!L317,0)</f>
        <v>792656</v>
      </c>
      <c r="D12" s="132">
        <f>ROUND((C12/$C$28)*100,1)</f>
        <v>3.9</v>
      </c>
    </row>
    <row r="13" spans="1:4" x14ac:dyDescent="0.2">
      <c r="A13">
        <v>1400</v>
      </c>
      <c r="B13" t="s">
        <v>705</v>
      </c>
      <c r="C13" s="129">
        <f>ROUND('DOE25'!L201+'DOE25'!L219+'DOE25'!L237+'DOE25'!L280+'DOE25'!L299+'DOE25'!L318,0)</f>
        <v>444405</v>
      </c>
      <c r="D13" s="132">
        <f>ROUND((C13/$C$28)*100,1)</f>
        <v>2.2000000000000002</v>
      </c>
    </row>
    <row r="14" spans="1:4" x14ac:dyDescent="0.2">
      <c r="D14" s="132"/>
    </row>
    <row r="15" spans="1:4" x14ac:dyDescent="0.2">
      <c r="A15">
        <v>2100</v>
      </c>
      <c r="B15" t="s">
        <v>706</v>
      </c>
      <c r="C15" s="129">
        <f>ROUND('DOE25'!L203+'DOE25'!L221+'DOE25'!L239+'DOE25'!L282+'DOE25'!L301+'DOE25'!L320,0)</f>
        <v>1803824</v>
      </c>
      <c r="D15" s="132">
        <f t="shared" ref="D15:D27" si="0">ROUND((C15/$C$28)*100,1)</f>
        <v>8.9</v>
      </c>
    </row>
    <row r="16" spans="1:4" x14ac:dyDescent="0.2">
      <c r="A16">
        <v>2200</v>
      </c>
      <c r="B16" t="s">
        <v>707</v>
      </c>
      <c r="C16" s="129">
        <f>ROUND('DOE25'!L204+'DOE25'!L222+'DOE25'!L240+'DOE25'!L283+'DOE25'!L302+'DOE25'!L321,0)</f>
        <v>1130670</v>
      </c>
      <c r="D16" s="132">
        <f t="shared" si="0"/>
        <v>5.6</v>
      </c>
    </row>
    <row r="17" spans="1:4" x14ac:dyDescent="0.2">
      <c r="A17" s="133" t="s">
        <v>723</v>
      </c>
      <c r="B17" t="s">
        <v>738</v>
      </c>
      <c r="C17" s="129">
        <f>ROUND('DOE25'!L205+'DOE25'!L210+'DOE25'!L223+'DOE25'!L228+'DOE25'!L241+'DOE25'!L246+'DOE25'!L284+'DOE25'!L289+'DOE25'!L303+'DOE25'!L308+'DOE25'!L322+'DOE25'!L327,0)</f>
        <v>998258</v>
      </c>
      <c r="D17" s="132">
        <f t="shared" si="0"/>
        <v>4.9000000000000004</v>
      </c>
    </row>
    <row r="18" spans="1:4" x14ac:dyDescent="0.2">
      <c r="A18">
        <v>2400</v>
      </c>
      <c r="B18" t="s">
        <v>711</v>
      </c>
      <c r="C18" s="129">
        <f>ROUND('DOE25'!L206+'DOE25'!L224+'DOE25'!L242+'DOE25'!L285+'DOE25'!L304+'DOE25'!L323,0)</f>
        <v>1335279</v>
      </c>
      <c r="D18" s="132">
        <f t="shared" si="0"/>
        <v>6.6</v>
      </c>
    </row>
    <row r="19" spans="1:4" x14ac:dyDescent="0.2">
      <c r="A19">
        <v>2500</v>
      </c>
      <c r="B19" t="s">
        <v>708</v>
      </c>
      <c r="C19" s="129">
        <f>ROUND('DOE25'!L207+'DOE25'!L225+'DOE25'!L243+'DOE25'!L286+'DOE25'!L305+'DOE25'!L324,0)</f>
        <v>574588</v>
      </c>
      <c r="D19" s="132">
        <f t="shared" si="0"/>
        <v>2.8</v>
      </c>
    </row>
    <row r="20" spans="1:4" x14ac:dyDescent="0.2">
      <c r="A20">
        <v>2600</v>
      </c>
      <c r="B20" t="s">
        <v>709</v>
      </c>
      <c r="C20" s="129">
        <f>ROUND('DOE25'!L208+'DOE25'!L226+'DOE25'!L244+'DOE25'!L287+'DOE25'!L306+'DOE25'!L325,0)</f>
        <v>2681563</v>
      </c>
      <c r="D20" s="132">
        <f t="shared" si="0"/>
        <v>13.2</v>
      </c>
    </row>
    <row r="21" spans="1:4" x14ac:dyDescent="0.2">
      <c r="A21">
        <v>2700</v>
      </c>
      <c r="B21" t="s">
        <v>710</v>
      </c>
      <c r="C21" s="129">
        <f>ROUND('DOE25'!L209+'DOE25'!L227+'DOE25'!L245+'DOE25'!L288+'DOE25'!L307+'DOE25'!L326,0)</f>
        <v>743842</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383</v>
      </c>
      <c r="D24" s="132">
        <f t="shared" si="0"/>
        <v>0</v>
      </c>
    </row>
    <row r="25" spans="1:4" x14ac:dyDescent="0.2">
      <c r="A25">
        <v>5120</v>
      </c>
      <c r="B25" t="s">
        <v>716</v>
      </c>
      <c r="C25" s="129">
        <f>ROUND('DOE25'!L262+'DOE25'!L343,0)</f>
        <v>129165</v>
      </c>
      <c r="D25" s="132">
        <f t="shared" si="0"/>
        <v>0.6</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385519.89</v>
      </c>
      <c r="D27" s="132">
        <f t="shared" si="0"/>
        <v>1.9</v>
      </c>
    </row>
    <row r="28" spans="1:4" x14ac:dyDescent="0.2">
      <c r="B28" s="136" t="s">
        <v>719</v>
      </c>
      <c r="C28" s="130">
        <f>SUM(C10:C27)</f>
        <v>20269373.890000001</v>
      </c>
      <c r="D28" s="134">
        <f>ROUND(SUM(D10:D27),0)</f>
        <v>100</v>
      </c>
    </row>
    <row r="29" spans="1:4" x14ac:dyDescent="0.2">
      <c r="A29">
        <v>4000</v>
      </c>
      <c r="B29" t="s">
        <v>724</v>
      </c>
      <c r="C29" s="129">
        <f>ROUND('DOE25'!L256+'DOE25'!L337+'DOE25'!L375+'DOE25'!L376+'DOE25'!L377+'DOE25'!L378+'DOE25'!L379+'DOE25'!L380+'DOE25'!L381,0)</f>
        <v>1464953</v>
      </c>
    </row>
    <row r="30" spans="1:4" x14ac:dyDescent="0.2">
      <c r="B30" s="136" t="s">
        <v>725</v>
      </c>
      <c r="C30" s="130">
        <f>SUM(C28:C29)</f>
        <v>21734326.890000001</v>
      </c>
    </row>
    <row r="31" spans="1:4" x14ac:dyDescent="0.2">
      <c r="B31" s="32"/>
      <c r="C31" s="130"/>
    </row>
    <row r="32" spans="1:4" x14ac:dyDescent="0.2">
      <c r="A32">
        <v>5100</v>
      </c>
      <c r="B32" s="32" t="s">
        <v>726</v>
      </c>
      <c r="C32" s="130">
        <f>ROUND('DOE25'!L261+'DOE25'!L342,0)</f>
        <v>505000</v>
      </c>
    </row>
    <row r="34" spans="1:4" x14ac:dyDescent="0.2">
      <c r="A34" s="136" t="s">
        <v>94</v>
      </c>
      <c r="B34" s="137" t="s">
        <v>1801</v>
      </c>
      <c r="C34" s="131" t="s">
        <v>720</v>
      </c>
      <c r="D34" s="131" t="s">
        <v>721</v>
      </c>
    </row>
    <row r="35" spans="1:4" x14ac:dyDescent="0.2">
      <c r="A35">
        <v>1100</v>
      </c>
      <c r="B35" s="71" t="s">
        <v>727</v>
      </c>
      <c r="C35" s="129">
        <f>ROUND('DOE25'!F60+'DOE25'!G60+'DOE25'!H60+'DOE25'!I60+'DOE25'!J60,0)</f>
        <v>8160040</v>
      </c>
      <c r="D35" s="132">
        <f t="shared" ref="D35:D40" si="1">ROUND((C35/$C$41)*100,1)</f>
        <v>38</v>
      </c>
    </row>
    <row r="36" spans="1:4" x14ac:dyDescent="0.2">
      <c r="B36" s="71" t="s">
        <v>739</v>
      </c>
      <c r="C36" s="129">
        <f>SUM('DOE25'!F112:J112)-SUM('DOE25'!G97:G110)+('DOE25'!F175+'DOE25'!F176+'DOE25'!I175+'DOE25'!I176)-C35</f>
        <v>1528514.17</v>
      </c>
      <c r="D36" s="132">
        <f t="shared" si="1"/>
        <v>7.1</v>
      </c>
    </row>
    <row r="37" spans="1:4" x14ac:dyDescent="0.2">
      <c r="A37" s="133" t="s">
        <v>834</v>
      </c>
      <c r="B37" s="71" t="s">
        <v>728</v>
      </c>
      <c r="C37" s="129">
        <f>ROUND('DOE25'!F117+'DOE25'!F118,0)</f>
        <v>8011741</v>
      </c>
      <c r="D37" s="132">
        <f t="shared" si="1"/>
        <v>37.299999999999997</v>
      </c>
    </row>
    <row r="38" spans="1:4" x14ac:dyDescent="0.2">
      <c r="A38" s="133" t="s">
        <v>734</v>
      </c>
      <c r="B38" s="71" t="s">
        <v>729</v>
      </c>
      <c r="C38" s="129">
        <f>ROUND(SUM('DOE25'!F140:J140)-SUM('DOE25'!F117:F119),0)</f>
        <v>649380</v>
      </c>
      <c r="D38" s="132">
        <f t="shared" si="1"/>
        <v>3</v>
      </c>
    </row>
    <row r="39" spans="1:4" x14ac:dyDescent="0.2">
      <c r="A39">
        <v>4000</v>
      </c>
      <c r="B39" s="71" t="s">
        <v>730</v>
      </c>
      <c r="C39" s="129">
        <f>ROUND('DOE25'!F170+'DOE25'!G170+'DOE25'!H170+'DOE25'!I170,0)</f>
        <v>3106831</v>
      </c>
      <c r="D39" s="132">
        <f t="shared" si="1"/>
        <v>14.5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21456506.170000002</v>
      </c>
      <c r="D41" s="134">
        <f>SUM(D35:D40)</f>
        <v>99.9</v>
      </c>
    </row>
    <row r="42" spans="1:4" x14ac:dyDescent="0.2">
      <c r="A42" s="133" t="s">
        <v>737</v>
      </c>
      <c r="B42" s="71" t="s">
        <v>733</v>
      </c>
      <c r="C42" s="129">
        <f>ROUND('DOE25'!F174+'DOE25'!I174+'DOE25'!F177+'DOE25'!I177,0)</f>
        <v>1960000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Newport</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250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50</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65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f>IF('School Level Expenditures'!$B$2='School Tables'!L53,'School Tables'!S53,"")</f>
        <v>50</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f>IF('School Level Expenditures'!$B$2='School Tables'!W68,'School Tables'!AD68,"")</f>
        <v>65</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f>IF('School Level Expenditures'!$B$2=A253,'School Tables'!H253,"")</f>
        <v>250</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2023-09-28T20:06:18Z</cp:lastPrinted>
  <dcterms:created xsi:type="dcterms:W3CDTF">1997-12-04T19:04:30Z</dcterms:created>
  <dcterms:modified xsi:type="dcterms:W3CDTF">2023-12-29T13:50:57Z</dcterms:modified>
</cp:coreProperties>
</file>