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2EED1B6A-B4E3-4078-B04A-DF036A074E0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K359" i="1"/>
  <c r="G180" i="1"/>
  <c r="F12" i="1"/>
  <c r="I198" i="1"/>
  <c r="F473" i="1"/>
  <c r="I522" i="1"/>
  <c r="H542" i="1"/>
  <c r="H522" i="1"/>
  <c r="C10" i="12" l="1"/>
  <c r="B10" i="12"/>
  <c r="B21" i="12"/>
  <c r="B11" i="12"/>
  <c r="C39" i="12"/>
  <c r="B39" i="12"/>
  <c r="C21" i="12"/>
  <c r="C11" i="12"/>
  <c r="G527" i="1"/>
  <c r="F527" i="1"/>
  <c r="G532" i="1"/>
  <c r="G522" i="1"/>
  <c r="G198" i="1" l="1"/>
  <c r="G204" i="1"/>
  <c r="H605" i="1"/>
  <c r="H604" i="1"/>
  <c r="F198" i="1"/>
  <c r="H198" i="1"/>
  <c r="K201" i="1"/>
  <c r="F522" i="1"/>
  <c r="F532" i="1"/>
  <c r="J204" i="1"/>
  <c r="I204" i="1"/>
  <c r="H209" i="1"/>
  <c r="H208" i="1"/>
  <c r="H205" i="1"/>
  <c r="H204" i="1"/>
  <c r="F204" i="1"/>
  <c r="F203" i="1"/>
  <c r="F28" i="1"/>
  <c r="F9" i="1"/>
  <c r="F15" i="13" l="1"/>
  <c r="E13" i="17"/>
  <c r="E9" i="17"/>
  <c r="G30" i="1"/>
  <c r="F369" i="1"/>
  <c r="F368" i="1"/>
  <c r="I359" i="1"/>
  <c r="H359" i="1"/>
  <c r="F35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H97" i="2" s="1"/>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D115" i="2"/>
  <c r="F115" i="2"/>
  <c r="G115" i="2"/>
  <c r="E120" i="2"/>
  <c r="E124"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A40" i="12" l="1"/>
  <c r="M2" i="14"/>
  <c r="M3" i="14" s="1"/>
  <c r="E13" i="13"/>
  <c r="C13" i="13" s="1"/>
  <c r="D144" i="2"/>
  <c r="H134" i="2"/>
  <c r="H69" i="2"/>
  <c r="H47" i="2"/>
  <c r="H30" i="2"/>
  <c r="H28" i="2"/>
  <c r="H25" i="2"/>
  <c r="H23" i="2"/>
  <c r="H17" i="2"/>
  <c r="H15" i="2"/>
  <c r="H38" i="2"/>
  <c r="H43" i="2"/>
  <c r="H96" i="2"/>
  <c r="H80" i="2"/>
  <c r="H34" i="2"/>
  <c r="C125" i="2"/>
  <c r="H125" i="2" s="1"/>
  <c r="H135" i="2"/>
  <c r="H89" i="2"/>
  <c r="H29" i="2"/>
  <c r="H9" i="2"/>
  <c r="J140" i="1"/>
  <c r="D18" i="13"/>
  <c r="C18" i="13" s="1"/>
  <c r="D15" i="13"/>
  <c r="C15" i="13" s="1"/>
  <c r="C121" i="2"/>
  <c r="C12" i="10"/>
  <c r="C120" i="2"/>
  <c r="H120" i="2" s="1"/>
  <c r="H24" i="2"/>
  <c r="H8" i="2"/>
  <c r="H132" i="2"/>
  <c r="H36" i="2"/>
  <c r="H44" i="2"/>
  <c r="H48" i="2"/>
  <c r="H79" i="2"/>
  <c r="H76" i="2"/>
  <c r="H58" i="2"/>
  <c r="H113" i="2"/>
  <c r="J112" i="1"/>
  <c r="E121" i="2"/>
  <c r="N2" i="14"/>
  <c r="N3" i="14" s="1"/>
  <c r="H93" i="2"/>
  <c r="H87" i="2"/>
  <c r="H61" i="2"/>
  <c r="H26" i="2"/>
  <c r="H22" i="2"/>
  <c r="H11" i="2"/>
  <c r="K2" i="14"/>
  <c r="K3" i="14" s="1"/>
  <c r="C13" i="10"/>
  <c r="H112" i="2"/>
  <c r="D6" i="13"/>
  <c r="C6" i="13" s="1"/>
  <c r="L2" i="14"/>
  <c r="L3" i="14" s="1"/>
  <c r="H59" i="2"/>
  <c r="H27" i="2"/>
  <c r="H12" i="2"/>
  <c r="G646" i="1"/>
  <c r="J646" i="1" s="1"/>
  <c r="G477" i="1"/>
  <c r="B33" i="16" s="1"/>
  <c r="D29" i="13"/>
  <c r="G662" i="1"/>
  <c r="D78" i="2"/>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H85" i="2"/>
  <c r="H21" i="2"/>
  <c r="H57" i="2"/>
  <c r="H121" i="2"/>
  <c r="H78" i="2"/>
  <c r="H42" i="2"/>
  <c r="H118" i="2"/>
  <c r="H16" i="2"/>
  <c r="H624" i="1"/>
  <c r="J624" i="1" s="1"/>
  <c r="H123" i="2"/>
  <c r="H103" i="2"/>
  <c r="C81" i="2"/>
  <c r="H81" i="2" s="1"/>
  <c r="F194" i="1"/>
  <c r="G628" i="1" s="1"/>
  <c r="J628" i="1" s="1"/>
  <c r="H50" i="2"/>
  <c r="E128" i="2"/>
  <c r="H91" i="2"/>
  <c r="H18" i="2"/>
  <c r="D128" i="2"/>
  <c r="H127" i="2"/>
  <c r="D63" i="2"/>
  <c r="H62" i="2"/>
  <c r="I662" i="1"/>
  <c r="D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C144" i="2"/>
  <c r="C145" i="2" s="1"/>
  <c r="H141" i="2"/>
  <c r="H104"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<sst xmlns="http://schemas.openxmlformats.org/spreadsheetml/2006/main" count="6560" uniqueCount="1815">
  <si>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</si>
  <si>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</si>
  <si>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</si>
  <si>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</si>
  <si>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</si>
  <si>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</si>
  <si>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</si>
  <si>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</si>
  <si>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</si>
  <si>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</si>
  <si>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</si>
  <si>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</si>
  <si>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</si>
  <si>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</si>
  <si>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</si>
  <si>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</si>
  <si>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</si>
  <si>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</si>
  <si>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</si>
  <si>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</si>
  <si>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</si>
  <si>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</si>
  <si>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</si>
  <si>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</si>
  <si>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</si>
  <si>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</si>
  <si>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</si>
  <si>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</si>
  <si>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</si>
  <si>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</si>
  <si>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</si>
  <si>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</si>
  <si>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</si>
  <si>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</si>
  <si>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</si>
  <si>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</si>
  <si>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</si>
  <si>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</si>
  <si>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</si>
  <si>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</si>
  <si>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</si>
  <si>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</si>
  <si>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</si>
  <si>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</si>
  <si>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</si>
  <si>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</si>
  <si>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</si>
  <si>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</si>
  <si>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</si>
  <si>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</si>
  <si>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</si>
  <si>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</si>
  <si>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</si>
  <si>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</si>
  <si>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</si>
  <si>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</si>
  <si>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</si>
  <si>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</si>
  <si>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</si>
  <si>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</si>
  <si>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</si>
  <si>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</si>
  <si>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</si>
  <si>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</si>
  <si>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</si>
  <si>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</si>
  <si>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</si>
  <si>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</si>
  <si>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</si>
  <si>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</si>
  <si>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</si>
  <si>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</si>
  <si>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</si>
  <si>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</si>
  <si>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</si>
  <si>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</si>
  <si>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</si>
  <si>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</si>
  <si>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</si>
  <si>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</si>
  <si>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</si>
  <si>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</si>
  <si>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</si>
  <si>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</si>
  <si>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</si>
  <si>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</si>
  <si>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</si>
  <si>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</si>
  <si>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</si>
  <si>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</si>
  <si>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</si>
  <si>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</si>
  <si>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</si>
  <si>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</si>
  <si>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</si>
  <si>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</si>
  <si>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</si>
  <si>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</si>
  <si>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</si>
  <si>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</si>
  <si>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</si>
  <si>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</si>
  <si>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</si>
  <si>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</si>
  <si>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</si>
  <si>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</si>
  <si>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</si>
  <si>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</si>
  <si>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</si>
  <si>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</si>
  <si>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</si>
  <si>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</si>
  <si>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</si>
  <si>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</si>
  <si>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</si>
  <si>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</si>
  <si>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</si>
  <si>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</si>
  <si>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</si>
  <si>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</si>
  <si>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</si>
  <si>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</si>
  <si>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</si>
  <si>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</si>
  <si>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</si>
  <si>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</si>
  <si>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</si>
  <si>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</si>
  <si>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</si>
  <si>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</si>
  <si>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</si>
  <si>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</si>
  <si>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</si>
  <si>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</si>
  <si>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</si>
  <si>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</si>
  <si>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</si>
  <si>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</si>
  <si>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</si>
  <si>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</si>
  <si>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</si>
  <si>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</si>
  <si>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</si>
  <si>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</si>
  <si>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</si>
  <si>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</si>
  <si>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</si>
  <si>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</si>
  <si>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</si>
  <si>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</si>
  <si>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</si>
  <si>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</si>
  <si>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</si>
  <si>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</si>
  <si>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</si>
  <si>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</si>
  <si>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</si>
  <si>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</si>
  <si>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</si>
  <si>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</si>
  <si>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</si>
  <si>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</si>
  <si>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</si>
  <si>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</si>
  <si>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</si>
  <si>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</si>
  <si>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</si>
  <si>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</si>
  <si>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</si>
  <si>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</si>
  <si>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</si>
  <si>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</si>
  <si>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</si>
  <si>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</si>
  <si>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</si>
  <si>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</si>
  <si>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</si>
  <si>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</si>
  <si>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</si>
  <si>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</si>
  <si>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</si>
  <si>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</si>
  <si>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</si>
  <si>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</si>
  <si>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</si>
  <si>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</si>
  <si>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</si>
  <si>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</si>
  <si>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</si>
  <si>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</si>
  <si>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</si>
  <si>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</si>
  <si>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</si>
  <si>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</si>
  <si>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</si>
  <si>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</si>
  <si>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</si>
  <si>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</si>
  <si>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</si>
  <si>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</si>
  <si>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</si>
  <si>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</si>
  <si>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</si>
  <si>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</si>
  <si>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</si>
  <si>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</si>
  <si>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</si>
  <si>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</si>
  <si>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</si>
  <si>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</si>
  <si>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</si>
  <si>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</si>
  <si>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</si>
  <si>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</si>
  <si>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</si>
  <si>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</si>
  <si>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</si>
  <si>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</si>
  <si>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</si>
  <si>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</si>
  <si>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</si>
  <si>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</si>
  <si>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</si>
  <si>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</si>
  <si>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</si>
  <si>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</si>
  <si>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</si>
  <si>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</si>
  <si>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</si>
  <si>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</si>
  <si>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</si>
  <si>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</si>
  <si>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</si>
  <si>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</si>
  <si>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</si>
  <si>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</si>
  <si>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</si>
  <si>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</si>
  <si>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</si>
  <si>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</si>
  <si>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</si>
  <si>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</si>
  <si>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</si>
  <si>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</si>
  <si>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</si>
  <si>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</si>
  <si>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</si>
  <si>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</si>
  <si>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</si>
  <si>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</si>
  <si>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</si>
  <si>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</si>
  <si>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</si>
  <si>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</si>
  <si>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</si>
  <si>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</si>
  <si>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</si>
  <si>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</si>
  <si>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</si>
  <si>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</si>
  <si>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</si>
  <si>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</si>
  <si>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</si>
  <si>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</si>
  <si>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</si>
  <si>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</si>
  <si>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</si>
  <si>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</si>
  <si>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</si>
  <si>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</si>
  <si>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</si>
  <si>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</si>
  <si>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</si>
  <si>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</si>
  <si>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</si>
  <si>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</si>
  <si>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</si>
  <si>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</si>
  <si>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</si>
  <si>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</si>
  <si>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</si>
  <si>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</si>
  <si>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</si>
  <si>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</si>
  <si>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</si>
  <si>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</si>
  <si>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</si>
  <si>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</si>
  <si>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</si>
  <si>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</si>
  <si>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</si>
  <si>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</si>
  <si>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</si>
  <si>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</si>
  <si>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</si>
  <si>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</si>
  <si>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</si>
  <si>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</si>
  <si>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</si>
  <si>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</si>
  <si>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</si>
  <si>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</si>
  <si>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</si>
  <si>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</si>
  <si>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</si>
  <si>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</si>
  <si>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</si>
  <si>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</si>
  <si>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</si>
  <si>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</si>
  <si>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</si>
  <si>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</si>
  <si>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</si>
  <si>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</si>
  <si>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</si>
  <si>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</si>
  <si>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</si>
  <si>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</si>
  <si>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</si>
  <si>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</si>
  <si>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</si>
  <si>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</si>
  <si>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</si>
  <si>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</si>
  <si>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</si>
  <si>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</si>
  <si>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</si>
  <si>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</si>
  <si>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</si>
  <si>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</si>
  <si>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</si>
  <si>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</si>
  <si>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</si>
  <si>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</si>
  <si>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</si>
  <si>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</si>
  <si>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</si>
  <si>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</si>
  <si>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</si>
  <si>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</si>
  <si>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</si>
  <si>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</si>
  <si>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</si>
  <si>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</si>
  <si>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</si>
  <si>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</si>
  <si>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</si>
  <si>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</si>
  <si>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</si>
  <si>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</si>
  <si>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</si>
  <si>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</si>
  <si>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</si>
  <si>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</si>
  <si>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</si>
  <si>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</si>
  <si>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</si>
  <si>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</si>
  <si>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</si>
  <si>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</si>
  <si>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</si>
  <si>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</si>
  <si>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</si>
  <si>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</si>
  <si>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</si>
  <si>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</si>
  <si>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</si>
  <si>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</si>
  <si>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</si>
  <si>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</si>
  <si>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</si>
  <si>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</si>
  <si>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</si>
  <si>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</si>
  <si>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</si>
  <si>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</si>
  <si>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</si>
  <si>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</si>
  <si>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</si>
  <si>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</si>
  <si>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</si>
  <si>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</si>
  <si>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</si>
  <si>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</si>
  <si>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</si>
  <si>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</si>
  <si>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</si>
  <si>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</si>
  <si>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</si>
  <si>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</si>
  <si>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</si>
  <si>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</si>
  <si>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</si>
  <si>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</si>
  <si>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</si>
  <si>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</si>
  <si>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</si>
  <si>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</si>
  <si>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</si>
  <si>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</si>
  <si>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</si>
  <si>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</si>
  <si>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</si>
  <si>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</si>
  <si>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</si>
  <si>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</si>
  <si>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</si>
  <si>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</si>
  <si>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</si>
  <si>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</si>
  <si>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</si>
  <si>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</si>
  <si>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</si>
  <si>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</si>
  <si>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</si>
  <si>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</si>
  <si>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</si>
  <si>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</si>
  <si>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</si>
  <si>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</si>
  <si>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</si>
  <si>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</si>
  <si>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</si>
  <si>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</si>
  <si>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</si>
  <si>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</si>
  <si>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</si>
  <si>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</si>
  <si>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</si>
  <si>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</si>
  <si>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</si>
  <si>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</si>
  <si>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</si>
  <si>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</si>
  <si>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</si>
  <si>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</si>
  <si>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</si>
  <si>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</si>
  <si>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</si>
  <si>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</si>
  <si>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</si>
  <si>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</si>
  <si>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</si>
  <si>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</si>
  <si>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</si>
  <si>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</si>
  <si>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</si>
  <si>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</si>
  <si>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</si>
  <si>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</si>
  <si>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</si>
  <si>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</si>
  <si>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</si>
  <si>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</si>
  <si>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</si>
  <si>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</si>
  <si>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</si>
  <si>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</si>
  <si>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</si>
  <si>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</si>
  <si>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</si>
  <si>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</si>
  <si>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</si>
  <si>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</si>
  <si>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</si>
  <si>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</si>
  <si>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</si>
  <si>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</si>
  <si>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</si>
  <si>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</si>
  <si>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</si>
  <si>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</si>
  <si>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</si>
  <si>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</si>
  <si>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</si>
  <si>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</si>
  <si>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</si>
  <si>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</si>
  <si>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</si>
  <si>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</si>
  <si>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</si>
  <si>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</si>
  <si>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</si>
  <si>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</si>
  <si>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</si>
  <si>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</si>
  <si>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</si>
  <si>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</si>
  <si>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</si>
  <si>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</si>
  <si>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</si>
  <si>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</si>
  <si>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</si>
  <si>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</si>
  <si>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</si>
  <si>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</si>
  <si>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</si>
  <si>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</si>
  <si>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</si>
  <si>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</si>
  <si>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</si>
  <si>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</si>
  <si>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</si>
  <si>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</si>
  <si>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</si>
  <si>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</si>
  <si>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</si>
  <si>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</si>
  <si>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</si>
  <si>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</si>
  <si>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</si>
  <si>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</si>
  <si>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</si>
  <si>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</si>
  <si>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</si>
  <si>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</si>
  <si>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</si>
  <si>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</si>
  <si>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</si>
  <si>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</si>
  <si>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</si>
  <si>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</si>
  <si>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</si>
  <si>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</si>
  <si>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</si>
  <si>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</si>
  <si>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</si>
  <si>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</si>
  <si>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</si>
  <si>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</si>
  <si>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</si>
  <si>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</si>
  <si>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</si>
  <si>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</si>
  <si>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</si>
  <si>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</si>
  <si>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</si>
  <si>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</si>
  <si>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</si>
  <si>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</si>
  <si>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</si>
  <si>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</si>
  <si>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</si>
  <si>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</si>
  <si>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</si>
  <si>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</si>
  <si>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</si>
  <si>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</si>
  <si>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</si>
  <si>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</si>
  <si>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</si>
  <si>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</si>
  <si>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</si>
  <si>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</si>
  <si>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</si>
  <si>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</si>
  <si>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</si>
  <si>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</si>
  <si>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</si>
  <si>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</si>
  <si>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</si>
  <si>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</si>
  <si>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</si>
  <si>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</si>
  <si>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</si>
  <si>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</si>
  <si>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</si>
  <si>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</si>
  <si>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</si>
  <si>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</si>
  <si>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</si>
  <si>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</si>
  <si>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</si>
  <si>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</si>
  <si>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</si>
  <si>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</si>
  <si>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</si>
  <si>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</si>
  <si>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</si>
  <si>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</si>
  <si>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</si>
  <si>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</si>
  <si>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</si>
  <si>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</si>
  <si>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</si>
  <si>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</si>
  <si>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</si>
  <si>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</si>
  <si>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</si>
  <si>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</si>
  <si>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</si>
  <si>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</si>
  <si>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</si>
  <si>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</si>
  <si>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</si>
  <si>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</si>
  <si>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</si>
  <si>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</si>
  <si>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</si>
  <si>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</si>
  <si>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</si>
  <si>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</si>
  <si>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</si>
  <si>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</si>
  <si>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</si>
  <si>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</si>
  <si>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</si>
  <si>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</si>
  <si>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</si>
  <si>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</si>
  <si>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</si>
  <si>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</si>
  <si>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</si>
  <si>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</si>
  <si>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</si>
  <si>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</si>
  <si>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</si>
  <si>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</si>
  <si>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</si>
  <si>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</si>
  <si>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</si>
  <si>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</si>
  <si>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</si>
  <si>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</si>
  <si>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</si>
  <si>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</si>
  <si>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</si>
  <si>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</si>
  <si>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</si>
  <si>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</si>
  <si>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</si>
  <si>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</si>
  <si>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</si>
  <si>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</si>
  <si>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</si>
  <si>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</si>
  <si>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</si>
  <si>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</si>
  <si>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</si>
  <si>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</si>
  <si>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</si>
  <si>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</si>
  <si>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</si>
  <si>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</si>
  <si>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</si>
  <si>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</si>
  <si>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</si>
  <si>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</si>
  <si>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</si>
  <si>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</si>
  <si>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</si>
  <si>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</si>
  <si>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</si>
  <si>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</si>
  <si>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</si>
  <si>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</si>
  <si>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</si>
  <si>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</si>
  <si>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</si>
  <si>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</si>
  <si>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</si>
  <si>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</si>
  <si>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</si>
  <si>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</si>
  <si>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</si>
  <si>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</si>
  <si>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</si>
  <si>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</si>
  <si>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</si>
  <si>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</si>
  <si>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</si>
  <si>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</si>
  <si>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</si>
  <si>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</si>
  <si>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</si>
  <si>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</si>
  <si>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</si>
  <si>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</si>
  <si>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</si>
  <si>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</si>
  <si>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</si>
  <si>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</si>
  <si>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</si>
  <si>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</si>
  <si>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</si>
  <si>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</si>
  <si>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</si>
  <si>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</si>
  <si>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</si>
  <si>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</si>
  <si>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</si>
  <si>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</si>
  <si>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</si>
  <si>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</si>
  <si>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</si>
  <si>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</si>
  <si>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</si>
  <si>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</si>
  <si>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</si>
  <si>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</si>
  <si>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</si>
  <si>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</si>
  <si>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</si>
  <si>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</si>
  <si>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</si>
  <si>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</si>
  <si>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</si>
  <si>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</si>
  <si>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</si>
  <si>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</si>
  <si>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</si>
  <si>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</si>
  <si>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</si>
  <si>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</si>
  <si>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</si>
  <si>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</si>
  <si>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</si>
  <si>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</si>
  <si>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</si>
  <si>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</si>
  <si>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</si>
  <si>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</si>
  <si>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</si>
  <si>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</si>
  <si>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</si>
  <si>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</si>
  <si>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</si>
  <si>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</si>
  <si>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</si>
  <si>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</si>
  <si>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</si>
  <si>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</si>
  <si>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</si>
  <si>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</si>
  <si>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</si>
  <si>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</si>
  <si>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</si>
  <si>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</si>
  <si>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</si>
  <si>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</si>
  <si>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</si>
  <si>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</si>
  <si>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</si>
  <si>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</si>
  <si>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</si>
  <si>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</si>
  <si>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</si>
  <si>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</si>
  <si>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</si>
  <si>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</si>
  <si>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</si>
  <si>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</si>
  <si>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</si>
  <si>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</si>
  <si>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</si>
  <si>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</si>
  <si>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</si>
  <si>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</si>
  <si>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</si>
  <si>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</si>
  <si>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</si>
  <si>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</si>
  <si>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</si>
  <si>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</si>
  <si>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</si>
  <si>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</si>
  <si>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</si>
  <si>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</si>
  <si>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</si>
  <si>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</si>
  <si>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</si>
  <si>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</si>
  <si>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</si>
  <si>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</si>
  <si>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</si>
  <si>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</si>
  <si>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</si>
  <si>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</si>
  <si>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</si>
  <si>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</si>
  <si>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</si>
  <si>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</si>
  <si>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</si>
  <si>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</si>
  <si>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</si>
  <si>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</si>
  <si>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</si>
  <si>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</si>
  <si>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</si>
  <si>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</si>
  <si>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</si>
  <si>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</si>
  <si>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</si>
  <si>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</si>
  <si>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</si>
  <si>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</si>
  <si>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</si>
  <si>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</si>
  <si>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</si>
  <si>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</si>
  <si>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</si>
  <si>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</si>
  <si>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</si>
  <si>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</si>
  <si>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</si>
  <si>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</si>
  <si>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</si>
  <si>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</si>
  <si>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</si>
  <si>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</si>
  <si>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</si>
  <si>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</si>
  <si>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</si>
  <si>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</si>
  <si>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</si>
  <si>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</si>
  <si>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</si>
  <si>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</si>
  <si>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</si>
  <si>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</si>
  <si>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</si>
  <si>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</si>
  <si>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</si>
  <si>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</si>
  <si>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</si>
  <si>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</si>
  <si>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</si>
  <si>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</si>
  <si>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</si>
  <si>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</si>
  <si>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</si>
  <si>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</si>
  <si>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</si>
  <si>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</si>
  <si>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</si>
  <si>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</si>
  <si>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</si>
  <si>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</si>
  <si>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</si>
  <si>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</si>
  <si>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</si>
  <si>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</si>
  <si>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</si>
  <si>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</si>
  <si>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</si>
  <si>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</si>
  <si>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</si>
  <si>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</si>
  <si>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</si>
  <si>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</si>
  <si>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</si>
  <si>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</si>
  <si>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</si>
  <si>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</si>
  <si>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</si>
  <si>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</si>
  <si>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</si>
  <si>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</si>
  <si>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</si>
  <si>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</si>
  <si>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</si>
  <si>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</si>
  <si>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</si>
  <si>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</si>
  <si>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</si>
  <si>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</si>
  <si>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</si>
  <si>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</si>
  <si>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</si>
  <si>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</si>
  <si>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</si>
  <si>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</si>
  <si>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</si>
  <si>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</si>
  <si>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</si>
  <si>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</si>
  <si>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</si>
  <si>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</si>
  <si>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</si>
  <si>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</si>
  <si>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</si>
  <si>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</si>
  <si>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</si>
  <si>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</si>
  <si>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</si>
  <si>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</si>
  <si>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</si>
  <si>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</si>
  <si>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</si>
  <si>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</si>
  <si>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</si>
  <si>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</si>
  <si>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</si>
  <si>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</si>
  <si>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</si>
  <si>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</si>
  <si>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</si>
  <si>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</si>
  <si>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</si>
  <si>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</si>
  <si>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</si>
  <si>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</si>
  <si>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</si>
  <si>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</si>
  <si>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</si>
  <si>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</si>
  <si>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</si>
  <si>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</si>
  <si>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</si>
  <si>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</si>
  <si>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</si>
  <si>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</si>
  <si>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</si>
  <si>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</si>
  <si>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</si>
  <si>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</si>
  <si>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</si>
  <si>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</si>
  <si>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</si>
  <si>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</si>
  <si>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</si>
  <si>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</si>
  <si>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</si>
  <si>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</si>
  <si>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</si>
  <si>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</si>
  <si>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</si>
  <si>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</si>
  <si>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</si>
  <si>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</si>
  <si>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</si>
  <si>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</si>
  <si>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</si>
  <si>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</si>
  <si>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</si>
  <si>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</si>
  <si>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</si>
  <si>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</si>
  <si>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</si>
  <si>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</si>
  <si>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</si>
  <si>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</si>
  <si>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</si>
  <si>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</si>
  <si>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</si>
  <si>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</si>
  <si>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</si>
  <si>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</si>
  <si>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</si>
  <si>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</si>
  <si>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</si>
  <si>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</si>
  <si>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</si>
  <si>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</si>
  <si>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</si>
  <si>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</si>
  <si>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</si>
  <si>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</si>
  <si>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</si>
  <si>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</si>
  <si>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</si>
  <si>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</si>
  <si>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</si>
  <si>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</si>
  <si>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</si>
  <si>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</si>
  <si>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</si>
  <si>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</si>
  <si>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</si>
  <si>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</si>
  <si>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</si>
  <si>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</si>
  <si>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</si>
  <si>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</si>
  <si>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</si>
  <si>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</si>
  <si>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</si>
  <si>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</si>
  <si>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</si>
  <si>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</si>
  <si>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</si>
  <si>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</si>
  <si>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</si>
  <si>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</si>
  <si>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</si>
  <si>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</si>
  <si>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</si>
  <si>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</si>
  <si>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</si>
  <si>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</si>
  <si>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</si>
  <si>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</si>
  <si>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</si>
  <si>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</si>
  <si>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</si>
  <si>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</si>
  <si>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</si>
  <si>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</si>
  <si>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</si>
  <si>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</si>
  <si>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</si>
  <si>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</si>
  <si>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</si>
  <si>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</si>
  <si>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</si>
  <si>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</si>
  <si>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</si>
  <si>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</si>
  <si>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</si>
  <si>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</si>
  <si>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</si>
  <si>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</si>
  <si>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</si>
  <si>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</si>
  <si>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</si>
  <si>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</si>
  <si>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</si>
  <si>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</si>
  <si>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</si>
  <si>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</si>
  <si>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</si>
  <si>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</si>
  <si>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</si>
  <si>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</si>
  <si>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</si>
  <si>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</si>
  <si>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</si>
  <si>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</si>
  <si>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</si>
  <si>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</si>
  <si>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</si>
  <si>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</si>
  <si>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</si>
  <si>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</si>
  <si>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</si>
  <si>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</si>
  <si>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</si>
  <si>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</si>
  <si>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</si>
  <si>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</si>
  <si>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</si>
  <si>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</si>
  <si>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</si>
  <si>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</si>
  <si>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</si>
  <si>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</si>
  <si>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</si>
  <si>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</si>
  <si>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</si>
  <si>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</si>
  <si>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</si>
  <si>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</si>
  <si>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</si>
  <si>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</si>
  <si>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</si>
  <si>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</si>
  <si>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</si>
  <si>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</si>
  <si>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</si>
  <si>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</si>
  <si>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</si>
  <si>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</si>
  <si>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</si>
  <si>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</si>
  <si>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</si>
  <si>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</si>
  <si>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</si>
  <si>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</si>
  <si>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</si>
  <si>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</si>
  <si>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</si>
  <si>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</si>
  <si>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</si>
  <si>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</si>
  <si>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</si>
  <si>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</si>
  <si>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</si>
  <si>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</si>
  <si>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</si>
  <si>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</si>
  <si>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</si>
  <si>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</si>
  <si>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</si>
  <si>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</si>
  <si>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</si>
  <si>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</si>
  <si>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</si>
  <si>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</si>
  <si>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</si>
  <si>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</si>
  <si>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</si>
  <si>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</si>
  <si>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</si>
  <si>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</si>
  <si>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</si>
  <si>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</si>
  <si>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</si>
  <si>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</si>
  <si>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</si>
  <si>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</si>
  <si>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</si>
  <si>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</si>
  <si>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</si>
  <si>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</si>
  <si>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</si>
  <si>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</si>
  <si>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</si>
  <si>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</si>
  <si>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</si>
  <si>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</si>
  <si>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</si>
  <si>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</si>
  <si>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</si>
  <si>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</si>
  <si>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</si>
  <si>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</si>
  <si>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</si>
  <si>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</si>
  <si>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</si>
  <si>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</si>
  <si>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</si>
  <si>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</si>
  <si>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</si>
  <si>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</si>
  <si>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</si>
  <si>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</si>
  <si>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</si>
  <si>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</si>
  <si>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</si>
  <si>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</si>
  <si>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</si>
  <si>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</si>
  <si>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</si>
  <si>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</si>
  <si>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</si>
  <si>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</si>
  <si>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</si>
  <si>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</si>
  <si>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</si>
  <si>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</si>
  <si>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</si>
  <si>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</si>
  <si>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</si>
  <si>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</si>
  <si>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</si>
  <si>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</si>
  <si>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</si>
  <si>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</si>
  <si>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</si>
  <si>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</si>
  <si>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</si>
  <si>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</si>
  <si>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</si>
  <si>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</si>
  <si>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</si>
  <si>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</si>
  <si>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</si>
  <si>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</si>
  <si>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</si>
  <si>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</si>
  <si>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</si>
  <si>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</si>
  <si>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</si>
  <si>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</si>
  <si>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</si>
  <si>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</si>
  <si>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</si>
  <si>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</si>
  <si>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</si>
  <si>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</si>
  <si>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</si>
  <si>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</si>
  <si>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</si>
  <si>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</si>
  <si>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</si>
  <si>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</si>
  <si>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</si>
  <si>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</si>
  <si>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</si>
  <si>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</si>
  <si>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</si>
  <si>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</si>
  <si>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</si>
  <si>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</si>
  <si>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</si>
  <si>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</si>
  <si>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</si>
  <si>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</si>
  <si>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</si>
  <si>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</si>
  <si>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</si>
  <si>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</si>
  <si>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</si>
  <si>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</si>
  <si>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</si>
  <si>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</si>
  <si>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</si>
  <si>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</si>
  <si>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</si>
  <si>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</si>
  <si>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</si>
  <si>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</si>
  <si>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</si>
  <si>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</si>
  <si>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</si>
  <si>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</si>
  <si>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</si>
  <si>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</si>
  <si>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</si>
  <si>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</si>
  <si>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</si>
  <si>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</si>
  <si>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</si>
  <si>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</si>
  <si>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</si>
  <si>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</si>
  <si>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</si>
  <si>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</si>
  <si>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</si>
  <si>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</si>
  <si>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</si>
  <si>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</si>
  <si>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</si>
  <si>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</si>
  <si>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</si>
  <si>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</si>
  <si>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</si>
  <si>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</si>
  <si>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</si>
  <si>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</si>
  <si>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</si>
  <si>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</si>
  <si>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</si>
  <si>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</si>
  <si>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</si>
  <si>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</si>
  <si>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</si>
  <si>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</si>
  <si>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</si>
  <si>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</si>
  <si>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</si>
  <si>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</si>
  <si>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</si>
  <si>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</si>
  <si>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</si>
  <si>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</si>
  <si>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</si>
  <si>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</si>
  <si>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</si>
  <si>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</si>
  <si>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</si>
  <si>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</si>
  <si>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</si>
  <si>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</si>
  <si>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</si>
  <si>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</si>
  <si>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</si>
  <si>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</si>
  <si>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</si>
  <si>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</si>
  <si>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</si>
  <si>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</si>
  <si>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</si>
  <si>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</si>
  <si>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</si>
  <si>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</si>
  <si>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</si>
  <si>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</si>
  <si>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</si>
  <si>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</si>
  <si>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</si>
  <si>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</si>
  <si>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</si>
  <si>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</si>
  <si>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</si>
  <si>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</si>
  <si>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</si>
  <si>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</si>
  <si>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</si>
  <si>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</si>
  <si>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</si>
  <si>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</si>
  <si>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</si>
  <si>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</si>
  <si>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</si>
  <si>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</si>
  <si>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</si>
  <si>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</si>
  <si>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</si>
  <si>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</si>
  <si>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</si>
  <si>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</si>
  <si>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</si>
  <si>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</si>
  <si>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</si>
  <si>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</si>
  <si>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</si>
  <si>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</si>
  <si>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</si>
  <si>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</si>
  <si>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</si>
  <si>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</si>
  <si>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</si>
  <si>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</si>
  <si>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</si>
  <si>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</si>
  <si>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</si>
  <si>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</si>
  <si>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</si>
  <si>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</si>
  <si>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</si>
  <si>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</si>
  <si>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</si>
  <si>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</si>
  <si>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</si>
  <si>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</si>
  <si>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</si>
  <si>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</si>
  <si>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</si>
  <si>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</si>
  <si>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</si>
  <si>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</si>
  <si>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</si>
  <si>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</si>
  <si>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</si>
  <si>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</si>
  <si>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</si>
  <si>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</si>
  <si>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</si>
  <si>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</si>
  <si>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</si>
  <si>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</si>
  <si>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</si>
  <si>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</si>
  <si>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</si>
  <si>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</si>
  <si>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</si>
  <si>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</si>
  <si>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</si>
  <si>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</si>
  <si>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</si>
  <si>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</si>
  <si>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</si>
  <si>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</si>
  <si>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</si>
  <si>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</si>
  <si>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</si>
  <si>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</si>
  <si>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</si>
  <si>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</si>
  <si>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</si>
  <si>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</si>
  <si>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</si>
  <si>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</si>
  <si>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</si>
  <si>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</si>
  <si>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</si>
  <si>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</si>
  <si>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</si>
  <si>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</si>
  <si>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</si>
  <si>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</si>
  <si>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</si>
  <si>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</si>
  <si>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</si>
  <si>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</si>
  <si>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</si>
  <si>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</si>
  <si>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</si>
  <si>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</si>
  <si>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</si>
  <si>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</si>
  <si>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</si>
  <si>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</si>
  <si>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</si>
  <si>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</si>
  <si>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</si>
  <si>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</si>
  <si>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</si>
  <si>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</si>
  <si>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</si>
  <si>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</si>
  <si>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</si>
  <si>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</si>
  <si>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</si>
  <si>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</si>
  <si>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</si>
  <si>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</si>
  <si>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</si>
  <si>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</si>
  <si>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</si>
  <si>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</si>
  <si>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</si>
  <si>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</si>
  <si>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</si>
  <si>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</si>
  <si>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</si>
  <si>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</si>
  <si>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</si>
  <si>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</si>
  <si>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</si>
  <si>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</si>
  <si>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</si>
  <si>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</si>
  <si>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</si>
  <si>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</si>
  <si>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</si>
  <si>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</si>
  <si>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</si>
  <si>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</si>
  <si>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</si>
  <si>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</si>
  <si>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</si>
  <si>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</si>
  <si>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</si>
  <si>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</si>
  <si>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</si>
  <si>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</si>
  <si>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</si>
  <si>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</si>
  <si>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</si>
  <si>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</si>
  <si>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</si>
  <si>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</si>
  <si>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</si>
  <si>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</si>
  <si>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</si>
  <si>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</si>
  <si>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</si>
  <si>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</si>
  <si>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</si>
  <si>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</si>
  <si>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</si>
  <si>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</si>
  <si>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</si>
  <si>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</si>
  <si>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</si>
  <si>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</si>
  <si>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</si>
  <si>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</si>
  <si>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</si>
  <si>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</si>
  <si>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</si>
  <si>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</si>
  <si>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</si>
  <si>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</si>
  <si>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</si>
  <si>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</si>
  <si>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</si>
  <si>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</si>
  <si>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</si>
  <si>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</si>
  <si>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</si>
  <si>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</si>
  <si>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</si>
  <si>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</si>
  <si>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</si>
  <si>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</si>
  <si>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</si>
  <si>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</si>
  <si>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</si>
  <si>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</si>
  <si>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</si>
  <si>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</si>
  <si>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</si>
  <si>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</si>
  <si>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</si>
  <si>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</si>
  <si>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</si>
  <si>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</si>
  <si>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</si>
  <si>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</si>
  <si>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</si>
  <si>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</si>
  <si>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</si>
  <si>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</si>
  <si>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</si>
  <si>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</si>
  <si>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</si>
  <si>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</si>
  <si>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</si>
  <si>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</si>
  <si>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</si>
  <si>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</si>
  <si>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</si>
  <si>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</si>
  <si>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</si>
  <si>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</si>
  <si>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</si>
  <si>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</si>
  <si>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</si>
  <si>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</si>
  <si>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</si>
  <si>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</si>
  <si>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</si>
  <si>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</si>
  <si>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</si>
  <si>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</si>
  <si>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</si>
  <si>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</si>
  <si>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</si>
  <si>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</si>
  <si>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</si>
  <si>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</si>
  <si>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</si>
  <si>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</si>
  <si>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</si>
  <si>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</si>
  <si>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</si>
  <si>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</si>
  <si>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</si>
  <si>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</si>
  <si>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</si>
  <si>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</si>
  <si>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</si>
  <si>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</si>
  <si>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</si>
  <si>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</si>
  <si>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</si>
  <si>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</si>
  <si>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</si>
  <si>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</si>
  <si>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</si>
  <si>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</si>
  <si>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</si>
  <si>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</si>
  <si>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</si>
  <si>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</si>
  <si>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</si>
  <si>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</si>
  <si>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</si>
  <si>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</si>
  <si>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</si>
  <si>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</si>
  <si>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</si>
  <si>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</si>
  <si>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</si>
  <si>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</si>
  <si>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</si>
  <si>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</si>
  <si>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</si>
  <si>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</si>
  <si>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</si>
  <si>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</si>
  <si>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</si>
  <si>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</si>
  <si>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</si>
  <si>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</si>
  <si>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</si>
  <si>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</si>
  <si>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</si>
  <si>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</si>
  <si>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</si>
  <si>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</si>
  <si>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</si>
  <si>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</si>
  <si>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</si>
  <si>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</si>
  <si>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</si>
  <si>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</si>
  <si>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</si>
  <si>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</si>
  <si>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</si>
  <si>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</si>
  <si>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</si>
  <si>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</si>
  <si>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</si>
  <si>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</si>
  <si>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</si>
  <si>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</si>
  <si>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</si>
  <si>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</si>
  <si>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</si>
  <si>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</si>
  <si>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</si>
  <si>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</si>
  <si>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</si>
  <si>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</si>
  <si>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</si>
  <si>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</si>
  <si>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</si>
  <si>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</si>
  <si>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</si>
  <si>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</si>
  <si>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</si>
  <si>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</si>
  <si>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</si>
  <si>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</si>
  <si>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</si>
  <si>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</si>
  <si>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</si>
  <si>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</si>
  <si>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</si>
  <si>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</si>
  <si>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</si>
  <si>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</si>
  <si>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</si>
  <si>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</si>
  <si>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</si>
  <si>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</si>
  <si>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</si>
  <si>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</si>
  <si>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</si>
  <si>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</si>
  <si>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</si>
  <si>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</si>
  <si>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</si>
  <si>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</si>
  <si>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</si>
  <si>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</si>
  <si>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</si>
  <si>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</si>
  <si>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</si>
  <si>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</si>
  <si>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</si>
  <si>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</si>
  <si>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</si>
  <si>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</si>
  <si>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</si>
  <si>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</si>
  <si>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</si>
  <si>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</si>
  <si>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</si>
  <si>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</si>
  <si>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</si>
  <si>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</si>
  <si>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</si>
  <si>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</si>
  <si>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</si>
  <si>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</si>
  <si>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</si>
  <si>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</si>
  <si>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</si>
  <si>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</si>
  <si>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</si>
  <si>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</si>
  <si>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</si>
  <si>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</si>
  <si>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</si>
  <si>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</si>
  <si>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</si>
  <si>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</si>
  <si>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</si>
  <si>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</si>
  <si>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</si>
  <si>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</si>
  <si>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</si>
  <si>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</si>
  <si>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</si>
  <si>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</si>
  <si>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</si>
  <si>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</si>
  <si>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</si>
  <si>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</si>
  <si>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</si>
  <si>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</si>
  <si>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</si>
  <si>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</si>
  <si>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</si>
  <si>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</si>
  <si>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</si>
  <si>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</si>
  <si>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</si>
  <si>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</si>
  <si>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</si>
  <si>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</si>
  <si>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</si>
  <si>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</si>
  <si>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</si>
  <si>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</si>
  <si>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</si>
  <si>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</si>
  <si>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</si>
  <si>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</si>
  <si>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</si>
  <si>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</si>
  <si>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</si>
  <si>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</si>
  <si>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</si>
  <si>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</si>
  <si>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</si>
  <si>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</si>
  <si>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</si>
  <si>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</si>
  <si>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</si>
  <si>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</si>
  <si>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</si>
  <si>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</si>
  <si>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</si>
  <si>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</si>
  <si>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</si>
  <si>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</si>
  <si>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</si>
  <si>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</si>
  <si>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</si>
  <si>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</si>
  <si>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</si>
  <si>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</si>
  <si>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</si>
  <si>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</si>
  <si>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</si>
  <si>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</si>
  <si>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</si>
  <si>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</si>
  <si>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</si>
  <si>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</si>
  <si>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</si>
  <si>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</si>
  <si>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</si>
  <si>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</si>
  <si>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</si>
  <si>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</si>
  <si>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</si>
  <si>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</si>
  <si>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</si>
  <si>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</si>
  <si>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</si>
  <si>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</si>
  <si>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</si>
  <si>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</si>
  <si>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</si>
  <si>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</si>
  <si>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</si>
  <si>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</si>
  <si>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</si>
  <si>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</si>
  <si>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</si>
  <si>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</si>
  <si>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</si>
  <si>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</si>
  <si>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</si>
  <si>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</si>
  <si>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</si>
  <si>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</si>
  <si>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</si>
  <si>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</si>
  <si>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</si>
  <si>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</si>
  <si>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</si>
  <si>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</si>
  <si>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</si>
  <si>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</si>
  <si>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</si>
  <si>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</si>
  <si>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</si>
  <si>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</si>
  <si>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</si>
  <si>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</si>
  <si>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</si>
  <si>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</si>
  <si>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</si>
  <si>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</si>
  <si>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</si>
  <si>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</si>
  <si>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</si>
  <si>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</si>
  <si>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</si>
  <si>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</si>
  <si>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</si>
  <si>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</si>
  <si>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</si>
  <si>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</si>
  <si>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</si>
  <si>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</si>
  <si>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</si>
  <si>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</si>
  <si>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</si>
  <si>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</si>
  <si>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</si>
  <si>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</si>
  <si>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</si>
  <si>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</si>
  <si>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</si>
  <si>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</si>
  <si>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</si>
  <si>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</si>
  <si>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</si>
  <si>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</si>
  <si>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</si>
  <si>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</si>
  <si>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</si>
  <si>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</si>
  <si>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</si>
  <si>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</si>
  <si>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</si>
  <si>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</si>
  <si>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</si>
  <si>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</si>
  <si>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</si>
  <si>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</si>
  <si>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</si>
  <si>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</si>
  <si>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</si>
  <si>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</si>
  <si>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</si>
  <si>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</si>
  <si>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</si>
  <si>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</si>
  <si>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</si>
  <si>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</si>
  <si>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</si>
  <si>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</si>
  <si>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</si>
  <si>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</si>
  <si>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</si>
  <si>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</si>
  <si>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</si>
  <si>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</si>
  <si>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</si>
  <si>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</si>
  <si>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</si>
  <si>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</si>
  <si>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10</t>
  </si>
  <si>
    <t>August 2013</t>
  </si>
  <si>
    <t>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</si>
</sst>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F667" sqref="F66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1317</v>
      </c>
      <c r="B2">
        <f>INDEX('School Tables'!$AH$3:$AH$209,MATCH('DOE25'!A2,'School Tables'!$AJ$3:$AJ$209,0))</f>
        <v>405</v>
      </c>
      <c r="C2">
        <f>INDEX('School Tables'!$AI$3:$AI$209,MATCH('DOE25'!A2,'School Tables'!$AJ$3:$AJ$209,0))</f>
        <v>405</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f>391484.05+133.61</f>
        <v>391617.66</v>
      </c>
      <c r="G9" s="18"/>
      <c r="H9" s="18"/>
      <c r="I9" s="18"/>
      <c r="J9" s="13">
        <f>SUM(I440)</f>
        <v>0</v>
      </c>
      <c r="K9" s="23" t="s">
        <v>288</v>
      </c>
      <c r="L9" s="23" t="s">
        <v>288</v>
      </c>
      <c r="M9" s="8"/>
      <c r="N9" s="165"/>
    </row>
    <row r="10" spans="1:14" s="3" customFormat="1" ht="12.4" customHeight="1" x14ac:dyDescent="0.15">
      <c r="A10" s="1" t="s">
        <v>562</v>
      </c>
      <c r="B10" s="2" t="s">
        <v>289</v>
      </c>
      <c r="C10" s="6">
        <v>2</v>
      </c>
      <c r="D10" s="2" t="s">
        <v>428</v>
      </c>
      <c r="E10" s="6">
        <v>110</v>
      </c>
      <c r="F10" s="18"/>
      <c r="G10" s="18"/>
      <c r="H10" s="18"/>
      <c r="I10" s="18"/>
      <c r="J10" s="13">
        <f>SUM(I441)</f>
        <v>769047.2</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f>84745+820.32</f>
        <v>85565.32</v>
      </c>
      <c r="G12" s="18">
        <v>-3094.81</v>
      </c>
      <c r="H12" s="18"/>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7617.19</v>
      </c>
      <c r="G13" s="18"/>
      <c r="H13" s="18">
        <v>81649.570000000007</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6978.48</v>
      </c>
      <c r="G14" s="18"/>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v>8681.91</v>
      </c>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491778.64999999997</v>
      </c>
      <c r="G19" s="38">
        <f>SUM(G9:G18)</f>
        <v>5587.1</v>
      </c>
      <c r="H19" s="38">
        <f>SUM(H9:H18)</f>
        <v>81649.570000000007</v>
      </c>
      <c r="I19" s="38">
        <f>SUM(I9:I18)</f>
        <v>0</v>
      </c>
      <c r="J19" s="38">
        <f>SUM(J9:J18)</f>
        <v>769047.2</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c r="G22" s="18"/>
      <c r="H22" s="18">
        <v>81649.570000000007</v>
      </c>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v>21111.79</v>
      </c>
      <c r="G24" s="18">
        <v>548.99</v>
      </c>
      <c r="H24" s="18"/>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f>19292.62+987.4+1697.61</f>
        <v>21977.63</v>
      </c>
      <c r="G28" s="18">
        <v>183.07</v>
      </c>
      <c r="H28" s="18"/>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f>4855.25-0.21</f>
        <v>4855.04</v>
      </c>
      <c r="H30" s="18"/>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43089.42</v>
      </c>
      <c r="G32" s="38">
        <f>SUM(G22:G31)</f>
        <v>5587.1</v>
      </c>
      <c r="H32" s="38">
        <f>SUM(H22:H31)</f>
        <v>81649.570000000007</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v>8681.91</v>
      </c>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v>-8681.91</v>
      </c>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v>50000</v>
      </c>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4" customHeight="1" x14ac:dyDescent="0.15">
      <c r="A46" s="1" t="s">
        <v>873</v>
      </c>
      <c r="B46" s="6">
        <v>1</v>
      </c>
      <c r="C46" s="6">
        <v>32</v>
      </c>
      <c r="D46" s="2"/>
      <c r="E46" s="6"/>
      <c r="F46" s="18">
        <v>36000</v>
      </c>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v>9547.74</v>
      </c>
      <c r="G48" s="18"/>
      <c r="H48" s="18"/>
      <c r="I48" s="18"/>
      <c r="J48" s="13">
        <f>SUM(I460)</f>
        <v>769047.2</v>
      </c>
      <c r="K48" s="23" t="s">
        <v>288</v>
      </c>
      <c r="L48" s="23" t="s">
        <v>288</v>
      </c>
      <c r="M48" s="8"/>
      <c r="N48" s="165"/>
    </row>
    <row r="49" spans="1:14" s="3" customFormat="1" ht="12.4" customHeight="1" x14ac:dyDescent="0.15">
      <c r="A49" s="1" t="s">
        <v>858</v>
      </c>
      <c r="B49" s="2" t="s">
        <v>289</v>
      </c>
      <c r="C49" s="6">
        <v>34</v>
      </c>
      <c r="D49" s="2"/>
      <c r="E49" s="6">
        <v>753</v>
      </c>
      <c r="F49" s="18">
        <v>24964.49</v>
      </c>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v>328177</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448689.23</v>
      </c>
      <c r="G51" s="38">
        <f>SUM(G35:G50)</f>
        <v>0</v>
      </c>
      <c r="H51" s="38">
        <f>SUM(H35:H50)</f>
        <v>0</v>
      </c>
      <c r="I51" s="38">
        <f>SUM(I35:I50)</f>
        <v>0</v>
      </c>
      <c r="J51" s="38">
        <f>SUM(J35:J50)</f>
        <v>769047.2</v>
      </c>
      <c r="K51" s="42" t="s">
        <v>288</v>
      </c>
      <c r="L51" s="42" t="s">
        <v>288</v>
      </c>
      <c r="N51" s="131"/>
    </row>
    <row r="52" spans="1:14" s="3" customFormat="1" ht="12.4" customHeight="1" thickTop="1" x14ac:dyDescent="0.15">
      <c r="A52" s="35" t="s">
        <v>455</v>
      </c>
      <c r="B52" s="36" t="s">
        <v>289</v>
      </c>
      <c r="C52" s="6">
        <v>37</v>
      </c>
      <c r="D52" s="36" t="s">
        <v>653</v>
      </c>
      <c r="E52" s="36"/>
      <c r="F52" s="38">
        <f>F51+F32</f>
        <v>491778.64999999997</v>
      </c>
      <c r="G52" s="38">
        <f>G51+G32</f>
        <v>5587.1</v>
      </c>
      <c r="H52" s="38">
        <f>H51+H32</f>
        <v>81649.570000000007</v>
      </c>
      <c r="I52" s="38">
        <f>I51+I32</f>
        <v>0</v>
      </c>
      <c r="J52" s="38">
        <f>J51+J32</f>
        <v>769047.2</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7639002</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7639002</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v>36419.81</v>
      </c>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36419.81</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27137.06</v>
      </c>
      <c r="G96" s="18"/>
      <c r="H96" s="18"/>
      <c r="I96" s="18"/>
      <c r="J96" s="18">
        <v>15939.08</v>
      </c>
      <c r="K96" s="23" t="s">
        <v>288</v>
      </c>
      <c r="L96" s="23" t="s">
        <v>288</v>
      </c>
      <c r="M96" s="8"/>
      <c r="N96" s="165"/>
    </row>
    <row r="97" spans="1:14" s="3" customFormat="1" ht="12.4" customHeight="1" x14ac:dyDescent="0.15">
      <c r="A97" s="1" t="s">
        <v>503</v>
      </c>
      <c r="B97" s="2" t="s">
        <v>315</v>
      </c>
      <c r="C97" s="6">
        <v>12</v>
      </c>
      <c r="D97" s="2" t="s">
        <v>430</v>
      </c>
      <c r="E97" s="6">
        <v>1600</v>
      </c>
      <c r="F97" s="23" t="s">
        <v>288</v>
      </c>
      <c r="G97" s="18">
        <v>86559.679999999993</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v>848.99</v>
      </c>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v>835.56</v>
      </c>
      <c r="G110" s="18"/>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28821.610000000004</v>
      </c>
      <c r="G111" s="38">
        <f>SUM(G96:G110)</f>
        <v>86559.679999999993</v>
      </c>
      <c r="H111" s="38">
        <f>SUM(H96:H110)</f>
        <v>0</v>
      </c>
      <c r="I111" s="38">
        <f>SUM(I96:I110)</f>
        <v>0</v>
      </c>
      <c r="J111" s="38">
        <f>SUM(J96:J110)</f>
        <v>15939.08</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7704243.4199999999</v>
      </c>
      <c r="G112" s="38">
        <f>G60+G111</f>
        <v>86559.679999999993</v>
      </c>
      <c r="H112" s="38">
        <f>H60+H79+H94+H111</f>
        <v>0</v>
      </c>
      <c r="I112" s="38">
        <f>I60+I111</f>
        <v>0</v>
      </c>
      <c r="J112" s="38">
        <f>J60+J111</f>
        <v>15939.08</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581991.06000000006</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1102919</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v>52560.57</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1737470.6300000001</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v>103768.05</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v>1822.6</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103768.05</v>
      </c>
      <c r="G136" s="38">
        <f>SUM(G123:G135)</f>
        <v>1822.6</v>
      </c>
      <c r="H136" s="38">
        <f>SUM(H123:H135)</f>
        <v>0</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1841238.6800000002</v>
      </c>
      <c r="G140" s="38">
        <f>G121+SUM(G136:G137)</f>
        <v>1822.6</v>
      </c>
      <c r="H140" s="38">
        <f>H121+SUM(H136:H139)</f>
        <v>0</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v>32263.31</v>
      </c>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v>26833.62</v>
      </c>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36484.18</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v>38718.019999999997</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129712.08</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54248.52</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v>15860.46</v>
      </c>
      <c r="H161" s="18">
        <v>55075.12</v>
      </c>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v>42037.31</v>
      </c>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86511.83</v>
      </c>
      <c r="G163" s="38">
        <f>SUM(G150:G162)</f>
        <v>54578.479999999996</v>
      </c>
      <c r="H163" s="38">
        <f>SUM(H150:H162)</f>
        <v>290142.31</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86511.83</v>
      </c>
      <c r="G170" s="38">
        <f>G147+G163+SUM(G164:G169)</f>
        <v>54578.479999999996</v>
      </c>
      <c r="H170" s="38">
        <f>H147+H163+SUM(H164:H169)</f>
        <v>290142.31</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f>26646</f>
        <v>26646</v>
      </c>
      <c r="H180" s="18"/>
      <c r="I180" s="18"/>
      <c r="J180" s="18">
        <v>60000</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26646</v>
      </c>
      <c r="H184" s="38">
        <f>SUM(H180:H183)</f>
        <v>0</v>
      </c>
      <c r="I184" s="38">
        <f>SUM(I180:I183)</f>
        <v>0</v>
      </c>
      <c r="J184" s="38">
        <f>SUM(J180:J183)</f>
        <v>60000</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v>8188.21</v>
      </c>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8188.21</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8188.21</v>
      </c>
      <c r="G193" s="38">
        <f>G184+SUM(G189:G192)</f>
        <v>26646</v>
      </c>
      <c r="H193" s="38">
        <f>+H184+SUM(H189:H192)</f>
        <v>0</v>
      </c>
      <c r="I193" s="38">
        <f>I178+I184+SUM(I189:I192)</f>
        <v>0</v>
      </c>
      <c r="J193" s="38">
        <f>J184</f>
        <v>60000</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9640182.1400000006</v>
      </c>
      <c r="G194" s="38">
        <f>G112+G140+G170+G193</f>
        <v>169606.76</v>
      </c>
      <c r="H194" s="38">
        <f>H112+H140+H170+H193</f>
        <v>290142.31</v>
      </c>
      <c r="I194" s="38">
        <f>I112+I140+I170+I193</f>
        <v>0</v>
      </c>
      <c r="J194" s="38">
        <f>J112+J140+J193</f>
        <v>75939.08</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f>2360573.57+12342.8+7448.61</f>
        <v>2380364.9799999995</v>
      </c>
      <c r="G198" s="18">
        <f>1137601.85+2354.7</f>
        <v>1139956.55</v>
      </c>
      <c r="H198" s="18">
        <f>39991.42+705.12+6613.6</f>
        <v>47310.14</v>
      </c>
      <c r="I198" s="18">
        <f>59393.23-1.67</f>
        <v>59391.560000000005</v>
      </c>
      <c r="J198" s="18">
        <v>3144.61</v>
      </c>
      <c r="K198" s="18">
        <v>574</v>
      </c>
      <c r="L198" s="13">
        <f>SUM(F198:K198)</f>
        <v>3630741.8399999994</v>
      </c>
      <c r="M198" s="8"/>
      <c r="N198" s="165"/>
    </row>
    <row r="199" spans="1:14" s="3" customFormat="1" ht="12.4" customHeight="1" x14ac:dyDescent="0.15">
      <c r="A199" s="1" t="s">
        <v>439</v>
      </c>
      <c r="B199" s="2" t="s">
        <v>341</v>
      </c>
      <c r="C199" s="2" t="s">
        <v>291</v>
      </c>
      <c r="D199" s="2" t="s">
        <v>431</v>
      </c>
      <c r="E199" s="6">
        <v>1200</v>
      </c>
      <c r="F199" s="18">
        <v>1368816.18</v>
      </c>
      <c r="G199" s="18">
        <v>541552.75</v>
      </c>
      <c r="H199" s="18">
        <v>351311.02</v>
      </c>
      <c r="I199" s="18">
        <v>1490.97</v>
      </c>
      <c r="J199" s="18"/>
      <c r="K199" s="18">
        <v>1105</v>
      </c>
      <c r="L199" s="13">
        <f>SUM(F199:K199)</f>
        <v>2264275.9200000004</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v>51451.51</v>
      </c>
      <c r="G201" s="18">
        <v>14751.15</v>
      </c>
      <c r="H201" s="18">
        <v>43953.31</v>
      </c>
      <c r="I201" s="18">
        <v>5201.8500000000004</v>
      </c>
      <c r="J201" s="18">
        <v>9038.23</v>
      </c>
      <c r="K201" s="18">
        <f>675+1750</f>
        <v>2425</v>
      </c>
      <c r="L201" s="13">
        <f>SUM(F201:K201)</f>
        <v>126821.05</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f>118936.85+75809+129461.6</f>
        <v>324207.45</v>
      </c>
      <c r="G203" s="18">
        <v>140756.35</v>
      </c>
      <c r="H203" s="18">
        <v>148</v>
      </c>
      <c r="I203" s="18">
        <v>1814.08</v>
      </c>
      <c r="J203" s="18"/>
      <c r="K203" s="18"/>
      <c r="L203" s="13">
        <f t="shared" ref="L203:L209" si="0">SUM(F203:K203)</f>
        <v>466925.88000000006</v>
      </c>
      <c r="M203" s="8"/>
      <c r="N203" s="165"/>
    </row>
    <row r="204" spans="1:14" s="3" customFormat="1" ht="12.4" customHeight="1" x14ac:dyDescent="0.15">
      <c r="A204" s="1" t="s">
        <v>443</v>
      </c>
      <c r="B204" s="2" t="s">
        <v>341</v>
      </c>
      <c r="C204" s="2" t="s">
        <v>295</v>
      </c>
      <c r="D204" s="2" t="s">
        <v>431</v>
      </c>
      <c r="E204" s="6">
        <v>2200</v>
      </c>
      <c r="F204" s="18">
        <f>99351+106468.61+98888.52</f>
        <v>304708.13</v>
      </c>
      <c r="G204" s="18">
        <f>20983.5+143472.01</f>
        <v>164455.51</v>
      </c>
      <c r="H204" s="18">
        <f>20846.73+2537.44</f>
        <v>23384.17</v>
      </c>
      <c r="I204" s="18">
        <f>1369.38+25134.82+87702.26</f>
        <v>114206.45999999999</v>
      </c>
      <c r="J204" s="18">
        <f>879.9+108345.97</f>
        <v>109225.87</v>
      </c>
      <c r="K204" s="18">
        <v>2100</v>
      </c>
      <c r="L204" s="13">
        <f t="shared" si="0"/>
        <v>718080.14</v>
      </c>
      <c r="M204" s="8"/>
      <c r="N204" s="165"/>
    </row>
    <row r="205" spans="1:14" s="3" customFormat="1" ht="12.4" customHeight="1" x14ac:dyDescent="0.15">
      <c r="A205" s="1" t="s">
        <v>444</v>
      </c>
      <c r="B205" s="2" t="s">
        <v>341</v>
      </c>
      <c r="C205" s="2" t="s">
        <v>296</v>
      </c>
      <c r="D205" s="2" t="s">
        <v>431</v>
      </c>
      <c r="E205" s="6">
        <v>2300</v>
      </c>
      <c r="F205" s="18">
        <v>13660</v>
      </c>
      <c r="G205" s="18">
        <v>1044.99</v>
      </c>
      <c r="H205" s="18">
        <f>12156.94+287542</f>
        <v>299698.94</v>
      </c>
      <c r="I205" s="18"/>
      <c r="J205" s="18"/>
      <c r="K205" s="18">
        <v>6578.42</v>
      </c>
      <c r="L205" s="13">
        <f t="shared" si="0"/>
        <v>320982.34999999998</v>
      </c>
      <c r="M205" s="8"/>
      <c r="N205" s="165"/>
    </row>
    <row r="206" spans="1:14" s="3" customFormat="1" ht="12.4" customHeight="1" x14ac:dyDescent="0.15">
      <c r="A206" s="1" t="s">
        <v>445</v>
      </c>
      <c r="B206" s="2" t="s">
        <v>341</v>
      </c>
      <c r="C206" s="2" t="s">
        <v>297</v>
      </c>
      <c r="D206" s="2" t="s">
        <v>431</v>
      </c>
      <c r="E206" s="6">
        <v>2400</v>
      </c>
      <c r="F206" s="18">
        <v>308951.26</v>
      </c>
      <c r="G206" s="18">
        <v>118951.76</v>
      </c>
      <c r="H206" s="18">
        <v>4403.32</v>
      </c>
      <c r="I206" s="18">
        <v>1986.14</v>
      </c>
      <c r="J206" s="18"/>
      <c r="K206" s="18">
        <v>888</v>
      </c>
      <c r="L206" s="13">
        <f t="shared" si="0"/>
        <v>435180.48000000004</v>
      </c>
      <c r="M206" s="8"/>
      <c r="N206" s="165"/>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4" customHeight="1" x14ac:dyDescent="0.15">
      <c r="A208" s="1" t="s">
        <v>447</v>
      </c>
      <c r="B208" s="2" t="s">
        <v>341</v>
      </c>
      <c r="C208" s="2" t="s">
        <v>299</v>
      </c>
      <c r="D208" s="2" t="s">
        <v>431</v>
      </c>
      <c r="E208" s="6">
        <v>2600</v>
      </c>
      <c r="F208" s="18">
        <v>241623.79</v>
      </c>
      <c r="G208" s="18">
        <v>97822.01</v>
      </c>
      <c r="H208" s="18">
        <f>162793.82+38026.19+1827.54</f>
        <v>202647.55000000002</v>
      </c>
      <c r="I208" s="18">
        <v>145720.37</v>
      </c>
      <c r="J208" s="18">
        <v>32322.48</v>
      </c>
      <c r="K208" s="18"/>
      <c r="L208" s="13">
        <f t="shared" si="0"/>
        <v>720136.2</v>
      </c>
      <c r="M208" s="8"/>
      <c r="N208" s="165"/>
    </row>
    <row r="209" spans="1:14" s="3" customFormat="1" ht="12.4" customHeight="1" x14ac:dyDescent="0.15">
      <c r="A209" s="1" t="s">
        <v>448</v>
      </c>
      <c r="B209" s="2" t="s">
        <v>341</v>
      </c>
      <c r="C209" s="2" t="s">
        <v>300</v>
      </c>
      <c r="D209" s="2" t="s">
        <v>431</v>
      </c>
      <c r="E209" s="6">
        <v>2700</v>
      </c>
      <c r="F209" s="18"/>
      <c r="G209" s="18"/>
      <c r="H209" s="18">
        <f>457429.7+81305.47+4325.79+5407.33</f>
        <v>548468.29</v>
      </c>
      <c r="I209" s="18"/>
      <c r="J209" s="18"/>
      <c r="K209" s="18"/>
      <c r="L209" s="13">
        <f t="shared" si="0"/>
        <v>548468.29</v>
      </c>
      <c r="M209" s="8"/>
      <c r="N209" s="165"/>
    </row>
    <row r="210" spans="1:14" s="3" customFormat="1" ht="12.4" customHeight="1" x14ac:dyDescent="0.15">
      <c r="A210" s="1" t="s">
        <v>449</v>
      </c>
      <c r="B210" s="2" t="s">
        <v>341</v>
      </c>
      <c r="C210" s="2" t="s">
        <v>343</v>
      </c>
      <c r="D210" s="2" t="s">
        <v>431</v>
      </c>
      <c r="E210" s="6">
        <v>2800</v>
      </c>
      <c r="F210" s="18"/>
      <c r="G210" s="18">
        <v>1999.92</v>
      </c>
      <c r="H210" s="18"/>
      <c r="I210" s="18"/>
      <c r="J210" s="18"/>
      <c r="K210" s="18">
        <v>833.8</v>
      </c>
      <c r="L210" s="13">
        <f>SUM(F210:K210)</f>
        <v>2833.7200000000003</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4993783.2999999989</v>
      </c>
      <c r="G212" s="38">
        <f t="shared" si="1"/>
        <v>2221290.9899999998</v>
      </c>
      <c r="H212" s="38">
        <f t="shared" si="1"/>
        <v>1521324.7400000002</v>
      </c>
      <c r="I212" s="38">
        <f t="shared" si="1"/>
        <v>329811.43</v>
      </c>
      <c r="J212" s="38">
        <f t="shared" si="1"/>
        <v>153731.19</v>
      </c>
      <c r="K212" s="38">
        <f t="shared" si="1"/>
        <v>14504.22</v>
      </c>
      <c r="L212" s="38">
        <f t="shared" si="1"/>
        <v>9234445.8699999992</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4"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4"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v>27485</v>
      </c>
      <c r="I256" s="18"/>
      <c r="J256" s="18"/>
      <c r="K256" s="18"/>
      <c r="L256" s="13">
        <f t="shared" si="6"/>
        <v>27485</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27485</v>
      </c>
      <c r="I257" s="38">
        <f t="shared" si="7"/>
        <v>0</v>
      </c>
      <c r="J257" s="38">
        <f t="shared" si="7"/>
        <v>0</v>
      </c>
      <c r="K257" s="38">
        <f t="shared" si="7"/>
        <v>0</v>
      </c>
      <c r="L257" s="38">
        <f>SUM(F257:K257)</f>
        <v>27485</v>
      </c>
      <c r="M257" s="8"/>
      <c r="N257" s="165"/>
    </row>
    <row r="258" spans="1:14" s="3" customFormat="1" ht="12.4" customHeight="1" thickTop="1" x14ac:dyDescent="0.15">
      <c r="A258" s="35" t="s">
        <v>462</v>
      </c>
      <c r="B258" s="37">
        <v>10</v>
      </c>
      <c r="C258" s="37">
        <v>8</v>
      </c>
      <c r="D258" s="36" t="s">
        <v>431</v>
      </c>
      <c r="E258" s="37"/>
      <c r="F258" s="38">
        <f t="shared" ref="F258:L258" si="8">F212+F230+F248+F257</f>
        <v>4993783.2999999989</v>
      </c>
      <c r="G258" s="38">
        <f t="shared" si="8"/>
        <v>2221290.9899999998</v>
      </c>
      <c r="H258" s="38">
        <f t="shared" si="8"/>
        <v>1548809.7400000002</v>
      </c>
      <c r="I258" s="38">
        <f t="shared" si="8"/>
        <v>329811.43</v>
      </c>
      <c r="J258" s="38">
        <f t="shared" si="8"/>
        <v>153731.19</v>
      </c>
      <c r="K258" s="38">
        <f t="shared" si="8"/>
        <v>14504.22</v>
      </c>
      <c r="L258" s="38">
        <f t="shared" si="8"/>
        <v>9261930.8699999992</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125000</v>
      </c>
      <c r="L261" s="13">
        <f>SUM(F261:K261)</f>
        <v>125000</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10333.25</v>
      </c>
      <c r="L262" s="13">
        <f>SUM(F262:K262)</f>
        <v>10333.25</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26646</v>
      </c>
      <c r="L264" s="13">
        <f>SUM(F264:K264)</f>
        <v>26646</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60000</v>
      </c>
      <c r="L267" s="13">
        <f t="shared" si="9"/>
        <v>60000</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221979.25</v>
      </c>
      <c r="L271" s="38">
        <f t="shared" si="9"/>
        <v>221979.25</v>
      </c>
      <c r="M271" s="8"/>
      <c r="N271" s="165"/>
    </row>
    <row r="272" spans="1:14" s="33" customFormat="1" ht="12.4" customHeight="1" thickTop="1" x14ac:dyDescent="0.2">
      <c r="A272" s="40" t="s">
        <v>464</v>
      </c>
      <c r="B272" s="37">
        <v>10</v>
      </c>
      <c r="C272" s="37">
        <v>18</v>
      </c>
      <c r="D272" s="36" t="s">
        <v>431</v>
      </c>
      <c r="E272" s="37"/>
      <c r="F272" s="39">
        <f t="shared" ref="F272:L272" si="11">F258+F271</f>
        <v>4993783.2999999989</v>
      </c>
      <c r="G272" s="39">
        <f t="shared" si="11"/>
        <v>2221290.9899999998</v>
      </c>
      <c r="H272" s="39">
        <f t="shared" si="11"/>
        <v>1548809.7400000002</v>
      </c>
      <c r="I272" s="39">
        <f t="shared" si="11"/>
        <v>329811.43</v>
      </c>
      <c r="J272" s="39">
        <f t="shared" si="11"/>
        <v>153731.19</v>
      </c>
      <c r="K272" s="39">
        <f t="shared" si="11"/>
        <v>236483.47</v>
      </c>
      <c r="L272" s="39">
        <f t="shared" si="11"/>
        <v>9483910.1199999992</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c r="G277" s="18"/>
      <c r="H277" s="18"/>
      <c r="I277" s="18">
        <v>26446.39</v>
      </c>
      <c r="J277" s="18"/>
      <c r="K277" s="18"/>
      <c r="L277" s="13">
        <f>SUM(F277:K277)</f>
        <v>26446.39</v>
      </c>
      <c r="M277" s="8"/>
      <c r="N277" s="165"/>
    </row>
    <row r="278" spans="1:14" s="3" customFormat="1" ht="12.4" customHeight="1" x14ac:dyDescent="0.15">
      <c r="A278" s="1" t="s">
        <v>439</v>
      </c>
      <c r="B278" s="2" t="s">
        <v>357</v>
      </c>
      <c r="C278" s="2" t="s">
        <v>291</v>
      </c>
      <c r="D278" s="2" t="s">
        <v>431</v>
      </c>
      <c r="E278" s="6">
        <v>1200</v>
      </c>
      <c r="F278" s="18"/>
      <c r="G278" s="18"/>
      <c r="H278" s="18">
        <v>90715.6</v>
      </c>
      <c r="I278" s="18">
        <v>32658.76</v>
      </c>
      <c r="J278" s="18"/>
      <c r="K278" s="18"/>
      <c r="L278" s="13">
        <f>SUM(F278:K278)</f>
        <v>123374.36</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v>12475</v>
      </c>
      <c r="G280" s="18">
        <v>3035.4</v>
      </c>
      <c r="H280" s="18">
        <v>2335</v>
      </c>
      <c r="I280" s="18">
        <v>6442.82</v>
      </c>
      <c r="J280" s="18">
        <v>3073.67</v>
      </c>
      <c r="K280" s="18"/>
      <c r="L280" s="13">
        <f>SUM(F280:K280)</f>
        <v>27361.89</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4" customHeight="1" x14ac:dyDescent="0.15">
      <c r="A283" s="1" t="s">
        <v>443</v>
      </c>
      <c r="B283" s="2" t="s">
        <v>357</v>
      </c>
      <c r="C283" s="2" t="s">
        <v>295</v>
      </c>
      <c r="D283" s="2" t="s">
        <v>431</v>
      </c>
      <c r="E283" s="6">
        <v>2200</v>
      </c>
      <c r="F283" s="18">
        <v>10000</v>
      </c>
      <c r="G283" s="18">
        <v>2779.55</v>
      </c>
      <c r="H283" s="18">
        <v>7712.3</v>
      </c>
      <c r="I283" s="18">
        <v>8202.52</v>
      </c>
      <c r="J283" s="18"/>
      <c r="K283" s="18"/>
      <c r="L283" s="13">
        <f t="shared" si="12"/>
        <v>28694.37</v>
      </c>
      <c r="M283" s="8"/>
      <c r="N283" s="165"/>
    </row>
    <row r="284" spans="1:14" s="3" customFormat="1" ht="12.4" customHeight="1" x14ac:dyDescent="0.15">
      <c r="A284" s="1" t="s">
        <v>444</v>
      </c>
      <c r="B284" s="2" t="s">
        <v>357</v>
      </c>
      <c r="C284" s="2" t="s">
        <v>296</v>
      </c>
      <c r="D284" s="2" t="s">
        <v>431</v>
      </c>
      <c r="E284" s="6">
        <v>2300</v>
      </c>
      <c r="F284" s="18"/>
      <c r="G284" s="18"/>
      <c r="H284" s="18"/>
      <c r="I284" s="18"/>
      <c r="J284" s="18"/>
      <c r="K284" s="18">
        <v>4322.71</v>
      </c>
      <c r="L284" s="13">
        <f t="shared" si="12"/>
        <v>4322.71</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c r="I287" s="18"/>
      <c r="J287" s="18">
        <v>54037.19</v>
      </c>
      <c r="K287" s="18"/>
      <c r="L287" s="13">
        <f t="shared" si="12"/>
        <v>54037.19</v>
      </c>
      <c r="M287" s="8"/>
      <c r="N287" s="165"/>
    </row>
    <row r="288" spans="1:14" s="3" customFormat="1" ht="12.4" customHeight="1" x14ac:dyDescent="0.15">
      <c r="A288" s="1" t="s">
        <v>448</v>
      </c>
      <c r="B288" s="2" t="s">
        <v>357</v>
      </c>
      <c r="C288" s="2" t="s">
        <v>300</v>
      </c>
      <c r="D288" s="2" t="s">
        <v>431</v>
      </c>
      <c r="E288" s="6">
        <v>2700</v>
      </c>
      <c r="F288" s="18"/>
      <c r="G288" s="18"/>
      <c r="H288" s="18">
        <v>3930.4</v>
      </c>
      <c r="I288" s="18"/>
      <c r="J288" s="18"/>
      <c r="K288" s="18"/>
      <c r="L288" s="13">
        <f t="shared" si="12"/>
        <v>3930.4</v>
      </c>
      <c r="M288" s="8"/>
      <c r="N288" s="165"/>
    </row>
    <row r="289" spans="1:14" s="3" customFormat="1" ht="12.4"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22475</v>
      </c>
      <c r="G291" s="39">
        <f t="shared" si="13"/>
        <v>5814.9500000000007</v>
      </c>
      <c r="H291" s="39">
        <f t="shared" si="13"/>
        <v>104693.3</v>
      </c>
      <c r="I291" s="39">
        <f t="shared" si="13"/>
        <v>73750.490000000005</v>
      </c>
      <c r="J291" s="39">
        <f t="shared" si="13"/>
        <v>57110.86</v>
      </c>
      <c r="K291" s="39">
        <f t="shared" si="13"/>
        <v>4322.71</v>
      </c>
      <c r="L291" s="38">
        <f t="shared" si="13"/>
        <v>268167.31000000006</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4" customHeight="1" thickBot="1" x14ac:dyDescent="0.2">
      <c r="A337" s="1" t="s">
        <v>584</v>
      </c>
      <c r="B337" s="6">
        <v>14</v>
      </c>
      <c r="C337" s="6">
        <v>5</v>
      </c>
      <c r="D337" s="2" t="s">
        <v>431</v>
      </c>
      <c r="E337" s="6">
        <v>4000</v>
      </c>
      <c r="F337" s="18"/>
      <c r="G337" s="18"/>
      <c r="H337" s="18"/>
      <c r="I337" s="18"/>
      <c r="J337" s="18">
        <v>21975</v>
      </c>
      <c r="K337" s="18"/>
      <c r="L337" s="13">
        <f t="shared" si="18"/>
        <v>21975</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21975</v>
      </c>
      <c r="K338" s="38">
        <f t="shared" si="19"/>
        <v>0</v>
      </c>
      <c r="L338" s="38">
        <f t="shared" si="18"/>
        <v>21975</v>
      </c>
      <c r="M338" s="8"/>
      <c r="N338" s="165"/>
    </row>
    <row r="339" spans="1:43" s="3" customFormat="1" ht="12.4" customHeight="1" thickTop="1" x14ac:dyDescent="0.15">
      <c r="A339" s="35" t="s">
        <v>468</v>
      </c>
      <c r="B339" s="37">
        <v>14</v>
      </c>
      <c r="C339" s="37">
        <v>7</v>
      </c>
      <c r="D339" s="36" t="s">
        <v>431</v>
      </c>
      <c r="E339" s="37"/>
      <c r="F339" s="38">
        <f t="shared" ref="F339:L339" si="20">F291+F310+F329+F338</f>
        <v>22475</v>
      </c>
      <c r="G339" s="38">
        <f t="shared" si="20"/>
        <v>5814.9500000000007</v>
      </c>
      <c r="H339" s="38">
        <f t="shared" si="20"/>
        <v>104693.3</v>
      </c>
      <c r="I339" s="38">
        <f t="shared" si="20"/>
        <v>73750.490000000005</v>
      </c>
      <c r="J339" s="38">
        <f t="shared" si="20"/>
        <v>79085.86</v>
      </c>
      <c r="K339" s="38">
        <f t="shared" si="20"/>
        <v>4322.71</v>
      </c>
      <c r="L339" s="38">
        <f t="shared" si="20"/>
        <v>290142.31000000006</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22475</v>
      </c>
      <c r="G353" s="38">
        <f>G339</f>
        <v>5814.9500000000007</v>
      </c>
      <c r="H353" s="38">
        <f>H339</f>
        <v>104693.3</v>
      </c>
      <c r="I353" s="38">
        <f>I339</f>
        <v>73750.490000000005</v>
      </c>
      <c r="J353" s="38">
        <f>J339</f>
        <v>79085.86</v>
      </c>
      <c r="K353" s="38">
        <f>K339+K352</f>
        <v>4322.71</v>
      </c>
      <c r="L353" s="38">
        <f>L339+L352</f>
        <v>290142.31000000006</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f>62332+33729.94</f>
        <v>96061.94</v>
      </c>
      <c r="G359" s="18"/>
      <c r="H359" s="18">
        <f>1468.66</f>
        <v>1468.66</v>
      </c>
      <c r="I359" s="18">
        <f>4554+51832.98+15860.46+3360.12</f>
        <v>75607.56</v>
      </c>
      <c r="J359" s="18">
        <v>8231.59</v>
      </c>
      <c r="K359" s="18">
        <f>942.93+0.39</f>
        <v>943.31999999999994</v>
      </c>
      <c r="L359" s="13">
        <f>SUM(F359:K359)</f>
        <v>182313.07</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96061.94</v>
      </c>
      <c r="G363" s="38">
        <f t="shared" si="22"/>
        <v>0</v>
      </c>
      <c r="H363" s="38">
        <f t="shared" si="22"/>
        <v>1468.66</v>
      </c>
      <c r="I363" s="38">
        <f t="shared" si="22"/>
        <v>75607.56</v>
      </c>
      <c r="J363" s="38">
        <f t="shared" si="22"/>
        <v>8231.59</v>
      </c>
      <c r="K363" s="38">
        <f t="shared" si="22"/>
        <v>943.31999999999994</v>
      </c>
      <c r="L363" s="38">
        <f t="shared" si="22"/>
        <v>182313.07</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f>51832.98+15860.46</f>
        <v>67693.440000000002</v>
      </c>
      <c r="G368" s="18"/>
      <c r="H368" s="18"/>
      <c r="I368" s="13">
        <f>SUM(F368:H368)</f>
        <v>67693.440000000002</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f>4554+3360.12</f>
        <v>7914.12</v>
      </c>
      <c r="G369" s="53"/>
      <c r="H369" s="53"/>
      <c r="I369" s="13">
        <f>SUM(F369:H369)</f>
        <v>7914.12</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75607.56</v>
      </c>
      <c r="G370" s="38">
        <f>SUM(G368:G369)</f>
        <v>0</v>
      </c>
      <c r="H370" s="38">
        <f>SUM(H368:H369)</f>
        <v>0</v>
      </c>
      <c r="I370" s="38">
        <f>SUM(I368:I369)</f>
        <v>75607.56</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c r="H396" s="18">
        <v>4216.03</v>
      </c>
      <c r="I396" s="18"/>
      <c r="J396" s="23" t="s">
        <v>288</v>
      </c>
      <c r="K396" s="23" t="s">
        <v>288</v>
      </c>
      <c r="L396" s="13">
        <f t="shared" ref="L396:L401" si="26">SUM(F396:K396)</f>
        <v>4216.03</v>
      </c>
      <c r="M396" s="8"/>
      <c r="N396" s="165"/>
    </row>
    <row r="397" spans="1:14" s="3" customFormat="1" ht="12.4" customHeight="1" x14ac:dyDescent="0.15">
      <c r="A397" s="62" t="s">
        <v>557</v>
      </c>
      <c r="B397" s="2" t="s">
        <v>381</v>
      </c>
      <c r="C397" s="6">
        <v>9</v>
      </c>
      <c r="D397" s="2" t="s">
        <v>432</v>
      </c>
      <c r="E397" s="6"/>
      <c r="F397" s="18"/>
      <c r="G397" s="18"/>
      <c r="H397" s="18">
        <v>2756.51</v>
      </c>
      <c r="I397" s="18"/>
      <c r="J397" s="23" t="s">
        <v>288</v>
      </c>
      <c r="K397" s="23" t="s">
        <v>288</v>
      </c>
      <c r="L397" s="13">
        <f t="shared" si="26"/>
        <v>2756.51</v>
      </c>
      <c r="M397" s="8"/>
      <c r="N397" s="165"/>
    </row>
    <row r="398" spans="1:14" s="3" customFormat="1" ht="12.4" customHeight="1" x14ac:dyDescent="0.15">
      <c r="A398" s="62" t="s">
        <v>515</v>
      </c>
      <c r="B398" s="2" t="s">
        <v>381</v>
      </c>
      <c r="C398" s="6">
        <v>10</v>
      </c>
      <c r="D398" s="2" t="s">
        <v>432</v>
      </c>
      <c r="E398" s="6"/>
      <c r="F398" s="18"/>
      <c r="G398" s="18">
        <v>60000</v>
      </c>
      <c r="H398" s="18">
        <v>8828.51</v>
      </c>
      <c r="I398" s="18"/>
      <c r="J398" s="23" t="s">
        <v>288</v>
      </c>
      <c r="K398" s="23" t="s">
        <v>288</v>
      </c>
      <c r="L398" s="13">
        <f t="shared" si="26"/>
        <v>68828.509999999995</v>
      </c>
      <c r="M398" s="8"/>
      <c r="N398" s="165"/>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4" customHeight="1" x14ac:dyDescent="0.15">
      <c r="A400" s="62" t="s">
        <v>559</v>
      </c>
      <c r="B400" s="2" t="s">
        <v>381</v>
      </c>
      <c r="C400" s="6">
        <v>12</v>
      </c>
      <c r="D400" s="2" t="s">
        <v>432</v>
      </c>
      <c r="E400" s="6"/>
      <c r="F400" s="18"/>
      <c r="G400" s="18"/>
      <c r="H400" s="18">
        <v>138.03</v>
      </c>
      <c r="I400" s="18"/>
      <c r="J400" s="23" t="s">
        <v>288</v>
      </c>
      <c r="K400" s="23" t="s">
        <v>288</v>
      </c>
      <c r="L400" s="13">
        <f t="shared" si="26"/>
        <v>138.03</v>
      </c>
      <c r="M400" s="8"/>
      <c r="N400" s="165"/>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60000</v>
      </c>
      <c r="H402" s="38">
        <f>SUM(H396:H401)</f>
        <v>15939.08</v>
      </c>
      <c r="I402" s="38">
        <f>SUM(I396:I401)</f>
        <v>0</v>
      </c>
      <c r="J402" s="42" t="s">
        <v>288</v>
      </c>
      <c r="K402" s="42" t="s">
        <v>288</v>
      </c>
      <c r="L402" s="38">
        <f>SUM(L396:L401)</f>
        <v>75939.079999999987</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60000</v>
      </c>
      <c r="H409" s="38">
        <f>H394+H402+H408</f>
        <v>15939.08</v>
      </c>
      <c r="I409" s="38">
        <f>I394+I402+I408</f>
        <v>0</v>
      </c>
      <c r="J409" s="23" t="s">
        <v>288</v>
      </c>
      <c r="K409" s="23" t="s">
        <v>288</v>
      </c>
      <c r="L409" s="38">
        <f>L394+L402+L408</f>
        <v>75939.079999999987</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v>8188.21</v>
      </c>
      <c r="K426" s="18"/>
      <c r="L426" s="13">
        <f t="shared" si="29"/>
        <v>8188.21</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8188.21</v>
      </c>
      <c r="K428" s="38">
        <f t="shared" si="30"/>
        <v>0</v>
      </c>
      <c r="L428" s="38">
        <f t="shared" si="30"/>
        <v>8188.21</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8188.21</v>
      </c>
      <c r="K435" s="38">
        <f t="shared" si="32"/>
        <v>0</v>
      </c>
      <c r="L435" s="38">
        <f t="shared" si="32"/>
        <v>8188.21</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v>769047.2</v>
      </c>
      <c r="H441" s="18"/>
      <c r="I441" s="13">
        <f t="shared" si="33"/>
        <v>769047.2</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0</v>
      </c>
      <c r="G447" s="13">
        <f>SUM(G440:G446)</f>
        <v>769047.2</v>
      </c>
      <c r="H447" s="13">
        <f>SUM(H440:H446)</f>
        <v>0</v>
      </c>
      <c r="I447" s="13">
        <f>SUM(I440:I446)</f>
        <v>769047.2</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c r="G460" s="18">
        <v>769047.2</v>
      </c>
      <c r="H460" s="18"/>
      <c r="I460" s="13">
        <f t="shared" si="34"/>
        <v>769047.2</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0</v>
      </c>
      <c r="G461" s="65">
        <f>SUM(G455:G460)</f>
        <v>769047.2</v>
      </c>
      <c r="H461" s="65">
        <f>SUM(H455:H460)</f>
        <v>0</v>
      </c>
      <c r="I461" s="65">
        <f>SUM(I455:I460)</f>
        <v>769047.2</v>
      </c>
      <c r="J461" s="23" t="s">
        <v>288</v>
      </c>
      <c r="K461" s="23" t="s">
        <v>288</v>
      </c>
      <c r="L461" s="23" t="s">
        <v>288</v>
      </c>
      <c r="N461" s="131"/>
    </row>
    <row r="462" spans="1:86" ht="12.4" customHeight="1" thickTop="1" x14ac:dyDescent="0.2">
      <c r="A462" s="40" t="s">
        <v>424</v>
      </c>
      <c r="B462" s="41">
        <v>18</v>
      </c>
      <c r="C462" s="64">
        <v>21</v>
      </c>
      <c r="D462" s="114" t="s">
        <v>432</v>
      </c>
      <c r="E462" s="64"/>
      <c r="F462" s="39">
        <f>F453+F461</f>
        <v>0</v>
      </c>
      <c r="G462" s="39">
        <f>G453+G461</f>
        <v>769047.2</v>
      </c>
      <c r="H462" s="39">
        <f>H453+H461</f>
        <v>0</v>
      </c>
      <c r="I462" s="39">
        <f>I453+I461</f>
        <v>769047.2</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292417.21000000002</v>
      </c>
      <c r="G466" s="18">
        <v>12706.31</v>
      </c>
      <c r="H466" s="18">
        <v>0</v>
      </c>
      <c r="I466" s="18"/>
      <c r="J466" s="18">
        <v>701296.33</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9640182.1400000006</v>
      </c>
      <c r="G469" s="18">
        <v>169606.76</v>
      </c>
      <c r="H469" s="18">
        <v>290142.31</v>
      </c>
      <c r="I469" s="18"/>
      <c r="J469" s="18">
        <v>75939.08</v>
      </c>
      <c r="K469" s="23" t="s">
        <v>288</v>
      </c>
      <c r="L469" s="23" t="s">
        <v>288</v>
      </c>
      <c r="N469" s="131"/>
    </row>
    <row r="470" spans="1:14" ht="12.4" customHeight="1" x14ac:dyDescent="0.2">
      <c r="A470" s="71" t="s">
        <v>611</v>
      </c>
      <c r="B470" s="22">
        <v>19</v>
      </c>
      <c r="C470" s="31">
        <v>3</v>
      </c>
      <c r="D470" s="2" t="s">
        <v>432</v>
      </c>
      <c r="E470" s="31"/>
      <c r="F470" s="18"/>
      <c r="G470" s="18"/>
      <c r="H470" s="18"/>
      <c r="I470" s="18"/>
      <c r="J470" s="18"/>
      <c r="K470" s="23" t="s">
        <v>288</v>
      </c>
      <c r="L470" s="23" t="s">
        <v>288</v>
      </c>
      <c r="N470" s="131"/>
    </row>
    <row r="471" spans="1:14" ht="12.4" customHeight="1" x14ac:dyDescent="0.2">
      <c r="A471" s="32" t="s">
        <v>425</v>
      </c>
      <c r="B471" s="22">
        <v>19</v>
      </c>
      <c r="C471" s="31">
        <v>4</v>
      </c>
      <c r="D471" s="2" t="s">
        <v>432</v>
      </c>
      <c r="E471" s="31"/>
      <c r="F471" s="19">
        <f>SUM(F469:F470)</f>
        <v>9640182.1400000006</v>
      </c>
      <c r="G471" s="19">
        <f>SUM(G469:G470)</f>
        <v>169606.76</v>
      </c>
      <c r="H471" s="19">
        <f>SUM(H469:H470)</f>
        <v>290142.31</v>
      </c>
      <c r="I471" s="19">
        <f>SUM(I469:I470)</f>
        <v>0</v>
      </c>
      <c r="J471" s="19">
        <f>SUM(J469:J470)</f>
        <v>75939.08</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f>9483911.78-1.66</f>
        <v>9483910.1199999992</v>
      </c>
      <c r="G473" s="18">
        <v>182313.07</v>
      </c>
      <c r="H473" s="18">
        <v>290142.31</v>
      </c>
      <c r="I473" s="18"/>
      <c r="J473" s="18">
        <v>8188.21</v>
      </c>
      <c r="K473" s="23" t="s">
        <v>288</v>
      </c>
      <c r="L473" s="23" t="s">
        <v>288</v>
      </c>
      <c r="N473" s="131"/>
    </row>
    <row r="474" spans="1:14" ht="12.4" customHeight="1" x14ac:dyDescent="0.2">
      <c r="A474" s="71" t="s">
        <v>613</v>
      </c>
      <c r="B474" s="22">
        <v>19</v>
      </c>
      <c r="C474" s="31">
        <v>6</v>
      </c>
      <c r="D474" s="2" t="s">
        <v>432</v>
      </c>
      <c r="E474" s="31"/>
      <c r="F474" s="18"/>
      <c r="G474" s="18"/>
      <c r="H474" s="18"/>
      <c r="I474" s="18"/>
      <c r="J474" s="18"/>
      <c r="K474" s="23" t="s">
        <v>288</v>
      </c>
      <c r="L474" s="23" t="s">
        <v>288</v>
      </c>
      <c r="N474" s="131"/>
    </row>
    <row r="475" spans="1:14" ht="12.4" customHeight="1" x14ac:dyDescent="0.2">
      <c r="A475" s="32" t="s">
        <v>426</v>
      </c>
      <c r="B475" s="22">
        <v>19</v>
      </c>
      <c r="C475" s="31">
        <v>7</v>
      </c>
      <c r="D475" s="2" t="s">
        <v>432</v>
      </c>
      <c r="E475" s="31"/>
      <c r="F475" s="19">
        <f>SUM(F473:F474)</f>
        <v>9483910.1199999992</v>
      </c>
      <c r="G475" s="19">
        <f>SUM(G473:G474)</f>
        <v>182313.07</v>
      </c>
      <c r="H475" s="19">
        <f>SUM(H473:H474)</f>
        <v>290142.31</v>
      </c>
      <c r="I475" s="19">
        <f>SUM(I473:I474)</f>
        <v>0</v>
      </c>
      <c r="J475" s="19">
        <f>SUM(J473:J474)</f>
        <v>8188.21</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448689.23000000231</v>
      </c>
      <c r="G477" s="19">
        <f>(G466+G471)- G475</f>
        <v>0</v>
      </c>
      <c r="H477" s="19">
        <f>(H466+H471)- H475</f>
        <v>0</v>
      </c>
      <c r="I477" s="19">
        <f>(I466+I471)- I475</f>
        <v>0</v>
      </c>
      <c r="J477" s="19">
        <f>(J466+J471)- J475</f>
        <v>769047.2</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2" t="s">
        <v>1812</v>
      </c>
      <c r="G491" s="111"/>
      <c r="H491" s="111"/>
      <c r="I491" s="111"/>
      <c r="J491" s="111"/>
      <c r="K491" s="23" t="s">
        <v>288</v>
      </c>
      <c r="L491" s="23" t="s">
        <v>288</v>
      </c>
      <c r="N491" s="131"/>
    </row>
    <row r="492" spans="1:14" ht="12.4" customHeight="1" x14ac:dyDescent="0.2">
      <c r="A492" s="21" t="s">
        <v>615</v>
      </c>
      <c r="B492" s="22">
        <v>20</v>
      </c>
      <c r="C492" s="22">
        <v>2</v>
      </c>
      <c r="D492" s="2" t="s">
        <v>432</v>
      </c>
      <c r="E492" s="22"/>
      <c r="F492" s="112" t="s">
        <v>1813</v>
      </c>
      <c r="G492" s="112"/>
      <c r="H492" s="111"/>
      <c r="I492" s="111"/>
      <c r="J492" s="111"/>
      <c r="K492" s="23" t="s">
        <v>288</v>
      </c>
      <c r="L492" s="23" t="s">
        <v>288</v>
      </c>
      <c r="N492" s="131"/>
    </row>
    <row r="493" spans="1:14" ht="12.4" customHeight="1" x14ac:dyDescent="0.2">
      <c r="A493" s="21" t="s">
        <v>616</v>
      </c>
      <c r="B493" s="22">
        <v>20</v>
      </c>
      <c r="C493" s="22">
        <v>3</v>
      </c>
      <c r="D493" s="2" t="s">
        <v>432</v>
      </c>
      <c r="E493" s="22"/>
      <c r="F493" s="112" t="s">
        <v>1814</v>
      </c>
      <c r="G493" s="112"/>
      <c r="H493" s="111"/>
      <c r="I493" s="111"/>
      <c r="J493" s="111"/>
      <c r="K493" s="23" t="s">
        <v>288</v>
      </c>
      <c r="L493" s="23" t="s">
        <v>288</v>
      </c>
      <c r="N493" s="131"/>
    </row>
    <row r="494" spans="1:14" ht="12.4" customHeight="1" x14ac:dyDescent="0.2">
      <c r="A494" s="21" t="s">
        <v>617</v>
      </c>
      <c r="B494" s="22">
        <v>20</v>
      </c>
      <c r="C494" s="22">
        <v>4</v>
      </c>
      <c r="D494" s="2" t="s">
        <v>432</v>
      </c>
      <c r="E494" s="22"/>
      <c r="F494" s="18">
        <v>1200000</v>
      </c>
      <c r="G494" s="18"/>
      <c r="H494" s="18"/>
      <c r="I494" s="18"/>
      <c r="J494" s="18"/>
      <c r="K494" s="23" t="s">
        <v>288</v>
      </c>
      <c r="L494" s="23" t="s">
        <v>288</v>
      </c>
      <c r="N494" s="131"/>
    </row>
    <row r="495" spans="1:14" ht="12.4" customHeight="1" x14ac:dyDescent="0.2">
      <c r="A495" s="21" t="s">
        <v>618</v>
      </c>
      <c r="B495" s="22">
        <v>20</v>
      </c>
      <c r="C495" s="22">
        <v>5</v>
      </c>
      <c r="D495" s="2" t="s">
        <v>432</v>
      </c>
      <c r="E495" s="22"/>
      <c r="F495" s="18">
        <v>2.61</v>
      </c>
      <c r="G495" s="18"/>
      <c r="H495" s="18"/>
      <c r="I495" s="18"/>
      <c r="J495" s="18"/>
      <c r="K495" s="23" t="s">
        <v>288</v>
      </c>
      <c r="L495" s="23" t="s">
        <v>288</v>
      </c>
      <c r="N495" s="131"/>
    </row>
    <row r="496" spans="1:14" ht="12.4" customHeight="1" x14ac:dyDescent="0.2">
      <c r="A496" s="21" t="s">
        <v>619</v>
      </c>
      <c r="B496" s="22">
        <v>20</v>
      </c>
      <c r="C496" s="22">
        <v>6</v>
      </c>
      <c r="D496" s="2" t="s">
        <v>432</v>
      </c>
      <c r="E496" s="22"/>
      <c r="F496" s="18">
        <v>255000</v>
      </c>
      <c r="G496" s="18"/>
      <c r="H496" s="18"/>
      <c r="I496" s="18"/>
      <c r="J496" s="18"/>
      <c r="K496" s="19">
        <f>SUM(F496:J496)</f>
        <v>255000</v>
      </c>
      <c r="L496" s="23" t="s">
        <v>288</v>
      </c>
      <c r="N496" s="131"/>
    </row>
    <row r="497" spans="1:14" ht="12.4"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v>135298.75</v>
      </c>
      <c r="G498" s="18"/>
      <c r="H498" s="18"/>
      <c r="I498" s="18"/>
      <c r="J498" s="18"/>
      <c r="K498" s="19">
        <f t="shared" si="35"/>
        <v>135298.75</v>
      </c>
      <c r="L498" s="23" t="s">
        <v>288</v>
      </c>
      <c r="N498" s="131"/>
    </row>
    <row r="499" spans="1:14" ht="12.4" customHeight="1" x14ac:dyDescent="0.2">
      <c r="A499" s="144" t="s">
        <v>622</v>
      </c>
      <c r="B499" s="145">
        <v>20</v>
      </c>
      <c r="C499" s="145">
        <v>9</v>
      </c>
      <c r="D499" s="146" t="s">
        <v>432</v>
      </c>
      <c r="E499" s="145"/>
      <c r="F499" s="147">
        <v>130000</v>
      </c>
      <c r="G499" s="147"/>
      <c r="H499" s="147"/>
      <c r="I499" s="147"/>
      <c r="J499" s="147"/>
      <c r="K499" s="148">
        <f t="shared" si="35"/>
        <v>130000</v>
      </c>
      <c r="L499" s="149" t="s">
        <v>288</v>
      </c>
      <c r="N499" s="131"/>
    </row>
    <row r="500" spans="1:14" ht="12.4" customHeight="1" thickBot="1" x14ac:dyDescent="0.25">
      <c r="A500" s="21" t="s">
        <v>623</v>
      </c>
      <c r="B500" s="22">
        <v>20</v>
      </c>
      <c r="C500" s="22">
        <v>10</v>
      </c>
      <c r="D500" s="2" t="s">
        <v>432</v>
      </c>
      <c r="E500" s="22"/>
      <c r="F500" s="18">
        <v>3477.5</v>
      </c>
      <c r="G500" s="18"/>
      <c r="H500" s="18"/>
      <c r="I500" s="18"/>
      <c r="J500" s="18"/>
      <c r="K500" s="19">
        <f t="shared" si="35"/>
        <v>3477.5</v>
      </c>
      <c r="L500" s="23" t="s">
        <v>288</v>
      </c>
      <c r="N500" s="131"/>
    </row>
    <row r="501" spans="1:14" ht="12.4" customHeight="1" thickTop="1" x14ac:dyDescent="0.2">
      <c r="A501" s="97" t="s">
        <v>624</v>
      </c>
      <c r="B501" s="41">
        <v>20</v>
      </c>
      <c r="C501" s="41">
        <v>11</v>
      </c>
      <c r="D501" s="36" t="s">
        <v>432</v>
      </c>
      <c r="E501" s="41"/>
      <c r="F501" s="39">
        <f>SUM(F499:F500)</f>
        <v>133477.5</v>
      </c>
      <c r="G501" s="39">
        <f>SUM(G499:G500)</f>
        <v>0</v>
      </c>
      <c r="H501" s="39">
        <f>SUM(H499:H500)</f>
        <v>0</v>
      </c>
      <c r="I501" s="39">
        <f>SUM(I499:I500)</f>
        <v>0</v>
      </c>
      <c r="J501" s="39">
        <f>SUM(J499:J500)</f>
        <v>0</v>
      </c>
      <c r="K501" s="39">
        <f t="shared" si="35"/>
        <v>133477.5</v>
      </c>
      <c r="L501" s="42" t="s">
        <v>288</v>
      </c>
      <c r="N501" s="131"/>
    </row>
    <row r="502" spans="1:14" ht="12.4" customHeight="1" x14ac:dyDescent="0.2">
      <c r="A502" s="144" t="s">
        <v>651</v>
      </c>
      <c r="B502" s="145">
        <v>20</v>
      </c>
      <c r="C502" s="145">
        <v>12</v>
      </c>
      <c r="D502" s="146" t="s">
        <v>432</v>
      </c>
      <c r="E502" s="145"/>
      <c r="F502" s="147">
        <v>130000</v>
      </c>
      <c r="G502" s="147"/>
      <c r="H502" s="147"/>
      <c r="I502" s="147"/>
      <c r="J502" s="147"/>
      <c r="K502" s="148">
        <f t="shared" si="35"/>
        <v>130000</v>
      </c>
      <c r="L502" s="149" t="s">
        <v>288</v>
      </c>
      <c r="N502" s="131"/>
    </row>
    <row r="503" spans="1:14" ht="12.4" customHeight="1" thickBot="1" x14ac:dyDescent="0.25">
      <c r="A503" s="21" t="s">
        <v>625</v>
      </c>
      <c r="B503" s="22">
        <v>20</v>
      </c>
      <c r="C503" s="22">
        <v>13</v>
      </c>
      <c r="D503" s="2" t="s">
        <v>432</v>
      </c>
      <c r="E503" s="22"/>
      <c r="F503" s="18">
        <v>3477.5</v>
      </c>
      <c r="G503" s="18"/>
      <c r="H503" s="18"/>
      <c r="I503" s="18"/>
      <c r="J503" s="18"/>
      <c r="K503" s="19">
        <f t="shared" si="35"/>
        <v>3477.5</v>
      </c>
      <c r="L503" s="23" t="s">
        <v>288</v>
      </c>
      <c r="N503" s="131"/>
    </row>
    <row r="504" spans="1:14" ht="12.4" customHeight="1" thickTop="1" x14ac:dyDescent="0.2">
      <c r="A504" s="97" t="s">
        <v>626</v>
      </c>
      <c r="B504" s="41">
        <v>20</v>
      </c>
      <c r="C504" s="41">
        <v>14</v>
      </c>
      <c r="D504" s="36" t="s">
        <v>432</v>
      </c>
      <c r="E504" s="41"/>
      <c r="F504" s="39">
        <f>SUM(F502:F503)</f>
        <v>133477.5</v>
      </c>
      <c r="G504" s="39">
        <f>SUM(G502:G503)</f>
        <v>0</v>
      </c>
      <c r="H504" s="39">
        <f>SUM(H502:H503)</f>
        <v>0</v>
      </c>
      <c r="I504" s="39">
        <f>SUM(I502:I503)</f>
        <v>0</v>
      </c>
      <c r="J504" s="39">
        <f>SUM(J502:J503)</f>
        <v>0</v>
      </c>
      <c r="K504" s="39">
        <f t="shared" si="35"/>
        <v>133477.5</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649075.85+474770.27</f>
        <v>1123846.1200000001</v>
      </c>
      <c r="G522" s="18">
        <f>323344.84+97052.38</f>
        <v>420397.22000000003</v>
      </c>
      <c r="H522" s="18">
        <f>351311.02+90715.6</f>
        <v>442026.62</v>
      </c>
      <c r="I522" s="18">
        <f>1490.97+32658.76</f>
        <v>34149.729999999996</v>
      </c>
      <c r="J522" s="18"/>
      <c r="K522" s="18"/>
      <c r="L522" s="69">
        <f>SUM(F522:K522)</f>
        <v>2020419.69</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4" customHeight="1" thickTop="1" x14ac:dyDescent="0.2">
      <c r="A525" s="97" t="s">
        <v>63</v>
      </c>
      <c r="B525" s="41">
        <v>21</v>
      </c>
      <c r="C525" s="41">
        <v>4</v>
      </c>
      <c r="D525" s="115" t="s">
        <v>432</v>
      </c>
      <c r="E525" s="41"/>
      <c r="F525" s="81">
        <f>SUM(F522:F524)</f>
        <v>1123846.1200000001</v>
      </c>
      <c r="G525" s="81">
        <f t="shared" ref="G525:L525" si="36">SUM(G522:G524)</f>
        <v>420397.22000000003</v>
      </c>
      <c r="H525" s="81">
        <f t="shared" si="36"/>
        <v>442026.62</v>
      </c>
      <c r="I525" s="81">
        <f t="shared" si="36"/>
        <v>34149.729999999996</v>
      </c>
      <c r="J525" s="81">
        <f t="shared" si="36"/>
        <v>0</v>
      </c>
      <c r="K525" s="81">
        <f t="shared" si="36"/>
        <v>0</v>
      </c>
      <c r="L525" s="70">
        <f t="shared" si="36"/>
        <v>2020419.69</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f>146890.84+129461.6</f>
        <v>276352.44</v>
      </c>
      <c r="G527" s="18">
        <f>88087.35+63581</f>
        <v>151668.35</v>
      </c>
      <c r="H527" s="18"/>
      <c r="I527" s="18"/>
      <c r="J527" s="18"/>
      <c r="K527" s="18"/>
      <c r="L527" s="69">
        <f>SUM(F527:K527)</f>
        <v>428020.79000000004</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4" customHeight="1" thickTop="1" x14ac:dyDescent="0.15">
      <c r="A530" s="97" t="s">
        <v>65</v>
      </c>
      <c r="B530" s="41">
        <v>21</v>
      </c>
      <c r="C530" s="41">
        <v>8</v>
      </c>
      <c r="D530" s="115" t="s">
        <v>432</v>
      </c>
      <c r="E530" s="41"/>
      <c r="F530" s="70">
        <f>SUM(F527:F529)</f>
        <v>276352.44</v>
      </c>
      <c r="G530" s="70">
        <f t="shared" ref="G530:L530" si="37">SUM(G527:G529)</f>
        <v>151668.35</v>
      </c>
      <c r="H530" s="70">
        <f t="shared" si="37"/>
        <v>0</v>
      </c>
      <c r="I530" s="70">
        <f t="shared" si="37"/>
        <v>0</v>
      </c>
      <c r="J530" s="70">
        <f t="shared" si="37"/>
        <v>0</v>
      </c>
      <c r="K530" s="70">
        <f t="shared" si="37"/>
        <v>0</v>
      </c>
      <c r="L530" s="70">
        <f t="shared" si="37"/>
        <v>428020.79000000004</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f>43353.64+54725.58</f>
        <v>98079.22</v>
      </c>
      <c r="G532" s="18">
        <f>18038.4+15029.78</f>
        <v>33068.18</v>
      </c>
      <c r="H532" s="18"/>
      <c r="I532" s="18"/>
      <c r="J532" s="18"/>
      <c r="K532" s="18">
        <v>1105</v>
      </c>
      <c r="L532" s="69">
        <f>SUM(F532:K532)</f>
        <v>132252.4</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4" customHeight="1" thickTop="1" x14ac:dyDescent="0.15">
      <c r="A535" s="97" t="s">
        <v>67</v>
      </c>
      <c r="B535" s="41">
        <v>21</v>
      </c>
      <c r="C535" s="41">
        <v>12</v>
      </c>
      <c r="D535" s="115" t="s">
        <v>432</v>
      </c>
      <c r="E535" s="41"/>
      <c r="F535" s="70">
        <f>SUM(F532:F534)</f>
        <v>98079.22</v>
      </c>
      <c r="G535" s="70">
        <f t="shared" ref="G535:L535" si="38">SUM(G532:G534)</f>
        <v>33068.18</v>
      </c>
      <c r="H535" s="70">
        <f t="shared" si="38"/>
        <v>0</v>
      </c>
      <c r="I535" s="70">
        <f t="shared" si="38"/>
        <v>0</v>
      </c>
      <c r="J535" s="70">
        <f t="shared" si="38"/>
        <v>0</v>
      </c>
      <c r="K535" s="70">
        <f t="shared" si="38"/>
        <v>1105</v>
      </c>
      <c r="L535" s="70">
        <f t="shared" si="38"/>
        <v>132252.4</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f>81305.47+3930.4</f>
        <v>85235.87</v>
      </c>
      <c r="I542" s="18"/>
      <c r="J542" s="18"/>
      <c r="K542" s="18"/>
      <c r="L542" s="69">
        <f>SUM(F542:K542)</f>
        <v>85235.87</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0">SUM(G542:G544)</f>
        <v>0</v>
      </c>
      <c r="H545" s="141">
        <f t="shared" si="40"/>
        <v>85235.87</v>
      </c>
      <c r="I545" s="141">
        <f t="shared" si="40"/>
        <v>0</v>
      </c>
      <c r="J545" s="141">
        <f t="shared" si="40"/>
        <v>0</v>
      </c>
      <c r="K545" s="141">
        <f t="shared" si="40"/>
        <v>0</v>
      </c>
      <c r="L545" s="141">
        <f t="shared" si="40"/>
        <v>85235.87</v>
      </c>
      <c r="M545" s="8"/>
      <c r="N545" s="165"/>
    </row>
    <row r="546" spans="1:14" s="3" customFormat="1" ht="12.4" customHeight="1" thickTop="1" x14ac:dyDescent="0.15">
      <c r="A546" s="75" t="s">
        <v>72</v>
      </c>
      <c r="B546" s="41">
        <v>21</v>
      </c>
      <c r="C546" s="41">
        <v>21</v>
      </c>
      <c r="D546" s="115" t="s">
        <v>432</v>
      </c>
      <c r="E546" s="41"/>
      <c r="F546" s="70">
        <f>F525+F530+F535+F540+F545</f>
        <v>1498277.78</v>
      </c>
      <c r="G546" s="70">
        <f t="shared" ref="G546:L546" si="41">G525+G530+G535+G540+G545</f>
        <v>605133.75000000012</v>
      </c>
      <c r="H546" s="70">
        <f t="shared" si="41"/>
        <v>527262.49</v>
      </c>
      <c r="I546" s="70">
        <f t="shared" si="41"/>
        <v>34149.729999999996</v>
      </c>
      <c r="J546" s="70">
        <f t="shared" si="41"/>
        <v>0</v>
      </c>
      <c r="K546" s="70">
        <f t="shared" si="41"/>
        <v>1105</v>
      </c>
      <c r="L546" s="70">
        <f t="shared" si="41"/>
        <v>2665928.75</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2020419.69</v>
      </c>
      <c r="G550" s="69">
        <f>L527</f>
        <v>428020.79000000004</v>
      </c>
      <c r="H550" s="69">
        <f>L532</f>
        <v>132252.4</v>
      </c>
      <c r="I550" s="69">
        <f>L537</f>
        <v>0</v>
      </c>
      <c r="J550" s="69">
        <f>L542</f>
        <v>85235.87</v>
      </c>
      <c r="K550" s="69">
        <f>SUM(F550:J550)</f>
        <v>2665928.75</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4" customHeight="1" thickTop="1" x14ac:dyDescent="0.15">
      <c r="A553" s="126" t="s">
        <v>340</v>
      </c>
      <c r="B553" s="41">
        <v>21</v>
      </c>
      <c r="C553" s="41">
        <v>25</v>
      </c>
      <c r="D553" s="36" t="s">
        <v>432</v>
      </c>
      <c r="E553" s="41"/>
      <c r="F553" s="70">
        <f t="shared" ref="F553:K553" si="42">SUM(F550:F552)</f>
        <v>2020419.69</v>
      </c>
      <c r="G553" s="70">
        <f t="shared" si="42"/>
        <v>428020.79000000004</v>
      </c>
      <c r="H553" s="70">
        <f t="shared" si="42"/>
        <v>132252.4</v>
      </c>
      <c r="I553" s="70">
        <f t="shared" si="42"/>
        <v>0</v>
      </c>
      <c r="J553" s="70">
        <f t="shared" si="42"/>
        <v>85235.87</v>
      </c>
      <c r="K553" s="70">
        <f t="shared" si="42"/>
        <v>2665928.75</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v>93477.9</v>
      </c>
      <c r="G580" s="18"/>
      <c r="H580" s="18"/>
      <c r="I580" s="69">
        <f t="shared" si="47"/>
        <v>93477.9</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v>80116.990000000005</v>
      </c>
      <c r="G583" s="18"/>
      <c r="H583" s="18"/>
      <c r="I583" s="69">
        <f t="shared" si="47"/>
        <v>80116.990000000005</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v>457429.7</v>
      </c>
      <c r="I592" s="18"/>
      <c r="J592" s="18"/>
      <c r="K592" s="80">
        <f t="shared" ref="K592:K598" si="48">SUM(H592:J592)</f>
        <v>457429.7</v>
      </c>
      <c r="L592" s="23" t="s">
        <v>288</v>
      </c>
      <c r="M592" s="8"/>
      <c r="N592" s="165"/>
    </row>
    <row r="593" spans="1:14" s="3" customFormat="1" ht="12.4" customHeight="1" x14ac:dyDescent="0.15">
      <c r="A593" s="3" t="s">
        <v>638</v>
      </c>
      <c r="B593" s="22">
        <v>23</v>
      </c>
      <c r="C593" s="22">
        <v>2</v>
      </c>
      <c r="D593" s="2" t="s">
        <v>432</v>
      </c>
      <c r="E593" s="22"/>
      <c r="F593" s="78">
        <v>2722</v>
      </c>
      <c r="G593" s="79" t="s">
        <v>97</v>
      </c>
      <c r="H593" s="18">
        <v>81305.47</v>
      </c>
      <c r="I593" s="18"/>
      <c r="J593" s="18"/>
      <c r="K593" s="80">
        <f t="shared" si="48"/>
        <v>81305.47</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4" customHeight="1" x14ac:dyDescent="0.15">
      <c r="A595" s="21" t="s">
        <v>640</v>
      </c>
      <c r="B595" s="22">
        <v>23</v>
      </c>
      <c r="C595" s="22">
        <v>4</v>
      </c>
      <c r="D595" s="2" t="s">
        <v>432</v>
      </c>
      <c r="E595" s="22"/>
      <c r="F595" s="78">
        <v>2724</v>
      </c>
      <c r="G595" s="79" t="s">
        <v>97</v>
      </c>
      <c r="H595" s="18">
        <v>4325.79</v>
      </c>
      <c r="I595" s="18"/>
      <c r="J595" s="18"/>
      <c r="K595" s="80">
        <f t="shared" si="48"/>
        <v>4325.79</v>
      </c>
      <c r="L595" s="23" t="s">
        <v>288</v>
      </c>
      <c r="M595" s="8"/>
      <c r="N595" s="165"/>
    </row>
    <row r="596" spans="1:14" s="3" customFormat="1" ht="12.4" customHeight="1" x14ac:dyDescent="0.15">
      <c r="A596" s="103" t="s">
        <v>652</v>
      </c>
      <c r="B596" s="22">
        <v>23</v>
      </c>
      <c r="C596" s="22">
        <v>5</v>
      </c>
      <c r="D596" s="2" t="s">
        <v>432</v>
      </c>
      <c r="E596" s="22"/>
      <c r="F596" s="78">
        <v>2725</v>
      </c>
      <c r="G596" s="79" t="s">
        <v>97</v>
      </c>
      <c r="H596" s="18">
        <v>5407.33</v>
      </c>
      <c r="I596" s="18"/>
      <c r="J596" s="18"/>
      <c r="K596" s="80">
        <f t="shared" si="48"/>
        <v>5407.33</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548468.29</v>
      </c>
      <c r="I599" s="81">
        <f>SUM(I592:I598)</f>
        <v>0</v>
      </c>
      <c r="J599" s="81">
        <f>SUM(J592:J598)</f>
        <v>0</v>
      </c>
      <c r="K599" s="81">
        <f>SUM(K592:K598)</f>
        <v>548468.29</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f>27037.19+5759</f>
        <v>32796.19</v>
      </c>
      <c r="I604" s="18"/>
      <c r="J604" s="18"/>
      <c r="K604" s="80">
        <f>SUM(H604:J604)</f>
        <v>32796.19</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f>3073.67+27000+147972.19</f>
        <v>178045.86</v>
      </c>
      <c r="I605" s="18"/>
      <c r="J605" s="18"/>
      <c r="K605" s="80">
        <f>SUM(H605:J605)</f>
        <v>178045.86</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210842.05</v>
      </c>
      <c r="I606" s="81">
        <f>SUM(I603:I605)</f>
        <v>0</v>
      </c>
      <c r="J606" s="81">
        <f>SUM(J603:J605)</f>
        <v>0</v>
      </c>
      <c r="K606" s="81">
        <f>SUM(K603:K605)</f>
        <v>210842.05</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4"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491778.64999999997</v>
      </c>
      <c r="H618" s="80">
        <f>SUM(F52)</f>
        <v>491778.64999999997</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5587.1</v>
      </c>
      <c r="H619" s="80">
        <f>SUM(G52)</f>
        <v>5587.1</v>
      </c>
      <c r="I619" s="87" t="s">
        <v>875</v>
      </c>
      <c r="J619" s="80">
        <f>G619-H619</f>
        <v>0</v>
      </c>
      <c r="K619" s="80"/>
      <c r="L619" s="80"/>
      <c r="M619" s="8"/>
    </row>
    <row r="620" spans="1:14" s="3" customFormat="1" ht="12.4" customHeight="1" x14ac:dyDescent="0.15">
      <c r="A620" s="74"/>
      <c r="B620" s="22"/>
      <c r="C620" s="22"/>
      <c r="D620" s="22"/>
      <c r="E620" s="22"/>
      <c r="F620" s="87" t="s">
        <v>685</v>
      </c>
      <c r="G620" s="80">
        <f>SUM(H19)</f>
        <v>81649.570000000007</v>
      </c>
      <c r="H620" s="80">
        <f>SUM(H52)</f>
        <v>81649.570000000007</v>
      </c>
      <c r="I620" s="87" t="s">
        <v>876</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4" customHeight="1" x14ac:dyDescent="0.15">
      <c r="A622" s="74"/>
      <c r="B622" s="22"/>
      <c r="C622" s="22"/>
      <c r="D622" s="22"/>
      <c r="E622" s="22"/>
      <c r="F622" s="87" t="s">
        <v>687</v>
      </c>
      <c r="G622" s="80">
        <f>SUM(J19)</f>
        <v>769047.2</v>
      </c>
      <c r="H622" s="80">
        <f>SUM(J52)</f>
        <v>769047.2</v>
      </c>
      <c r="I622" s="87" t="s">
        <v>878</v>
      </c>
      <c r="J622" s="80">
        <f>G622-H622</f>
        <v>0</v>
      </c>
      <c r="K622" s="80"/>
      <c r="L622" s="80"/>
      <c r="M622" s="8"/>
    </row>
    <row r="623" spans="1:14" s="3" customFormat="1" ht="12.4" customHeight="1" x14ac:dyDescent="0.15">
      <c r="A623" s="74"/>
      <c r="B623" s="22"/>
      <c r="C623" s="22"/>
      <c r="D623" s="22"/>
      <c r="E623" s="22"/>
      <c r="F623" s="87" t="s">
        <v>864</v>
      </c>
      <c r="G623" s="80">
        <f>F51</f>
        <v>448689.23</v>
      </c>
      <c r="H623" s="80">
        <f>F477</f>
        <v>448689.23000000231</v>
      </c>
      <c r="I623" s="87" t="s">
        <v>101</v>
      </c>
      <c r="J623" s="80">
        <f t="shared" ref="J623:J656" si="50">G623-H623</f>
        <v>-2.3283064365386963E-9</v>
      </c>
      <c r="K623" s="80"/>
      <c r="L623" s="80"/>
      <c r="M623" s="8"/>
    </row>
    <row r="624" spans="1:14" s="3" customFormat="1" ht="12.4"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4"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4"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4" customHeight="1" x14ac:dyDescent="0.15">
      <c r="A627" s="21"/>
      <c r="B627" s="22"/>
      <c r="C627" s="22"/>
      <c r="D627" s="22"/>
      <c r="E627" s="22"/>
      <c r="F627" s="86" t="s">
        <v>868</v>
      </c>
      <c r="G627" s="80">
        <f>J51</f>
        <v>769047.2</v>
      </c>
      <c r="H627" s="80">
        <f>J477</f>
        <v>769047.2</v>
      </c>
      <c r="I627" s="87" t="s">
        <v>105</v>
      </c>
      <c r="J627" s="80">
        <f t="shared" si="50"/>
        <v>0</v>
      </c>
      <c r="K627" s="67"/>
      <c r="L627" s="69"/>
      <c r="M627" s="8"/>
    </row>
    <row r="628" spans="1:13" s="3" customFormat="1" ht="12.4" customHeight="1" x14ac:dyDescent="0.15">
      <c r="A628" s="21"/>
      <c r="B628" s="22"/>
      <c r="C628" s="22"/>
      <c r="D628" s="22"/>
      <c r="E628" s="22"/>
      <c r="F628" s="86" t="s">
        <v>658</v>
      </c>
      <c r="G628" s="80">
        <f>F194</f>
        <v>9640182.1400000006</v>
      </c>
      <c r="H628" s="80">
        <f>SUM(F469)</f>
        <v>9640182.1400000006</v>
      </c>
      <c r="I628" s="87" t="s">
        <v>106</v>
      </c>
      <c r="J628" s="80">
        <f>G628-H628</f>
        <v>0</v>
      </c>
      <c r="K628" s="67"/>
      <c r="L628" s="69"/>
      <c r="M628" s="8"/>
    </row>
    <row r="629" spans="1:13" s="3" customFormat="1" ht="12.4" customHeight="1" x14ac:dyDescent="0.15">
      <c r="A629" s="21"/>
      <c r="B629" s="22"/>
      <c r="C629" s="22"/>
      <c r="D629" s="22"/>
      <c r="E629" s="22"/>
      <c r="F629" s="86" t="s">
        <v>659</v>
      </c>
      <c r="G629" s="80">
        <f>G194</f>
        <v>169606.76</v>
      </c>
      <c r="H629" s="80">
        <f>SUM(G469)</f>
        <v>169606.76</v>
      </c>
      <c r="I629" s="87" t="s">
        <v>107</v>
      </c>
      <c r="J629" s="80">
        <f>G629-H629</f>
        <v>0</v>
      </c>
      <c r="K629" s="67"/>
      <c r="L629" s="69"/>
      <c r="M629" s="8"/>
    </row>
    <row r="630" spans="1:13" s="3" customFormat="1" ht="12.4" customHeight="1" x14ac:dyDescent="0.15">
      <c r="A630" s="21"/>
      <c r="B630" s="22"/>
      <c r="C630" s="22"/>
      <c r="D630" s="22"/>
      <c r="E630" s="22"/>
      <c r="F630" s="86" t="s">
        <v>660</v>
      </c>
      <c r="G630" s="80">
        <f>H194</f>
        <v>290142.31</v>
      </c>
      <c r="H630" s="80">
        <f>SUM(H469)</f>
        <v>290142.31</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75939.08</v>
      </c>
      <c r="H632" s="80">
        <f>SUM(J469)</f>
        <v>75939.08</v>
      </c>
      <c r="I632" s="87" t="s">
        <v>110</v>
      </c>
      <c r="J632" s="80">
        <f>G632-H632</f>
        <v>0</v>
      </c>
      <c r="K632" s="67"/>
      <c r="L632" s="69"/>
      <c r="M632" s="8"/>
    </row>
    <row r="633" spans="1:13" s="3" customFormat="1" ht="12.4" customHeight="1" x14ac:dyDescent="0.15">
      <c r="A633" s="21"/>
      <c r="B633" s="22"/>
      <c r="C633" s="22"/>
      <c r="D633" s="22"/>
      <c r="E633" s="22"/>
      <c r="F633" s="86" t="s">
        <v>394</v>
      </c>
      <c r="G633" s="80">
        <f>SUM(L272)</f>
        <v>9483910.1199999992</v>
      </c>
      <c r="H633" s="80">
        <f>SUM(F473)</f>
        <v>9483910.1199999992</v>
      </c>
      <c r="I633" s="87" t="s">
        <v>111</v>
      </c>
      <c r="J633" s="80">
        <f t="shared" si="50"/>
        <v>0</v>
      </c>
      <c r="K633" s="67"/>
      <c r="L633" s="69"/>
      <c r="M633" s="8"/>
    </row>
    <row r="634" spans="1:13" s="3" customFormat="1" ht="12.4" customHeight="1" x14ac:dyDescent="0.15">
      <c r="A634" s="21"/>
      <c r="B634" s="22"/>
      <c r="C634" s="22"/>
      <c r="D634" s="22"/>
      <c r="E634" s="22"/>
      <c r="F634" s="86" t="s">
        <v>395</v>
      </c>
      <c r="G634" s="80">
        <f>SUM(L353)</f>
        <v>290142.31000000006</v>
      </c>
      <c r="H634" s="80">
        <f>SUM(H473)</f>
        <v>290142.31</v>
      </c>
      <c r="I634" s="87" t="s">
        <v>112</v>
      </c>
      <c r="J634" s="80">
        <f>G634-H634</f>
        <v>0</v>
      </c>
      <c r="K634" s="67"/>
      <c r="L634" s="69"/>
      <c r="M634" s="8"/>
    </row>
    <row r="635" spans="1:13" s="124" customFormat="1" ht="12.4" customHeight="1" x14ac:dyDescent="0.15">
      <c r="A635" s="21"/>
      <c r="B635" s="22"/>
      <c r="C635" s="22"/>
      <c r="D635" s="22"/>
      <c r="E635" s="22"/>
      <c r="F635" s="99" t="s">
        <v>247</v>
      </c>
      <c r="G635" s="80">
        <f>I363</f>
        <v>75607.56</v>
      </c>
      <c r="H635" s="80">
        <f>I370</f>
        <v>75607.56</v>
      </c>
      <c r="I635" s="100" t="s">
        <v>248</v>
      </c>
      <c r="J635" s="80">
        <f>G635-H635</f>
        <v>0</v>
      </c>
      <c r="K635" s="67"/>
      <c r="L635" s="69"/>
      <c r="M635" s="123"/>
    </row>
    <row r="636" spans="1:13" s="124" customFormat="1" ht="12.4" customHeight="1" x14ac:dyDescent="0.15">
      <c r="A636" s="21"/>
      <c r="B636" s="22"/>
      <c r="C636" s="22"/>
      <c r="D636" s="22"/>
      <c r="E636" s="22"/>
      <c r="F636" s="86" t="s">
        <v>113</v>
      </c>
      <c r="G636" s="80">
        <f>SUM(L363)</f>
        <v>182313.07</v>
      </c>
      <c r="H636" s="80">
        <f>SUM(G473)</f>
        <v>182313.07</v>
      </c>
      <c r="I636" s="87" t="s">
        <v>114</v>
      </c>
      <c r="J636" s="80">
        <f t="shared" si="50"/>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4" customHeight="1" x14ac:dyDescent="0.15">
      <c r="A638" s="117"/>
      <c r="B638" s="118"/>
      <c r="C638" s="118"/>
      <c r="D638" s="118"/>
      <c r="E638" s="118"/>
      <c r="F638" s="119" t="s">
        <v>477</v>
      </c>
      <c r="G638" s="108">
        <f>SUM(L409)</f>
        <v>75939.079999999987</v>
      </c>
      <c r="H638" s="108">
        <f>SUM(J469)</f>
        <v>75939.08</v>
      </c>
      <c r="I638" s="120" t="s">
        <v>110</v>
      </c>
      <c r="J638" s="108">
        <f t="shared" si="50"/>
        <v>0</v>
      </c>
      <c r="K638" s="121"/>
      <c r="L638" s="122"/>
      <c r="M638" s="8"/>
    </row>
    <row r="639" spans="1:13" s="3" customFormat="1" ht="12.4" customHeight="1" x14ac:dyDescent="0.15">
      <c r="A639" s="117"/>
      <c r="B639" s="118"/>
      <c r="C639" s="118"/>
      <c r="D639" s="118"/>
      <c r="E639" s="118"/>
      <c r="F639" s="119" t="s">
        <v>478</v>
      </c>
      <c r="G639" s="108">
        <f>SUM(L435)</f>
        <v>8188.21</v>
      </c>
      <c r="H639" s="108">
        <f>SUM(J473)</f>
        <v>8188.21</v>
      </c>
      <c r="I639" s="120" t="s">
        <v>117</v>
      </c>
      <c r="J639" s="108">
        <f t="shared" si="50"/>
        <v>0</v>
      </c>
      <c r="K639" s="121"/>
      <c r="L639" s="122"/>
      <c r="M639" s="8"/>
    </row>
    <row r="640" spans="1:13" s="3" customFormat="1" ht="12.4"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4" customHeight="1" x14ac:dyDescent="0.15">
      <c r="A641" s="21"/>
      <c r="B641" s="22"/>
      <c r="C641" s="22"/>
      <c r="D641" s="22"/>
      <c r="E641" s="22"/>
      <c r="F641" s="86" t="s">
        <v>119</v>
      </c>
      <c r="G641" s="80">
        <f>SUM(G447)</f>
        <v>769047.2</v>
      </c>
      <c r="H641" s="80">
        <f>SUM(G462)</f>
        <v>769047.2</v>
      </c>
      <c r="I641" s="87" t="s">
        <v>841</v>
      </c>
      <c r="J641" s="80">
        <f t="shared" si="50"/>
        <v>0</v>
      </c>
      <c r="K641" s="67"/>
      <c r="L641" s="69"/>
      <c r="M641" s="8"/>
    </row>
    <row r="642" spans="1:13" s="3" customFormat="1" ht="12.4"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4" customHeight="1" x14ac:dyDescent="0.15">
      <c r="A643" s="21"/>
      <c r="B643" s="22"/>
      <c r="C643" s="22"/>
      <c r="D643" s="22"/>
      <c r="E643" s="22"/>
      <c r="F643" s="86" t="s">
        <v>121</v>
      </c>
      <c r="G643" s="80">
        <f>SUM(I447)</f>
        <v>769047.2</v>
      </c>
      <c r="H643" s="80">
        <f>SUM(I462)</f>
        <v>769047.2</v>
      </c>
      <c r="I643" s="87" t="s">
        <v>843</v>
      </c>
      <c r="J643" s="80">
        <f t="shared" si="50"/>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4" customHeight="1" x14ac:dyDescent="0.15">
      <c r="A645" s="21"/>
      <c r="B645" s="22"/>
      <c r="C645" s="22"/>
      <c r="D645" s="22"/>
      <c r="E645" s="22"/>
      <c r="F645" s="86" t="s">
        <v>663</v>
      </c>
      <c r="G645" s="80">
        <f>J96</f>
        <v>15939.08</v>
      </c>
      <c r="H645" s="80">
        <f>H409</f>
        <v>15939.08</v>
      </c>
      <c r="I645" s="87" t="s">
        <v>480</v>
      </c>
      <c r="J645" s="80">
        <f t="shared" si="50"/>
        <v>0</v>
      </c>
      <c r="K645" s="67"/>
      <c r="L645" s="69"/>
      <c r="M645" s="8"/>
    </row>
    <row r="646" spans="1:13" s="3" customFormat="1" ht="12.4" customHeight="1" x14ac:dyDescent="0.15">
      <c r="A646" s="21"/>
      <c r="B646" s="22"/>
      <c r="C646" s="22"/>
      <c r="D646" s="22"/>
      <c r="E646" s="22"/>
      <c r="F646" s="86" t="s">
        <v>664</v>
      </c>
      <c r="G646" s="80">
        <f>J184</f>
        <v>60000</v>
      </c>
      <c r="H646" s="80">
        <f>G409</f>
        <v>60000</v>
      </c>
      <c r="I646" s="87" t="s">
        <v>481</v>
      </c>
      <c r="J646" s="80">
        <f t="shared" si="50"/>
        <v>0</v>
      </c>
      <c r="K646" s="67"/>
      <c r="L646" s="69"/>
      <c r="M646" s="8"/>
    </row>
    <row r="647" spans="1:13" s="3" customFormat="1" ht="12.4" customHeight="1" x14ac:dyDescent="0.15">
      <c r="A647" s="21"/>
      <c r="B647" s="22"/>
      <c r="C647" s="22"/>
      <c r="D647" s="22"/>
      <c r="E647" s="22"/>
      <c r="F647" s="86" t="s">
        <v>662</v>
      </c>
      <c r="G647" s="80">
        <f>J194</f>
        <v>75939.08</v>
      </c>
      <c r="H647" s="80">
        <f>L409</f>
        <v>75939.079999999987</v>
      </c>
      <c r="I647" s="87" t="s">
        <v>477</v>
      </c>
      <c r="J647" s="80">
        <f t="shared" si="50"/>
        <v>0</v>
      </c>
      <c r="K647" s="67"/>
      <c r="L647" s="69"/>
      <c r="M647" s="8"/>
    </row>
    <row r="648" spans="1:13" s="3" customFormat="1" ht="12.4" customHeight="1" x14ac:dyDescent="0.15">
      <c r="A648" s="21"/>
      <c r="B648" s="22"/>
      <c r="C648" s="22"/>
      <c r="D648" s="22"/>
      <c r="E648" s="22"/>
      <c r="F648" s="86" t="s">
        <v>51</v>
      </c>
      <c r="G648" s="80">
        <f>K599</f>
        <v>548468.29</v>
      </c>
      <c r="H648" s="80">
        <f>L209+L227+L245</f>
        <v>548468.29</v>
      </c>
      <c r="I648" s="87" t="s">
        <v>396</v>
      </c>
      <c r="J648" s="80">
        <f t="shared" si="50"/>
        <v>0</v>
      </c>
      <c r="K648" s="67"/>
      <c r="L648" s="69"/>
      <c r="M648" s="8"/>
    </row>
    <row r="649" spans="1:13" s="3" customFormat="1" ht="12.4" customHeight="1" x14ac:dyDescent="0.15">
      <c r="A649" s="21"/>
      <c r="B649" s="22"/>
      <c r="C649" s="22"/>
      <c r="D649" s="22"/>
      <c r="E649" s="22"/>
      <c r="F649" s="86" t="s">
        <v>52</v>
      </c>
      <c r="G649" s="80">
        <f>K606</f>
        <v>210842.05</v>
      </c>
      <c r="H649" s="80">
        <f>(J258+J339)-(J256+J337)</f>
        <v>210842.05</v>
      </c>
      <c r="I649" s="87" t="s">
        <v>699</v>
      </c>
      <c r="J649" s="80">
        <f t="shared" si="50"/>
        <v>0</v>
      </c>
      <c r="K649" s="67"/>
      <c r="L649" s="69"/>
      <c r="M649" s="8"/>
    </row>
    <row r="650" spans="1:13" s="3" customFormat="1" ht="12.4" customHeight="1" x14ac:dyDescent="0.15">
      <c r="A650" s="21"/>
      <c r="B650" s="22"/>
      <c r="C650" s="22"/>
      <c r="D650" s="22"/>
      <c r="E650" s="22"/>
      <c r="F650" s="86" t="s">
        <v>387</v>
      </c>
      <c r="G650" s="80">
        <f>L209</f>
        <v>548468.29</v>
      </c>
      <c r="H650" s="80">
        <f>H599</f>
        <v>548468.29</v>
      </c>
      <c r="I650" s="87" t="s">
        <v>388</v>
      </c>
      <c r="J650" s="80">
        <f t="shared" si="50"/>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4"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4" customHeight="1" x14ac:dyDescent="0.15">
      <c r="A653" s="21"/>
      <c r="B653" s="22"/>
      <c r="C653" s="22"/>
      <c r="D653" s="22"/>
      <c r="E653" s="22"/>
      <c r="F653" s="86" t="s">
        <v>665</v>
      </c>
      <c r="G653" s="80">
        <f>G180+G182</f>
        <v>26646</v>
      </c>
      <c r="H653" s="80">
        <f>K264+K346</f>
        <v>26646</v>
      </c>
      <c r="I653" s="87" t="s">
        <v>397</v>
      </c>
      <c r="J653" s="80">
        <f t="shared" si="50"/>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4" customHeight="1" x14ac:dyDescent="0.15">
      <c r="A656" s="21"/>
      <c r="B656" s="22"/>
      <c r="C656" s="22"/>
      <c r="D656" s="22"/>
      <c r="E656" s="22"/>
      <c r="F656" s="86" t="s">
        <v>668</v>
      </c>
      <c r="G656" s="80">
        <f>J180+J182</f>
        <v>60000</v>
      </c>
      <c r="H656" s="80">
        <f>K267+K348</f>
        <v>60000</v>
      </c>
      <c r="I656" s="87" t="s">
        <v>400</v>
      </c>
      <c r="J656" s="80">
        <f t="shared" si="50"/>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9684926.25</v>
      </c>
      <c r="G661" s="13">
        <f>(L230+L310+L360)</f>
        <v>0</v>
      </c>
      <c r="H661" s="13">
        <f>(L248+L329+L361)</f>
        <v>0</v>
      </c>
      <c r="I661" s="13">
        <f>SUM(F661:H661)</f>
        <v>9684926.25</v>
      </c>
      <c r="J661" s="13"/>
      <c r="K661" s="13"/>
      <c r="L661" s="13"/>
      <c r="M661" s="9"/>
    </row>
    <row r="662" spans="1:13" s="3" customFormat="1" ht="12.4" customHeight="1" x14ac:dyDescent="0.2">
      <c r="A662" s="1" t="s">
        <v>127</v>
      </c>
      <c r="F662" s="13">
        <f>(L359/IF(SUM(L359:L361)=0,1,SUM(L359:L361))*(SUM(G97:G110)))</f>
        <v>86559.679999999993</v>
      </c>
      <c r="G662" s="13">
        <f>(L360/IF(SUM(L359:L361)=0,1,SUM(L359:L361))*(SUM(G97:G110)))</f>
        <v>0</v>
      </c>
      <c r="H662" s="13">
        <f>(L361/IF(SUM(L359:L361)=0,1,SUM(L359:L361))*(SUM(G97:G110)))</f>
        <v>0</v>
      </c>
      <c r="I662" s="13">
        <f>SUM(F662:H662)</f>
        <v>86559.679999999993</v>
      </c>
      <c r="J662"/>
      <c r="K662" s="13"/>
      <c r="L662" s="13"/>
      <c r="M662" s="8"/>
    </row>
    <row r="663" spans="1:13" s="3" customFormat="1" ht="12.4" customHeight="1" x14ac:dyDescent="0.2">
      <c r="A663" s="1" t="s">
        <v>128</v>
      </c>
      <c r="F663" s="13">
        <f>(L209+L288)-(J209+J288)</f>
        <v>552398.69000000006</v>
      </c>
      <c r="G663" s="13">
        <f>(L227+L307)-(J227+J307)</f>
        <v>0</v>
      </c>
      <c r="H663" s="13">
        <f>(L245+L326)-(J245+J326)</f>
        <v>0</v>
      </c>
      <c r="I663" s="13">
        <f>SUM(F663:H663)</f>
        <v>552398.69000000006</v>
      </c>
      <c r="J663"/>
      <c r="K663" s="13"/>
      <c r="L663" s="13"/>
      <c r="M663" s="9"/>
    </row>
    <row r="664" spans="1:13" s="3" customFormat="1" ht="12.4" customHeight="1" x14ac:dyDescent="0.15">
      <c r="A664" s="142" t="s">
        <v>129</v>
      </c>
      <c r="B664" s="124"/>
      <c r="C664" s="124"/>
      <c r="D664" s="124"/>
      <c r="E664" s="124"/>
      <c r="F664" s="143">
        <f>SUM(F576:F588)+SUM(H603:H605)+SUM(L612)</f>
        <v>384436.94</v>
      </c>
      <c r="G664" s="143">
        <f>SUM(G576:G588)+SUM(I603:I605)+L613</f>
        <v>0</v>
      </c>
      <c r="H664" s="143">
        <f>SUM(H576:H588)+SUM(J603:J605)+L614</f>
        <v>0</v>
      </c>
      <c r="I664" s="13">
        <f>SUM(F664:H664)</f>
        <v>384436.94</v>
      </c>
      <c r="J664" s="13"/>
      <c r="K664" s="13"/>
      <c r="L664" s="13"/>
      <c r="M664" s="9"/>
    </row>
    <row r="665" spans="1:13" s="3" customFormat="1" ht="12.4" customHeight="1" x14ac:dyDescent="0.15">
      <c r="A665" s="1" t="s">
        <v>130</v>
      </c>
      <c r="F665" s="13">
        <f>F661-SUM(F662:F664)</f>
        <v>8661530.9399999995</v>
      </c>
      <c r="G665" s="13">
        <f>G661-SUM(G662:G664)</f>
        <v>0</v>
      </c>
      <c r="H665" s="13">
        <f>H661-SUM(H662:H664)</f>
        <v>0</v>
      </c>
      <c r="I665" s="13">
        <f>I661-SUM(I662:I664)</f>
        <v>8661530.9399999995</v>
      </c>
      <c r="J665" s="13"/>
      <c r="K665" s="13"/>
      <c r="L665" s="13"/>
      <c r="M665" s="8"/>
    </row>
    <row r="666" spans="1:13" s="3" customFormat="1" ht="12.4" customHeight="1" x14ac:dyDescent="0.2">
      <c r="A666" s="1" t="s">
        <v>131</v>
      </c>
      <c r="F666" s="183">
        <v>295.49</v>
      </c>
      <c r="G666" s="184"/>
      <c r="H666" s="184"/>
      <c r="I666" s="13">
        <f>SUM(F666:H666)</f>
        <v>295.49</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29312.43</v>
      </c>
      <c r="G668" s="13" t="e">
        <f>ROUND(G665/G666,2)</f>
        <v>#DIV/0!</v>
      </c>
      <c r="H668" s="13" t="e">
        <f>ROUND(H665/H666,2)</f>
        <v>#DIV/0!</v>
      </c>
      <c r="I668" s="13">
        <f>ROUND(I665/I666,2)</f>
        <v>29312.43</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29312.43</v>
      </c>
      <c r="G673" s="13" t="e">
        <f>ROUND((G665+G670)/(G666+G671),2)</f>
        <v>#DIV/0!</v>
      </c>
      <c r="H673" s="13" t="e">
        <f>ROUND((H665+H670)/(H666+H671),2)</f>
        <v>#DIV/0!</v>
      </c>
      <c r="I673" s="13">
        <f>ROUND((I665+I670)/(I666+I671),2)</f>
        <v>29312.43</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36484.18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2213.9+8302.98+11040.16</f>
        <v>21557.040000000001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3125.92+6125.55+5675.67</f>
        <v>14927.140000000001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9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North Hampton</v>
      </c>
      <c r="C5" s="317"/>
      <c r="D5" s="317"/>
      <c r="E5" s="317"/>
      <c r="F5" s="317"/>
    </row>
    <row r="8" spans="1:9" ht="18" x14ac:dyDescent="0.25">
      <c r="A8" s="240" t="s">
        <v>1560</v>
      </c>
      <c r="F8" s="247" t="s">
        <v>1578</v>
      </c>
    </row>
    <row r="9" spans="1:9" ht="15" x14ac:dyDescent="0.2">
      <c r="A9" s="238" t="s">
        <v>1561</v>
      </c>
      <c r="B9" s="241">
        <f>'DOE25'!G97</f>
        <v>86559.679999999993</v>
      </c>
      <c r="F9" s="238" t="s">
        <v>1574</v>
      </c>
    </row>
    <row r="10" spans="1:9" ht="15" x14ac:dyDescent="0.2">
      <c r="A10" s="238" t="s">
        <v>1562</v>
      </c>
      <c r="B10" s="241">
        <f>'DOE25'!G112-'DOE25'!G97</f>
        <v>0</v>
      </c>
      <c r="F10" s="238" t="s">
        <v>1575</v>
      </c>
    </row>
    <row r="11" spans="1:9" ht="15" x14ac:dyDescent="0.2">
      <c r="A11" s="238" t="s">
        <v>1563</v>
      </c>
      <c r="B11" s="241">
        <f>'DOE25'!G140</f>
        <v>1822.6</v>
      </c>
      <c r="F11" s="238" t="s">
        <v>1576</v>
      </c>
    </row>
    <row r="12" spans="1:9" ht="15" x14ac:dyDescent="0.2">
      <c r="A12" s="238" t="s">
        <v>1564</v>
      </c>
      <c r="B12" s="241">
        <f>'DOE25'!G170</f>
        <v>54578.479999999996</v>
      </c>
      <c r="F12" s="238" t="s">
        <v>1577</v>
      </c>
    </row>
    <row r="13" spans="1:9" ht="15" x14ac:dyDescent="0.2">
      <c r="A13" s="238" t="s">
        <v>1565</v>
      </c>
      <c r="B13" s="241">
        <f>'DOE25'!G193-'DOE25'!G180</f>
        <v>0</v>
      </c>
      <c r="F13" s="238" t="s">
        <v>1587</v>
      </c>
    </row>
    <row r="14" spans="1:9" ht="18" x14ac:dyDescent="0.25">
      <c r="A14" s="240" t="s">
        <v>732</v>
      </c>
      <c r="B14" s="242">
        <f>SUM(B9:B13)</f>
        <v>142960.76</v>
      </c>
    </row>
    <row r="16" spans="1:9" ht="18" x14ac:dyDescent="0.25">
      <c r="A16" s="240" t="s">
        <v>786</v>
      </c>
      <c r="F16" s="247" t="s">
        <v>1579</v>
      </c>
    </row>
    <row r="17" spans="1:6" ht="15" x14ac:dyDescent="0.2">
      <c r="A17" s="238" t="s">
        <v>1566</v>
      </c>
      <c r="B17" s="241">
        <f>'DOE25'!L363-'DOE25'!L362</f>
        <v>182313.07</v>
      </c>
      <c r="F17" s="238" t="s">
        <v>1580</v>
      </c>
    </row>
    <row r="18" spans="1:6" ht="15" x14ac:dyDescent="0.2">
      <c r="A18" s="238" t="s">
        <v>1567</v>
      </c>
      <c r="B18" s="251">
        <v>0</v>
      </c>
      <c r="F18" s="247" t="s">
        <v>1604</v>
      </c>
    </row>
    <row r="19" spans="1:6" ht="18" x14ac:dyDescent="0.25">
      <c r="A19" s="240" t="s">
        <v>725</v>
      </c>
      <c r="B19" s="242">
        <f>SUM(B17:B18)</f>
        <v>182313.07</v>
      </c>
    </row>
    <row r="21" spans="1:6" ht="18.75" thickBot="1" x14ac:dyDescent="0.3">
      <c r="A21" s="240" t="s">
        <v>1568</v>
      </c>
    </row>
    <row r="22" spans="1:6" ht="18.75" thickTop="1" x14ac:dyDescent="0.25">
      <c r="A22" s="240" t="s">
        <v>1569</v>
      </c>
      <c r="B22" s="246">
        <f>B14-B19</f>
        <v>-39352.31</v>
      </c>
      <c r="F22" s="238" t="s">
        <v>1581</v>
      </c>
    </row>
    <row r="26" spans="1:6" ht="18" x14ac:dyDescent="0.25">
      <c r="A26" s="240" t="s">
        <v>186</v>
      </c>
    </row>
    <row r="27" spans="1:6" ht="15" x14ac:dyDescent="0.2">
      <c r="A27" s="238" t="s">
        <v>1570</v>
      </c>
      <c r="B27" s="241">
        <f>'DOE25'!G180</f>
        <v>26646</v>
      </c>
      <c r="F27" s="238" t="s">
        <v>1582</v>
      </c>
    </row>
    <row r="28" spans="1:6" ht="15" x14ac:dyDescent="0.2">
      <c r="A28" s="238" t="s">
        <v>1572</v>
      </c>
      <c r="B28" s="241">
        <f>'DOE25'!L362</f>
        <v>0</v>
      </c>
      <c r="F28" s="238" t="s">
        <v>1583</v>
      </c>
    </row>
    <row r="31" spans="1:6" ht="15" x14ac:dyDescent="0.2">
      <c r="A31" s="238" t="s">
        <v>1797</v>
      </c>
      <c r="B31" s="241">
        <f>'DOE25'!G466</f>
        <v>12706.31</v>
      </c>
      <c r="F31" s="238" t="s">
        <v>1584</v>
      </c>
    </row>
    <row r="33" spans="1:6" ht="15" x14ac:dyDescent="0.2">
      <c r="A33" s="238" t="s">
        <v>1798</v>
      </c>
      <c r="B33" s="241">
        <f>'DOE25'!G477</f>
        <v>0</v>
      </c>
      <c r="F33" s="238" t="s">
        <v>1585</v>
      </c>
    </row>
    <row r="36" spans="1:6" ht="15" x14ac:dyDescent="0.2">
      <c r="A36" s="238" t="s">
        <v>1571</v>
      </c>
      <c r="B36" s="252">
        <v>15860.46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North Hampton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2380364.9799999995</v>
      </c>
      <c r="C9" s="167">
        <f>'DOE25'!G198+'DOE25'!G216+'DOE25'!G234+'DOE25'!G277+'DOE25'!G296+'DOE25'!G315</f>
        <v>1139956.55</v>
      </c>
    </row>
    <row r="10" spans="1:3" x14ac:dyDescent="0.2">
      <c r="A10" t="s">
        <v>775</v>
      </c>
      <c r="B10" s="177">
        <f>2248876.68+12342.8+7448.61</f>
        <v>2268668.09</v>
      </c>
      <c r="C10" s="177">
        <f>1128514.77+2354.7</f>
        <v>1130869.47</v>
      </c>
    </row>
    <row r="11" spans="1:3" x14ac:dyDescent="0.2">
      <c r="A11" t="s">
        <v>776</v>
      </c>
      <c r="B11" s="177">
        <f>51632.01+15885</f>
        <v>67517.010000000009</v>
      </c>
      <c r="C11" s="177">
        <f>4428.58+1278.74</f>
        <v>5707.32</v>
      </c>
    </row>
    <row r="12" spans="1:3" x14ac:dyDescent="0.2">
      <c r="A12" t="s">
        <v>777</v>
      </c>
      <c r="B12" s="177">
        <v>44179.88</v>
      </c>
      <c r="C12" s="177">
        <v>3379.76</v>
      </c>
    </row>
    <row r="13" spans="1:3" x14ac:dyDescent="0.2">
      <c r="A13" t="str">
        <f>IF(B9=B13,IF(C9=C13,"Check Total OK","Check Total Error"),"Check Total Error")</f>
        <v>Check Total OK</v>
      </c>
      <c r="B13" s="169">
        <f>SUM(B10:B12)</f>
        <v>2380364.9799999995</v>
      </c>
      <c r="C13" s="169">
        <f>SUM(C10:C12)</f>
        <v>1139956.55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1368816.18</v>
      </c>
      <c r="C18" s="167">
        <f>'DOE25'!G199+'DOE25'!G217+'DOE25'!G235+'DOE25'!G278+'DOE25'!G297+'DOE25'!G316</f>
        <v>541552.75</v>
      </c>
    </row>
    <row r="19" spans="1:3" x14ac:dyDescent="0.2">
      <c r="A19" t="s">
        <v>775</v>
      </c>
      <c r="B19" s="177">
        <v>649075.85</v>
      </c>
      <c r="C19" s="177">
        <v>323344.84000000003</v>
      </c>
    </row>
    <row r="20" spans="1:3" x14ac:dyDescent="0.2">
      <c r="A20" t="s">
        <v>776</v>
      </c>
      <c r="B20" s="177">
        <v>474770.27</v>
      </c>
      <c r="C20" s="177">
        <v>97052.38</v>
      </c>
    </row>
    <row r="21" spans="1:3" x14ac:dyDescent="0.2">
      <c r="A21" t="s">
        <v>777</v>
      </c>
      <c r="B21" s="177">
        <f>43353.64+146890.84+54725.58</f>
        <v>244970.06</v>
      </c>
      <c r="C21" s="177">
        <f>18038.4+88087.35+15029.78</f>
        <v>121155.53</v>
      </c>
    </row>
    <row r="22" spans="1:3" x14ac:dyDescent="0.2">
      <c r="A22" t="str">
        <f>IF(B18=B22,IF(C18=C22,"Check Total OK","Check Total Error"),"Check Total Error")</f>
        <v>Check Total OK</v>
      </c>
      <c r="B22" s="169">
        <f>SUM(B19:B21)</f>
        <v>1368816.1800000002</v>
      </c>
      <c r="C22" s="169">
        <f>SUM(C19:C21)</f>
        <v>541552.75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63926.51</v>
      </c>
      <c r="C36" s="173">
        <f>'DOE25'!G201+'DOE25'!G219+'DOE25'!G237+'DOE25'!G280+'DOE25'!G299+'DOE25'!G318</f>
        <v>17786.55</v>
      </c>
    </row>
    <row r="37" spans="1:3" x14ac:dyDescent="0.2">
      <c r="A37" t="s">
        <v>775</v>
      </c>
      <c r="B37" s="177">
        <v>10100</v>
      </c>
      <c r="C37" s="177">
        <v>2853.71</v>
      </c>
    </row>
    <row r="38" spans="1:3" x14ac:dyDescent="0.2">
      <c r="A38" t="s">
        <v>776</v>
      </c>
      <c r="B38" s="177"/>
      <c r="C38" s="177"/>
    </row>
    <row r="39" spans="1:3" x14ac:dyDescent="0.2">
      <c r="A39" t="s">
        <v>777</v>
      </c>
      <c r="B39" s="177">
        <f>2375+51451.51</f>
        <v>53826.51</v>
      </c>
      <c r="C39" s="177">
        <f>181.69+14751.15</f>
        <v>14932.84</v>
      </c>
    </row>
    <row r="40" spans="1:3" x14ac:dyDescent="0.2">
      <c r="A40" t="str">
        <f>IF(B36=B40,IF(C36=C40,"Check Total OK","Check Total Error"),"Check Total Error")</f>
        <v>Check Total OK</v>
      </c>
      <c r="B40" s="169">
        <f>SUM(B37:B39)</f>
        <v>63926.51</v>
      </c>
      <c r="C40" s="169">
        <f>SUM(C37:C39)</f>
        <v>17786.55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North Hampton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6021838.8099999996</v>
      </c>
      <c r="D5" s="19">
        <f>SUM('DOE25'!L198:L201)+SUM('DOE25'!L216:L219)+SUM('DOE25'!L234:L237)-F5-G5-H5</f>
        <v>6005551.9699999997</v>
      </c>
      <c r="E5" s="180"/>
      <c r="F5" s="181"/>
      <c r="G5" s="19">
        <f>SUM('DOE25'!J198:J201)+SUM('DOE25'!J216:J219)+SUM('DOE25'!J234:J237)</f>
        <v>12182.84</v>
      </c>
      <c r="H5" s="19">
        <f>SUM('DOE25'!K198:K201)+SUM('DOE25'!K216:K219)+SUM('DOE25'!K234:K237)</f>
        <v>4104</v>
      </c>
      <c r="I5" s="192"/>
    </row>
    <row r="6" spans="1:9" x14ac:dyDescent="0.2">
      <c r="A6" s="31">
        <v>2100</v>
      </c>
      <c r="B6" t="s">
        <v>796</v>
      </c>
      <c r="C6" s="206">
        <f t="shared" si="0"/>
        <v>466925.88000000006</v>
      </c>
      <c r="D6" s="19">
        <f>'DOE25'!L203+'DOE25'!L221+'DOE25'!L239-F6-G6-H6</f>
        <v>466925.88000000006</v>
      </c>
      <c r="E6" s="180"/>
      <c r="F6" s="181"/>
      <c r="G6" s="19">
        <f>'DOE25'!J203+'DOE25'!J221+'DOE25'!J239</f>
        <v>0</v>
      </c>
      <c r="H6" s="19">
        <f>'DOE25'!K203+'DOE25'!K221+'DOE25'!K239</f>
        <v>0</v>
      </c>
      <c r="I6" s="192"/>
    </row>
    <row r="7" spans="1:9" x14ac:dyDescent="0.2">
      <c r="A7" s="31">
        <v>2200</v>
      </c>
      <c r="B7" t="s">
        <v>820</v>
      </c>
      <c r="C7" s="206">
        <f t="shared" si="0"/>
        <v>718080.14</v>
      </c>
      <c r="D7" s="19">
        <f>'DOE25'!L204+'DOE25'!L222+'DOE25'!L240-F7-G7-H7</f>
        <v>606754.27</v>
      </c>
      <c r="E7" s="180"/>
      <c r="F7" s="181"/>
      <c r="G7" s="19">
        <f>'DOE25'!J204+'DOE25'!J222+'DOE25'!J240</f>
        <v>109225.87</v>
      </c>
      <c r="H7" s="19">
        <f>'DOE25'!K204+'DOE25'!K222+'DOE25'!K240</f>
        <v>2100</v>
      </c>
      <c r="I7" s="192"/>
    </row>
    <row r="8" spans="1:9" x14ac:dyDescent="0.2">
      <c r="A8" s="31">
        <v>2300</v>
      </c>
      <c r="B8" t="s">
        <v>797</v>
      </c>
      <c r="C8" s="206">
        <f t="shared" si="0"/>
        <v>288586.99</v>
      </c>
      <c r="D8" s="180"/>
      <c r="E8" s="19">
        <f>'DOE25'!L205+'DOE25'!L223+'DOE25'!L241-F8-G8-H8-D9-D11</f>
        <v>282008.57</v>
      </c>
      <c r="F8" s="181"/>
      <c r="G8" s="19">
        <f>'DOE25'!J205+'DOE25'!J223+'DOE25'!J241</f>
        <v>0</v>
      </c>
      <c r="H8" s="19">
        <f>'DOE25'!K205+'DOE25'!K223+'DOE25'!K241</f>
        <v>6578.42</v>
      </c>
      <c r="I8" s="192"/>
    </row>
    <row r="9" spans="1:9" ht="14.25" x14ac:dyDescent="0.2">
      <c r="A9" s="31">
        <v>2310</v>
      </c>
      <c r="B9" s="71" t="s">
        <v>887</v>
      </c>
      <c r="C9" s="206">
        <f t="shared" si="0"/>
        <v>32395.360000000001</v>
      </c>
      <c r="D9" s="181">
        <v>32395.360000000001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435180.48000000004</v>
      </c>
      <c r="D12" s="19">
        <f>'DOE25'!L206+'DOE25'!L224+'DOE25'!L242-F12-G12-H12</f>
        <v>434292.48000000004</v>
      </c>
      <c r="E12" s="180"/>
      <c r="F12" s="181"/>
      <c r="G12" s="19">
        <f>'DOE25'!J206+'DOE25'!J224+'DOE25'!J242</f>
        <v>0</v>
      </c>
      <c r="H12" s="19">
        <f>'DOE25'!K206+'DOE25'!K224+'DOE25'!K242</f>
        <v>888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720136.2</v>
      </c>
      <c r="D14" s="19">
        <f>'DOE25'!L208+'DOE25'!L226+'DOE25'!L244-F14-G14-H14</f>
        <v>687813.72</v>
      </c>
      <c r="E14" s="180"/>
      <c r="F14" s="181"/>
      <c r="G14" s="19">
        <f>'DOE25'!J208+'DOE25'!J226+'DOE25'!J244</f>
        <v>32322.48</v>
      </c>
      <c r="H14" s="19">
        <f>'DOE25'!K208+'DOE25'!K226+'DOE25'!K244</f>
        <v>0</v>
      </c>
      <c r="I14" s="192"/>
    </row>
    <row r="15" spans="1:9" x14ac:dyDescent="0.2">
      <c r="A15" s="31">
        <v>2700</v>
      </c>
      <c r="B15" t="s">
        <v>799</v>
      </c>
      <c r="C15" s="206">
        <f t="shared" si="0"/>
        <v>548468.29</v>
      </c>
      <c r="D15" s="19">
        <f>'DOE25'!L209+'DOE25'!L227+'DOE25'!L245-F15-G15-H15</f>
        <v>9733.1199999999953</v>
      </c>
      <c r="E15" s="180"/>
      <c r="F15" s="181">
        <f>457429.7+81305.47</f>
        <v>538735.17000000004</v>
      </c>
      <c r="G15" s="19">
        <f>'DOE25'!J209+'DOE25'!J227+'DOE25'!J245</f>
        <v>0</v>
      </c>
      <c r="H15" s="19">
        <f>'DOE25'!K209+'DOE25'!K227+'DOE25'!K245</f>
        <v>0</v>
      </c>
      <c r="I15" s="192"/>
    </row>
    <row r="16" spans="1:9" x14ac:dyDescent="0.2">
      <c r="A16" s="31">
        <v>2800</v>
      </c>
      <c r="B16" t="s">
        <v>800</v>
      </c>
      <c r="C16" s="206">
        <f t="shared" si="0"/>
        <v>2833.7200000000003</v>
      </c>
      <c r="D16" s="180"/>
      <c r="E16" s="19">
        <f>'DOE25'!L210+'DOE25'!L228+'DOE25'!L246-F16-G16-H16</f>
        <v>1999.9200000000003</v>
      </c>
      <c r="F16" s="181"/>
      <c r="G16" s="19">
        <f>'DOE25'!J210+'DOE25'!J228+'DOE25'!J246</f>
        <v>0</v>
      </c>
      <c r="H16" s="19">
        <f>'DOE25'!K210+'DOE25'!K228+'DOE25'!K246</f>
        <v>833.8</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49460</v>
      </c>
      <c r="D22" s="180"/>
      <c r="E22" s="180"/>
      <c r="F22" s="180"/>
      <c r="G22" s="19">
        <f>'DOE25'!L256+'DOE25'!L337</f>
        <v>49460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135333.25</v>
      </c>
      <c r="D25" s="180"/>
      <c r="E25" s="180"/>
      <c r="F25" s="191"/>
      <c r="G25" s="180"/>
      <c r="H25" s="180"/>
      <c r="I25" s="190">
        <f>'DOE25'!L261+'DOE25'!L262+'DOE25'!L342+'DOE25'!L343</f>
        <v>135333.25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114619.63</v>
      </c>
      <c r="D29" s="212">
        <f>'DOE25'!L359+'DOE25'!L360+'DOE25'!L361-'DOE25'!I368-F29-G29-H29-F39</f>
        <v>105444.72</v>
      </c>
      <c r="E29" s="180"/>
      <c r="F29" s="180"/>
      <c r="G29" s="19">
        <f>'DOE25'!J359+'DOE25'!J360+'DOE25'!J361</f>
        <v>8231.59</v>
      </c>
      <c r="H29" s="19">
        <f>'DOE25'!K359+'DOE25'!K360+'DOE25'!K361</f>
        <v>943.31999999999994</v>
      </c>
      <c r="I29" s="192"/>
    </row>
    <row r="30" spans="1:9" x14ac:dyDescent="0.2">
      <c r="A30" s="31"/>
      <c r="C30" s="207"/>
      <c r="D30" s="19"/>
      <c r="F30" s="201"/>
      <c r="G30" s="19"/>
      <c r="H30" s="19"/>
      <c r="I30" s="192"/>
    </row>
    <row r="31" spans="1:9" x14ac:dyDescent="0.2">
      <c r="A31" s="31" t="s">
        <v>817</v>
      </c>
      <c r="B31" t="s">
        <v>816</v>
      </c>
      <c r="C31" s="206">
        <f>SUM(D31:I31)</f>
        <v>268167.31000000011</v>
      </c>
      <c r="D31" s="19">
        <f>'DOE25'!L291+'DOE25'!L310+'DOE25'!L329+'DOE25'!L334+'DOE25'!L335+'DOE25'!L336-F31-G31-H31</f>
        <v>206733.74000000008</v>
      </c>
      <c r="E31" s="180"/>
      <c r="F31" s="181">
        <v>0</v>
      </c>
      <c r="G31" s="19">
        <f>'DOE25'!J291+'DOE25'!J310+'DOE25'!J329+'DOE25'!J334+'DOE25'!J335+'DOE25'!J336</f>
        <v>57110.86</v>
      </c>
      <c r="H31" s="19">
        <f>'DOE25'!K291+'DOE25'!K310+'DOE25'!K329+'DOE25'!K334+'DOE25'!K335+'DOE25'!K336</f>
        <v>4322.71</v>
      </c>
      <c r="I31" s="192"/>
    </row>
    <row r="32" spans="1:9" ht="12" thickBot="1" x14ac:dyDescent="0.25">
      <c r="C32" s="207"/>
      <c r="G32" s="188"/>
      <c r="H32" s="188"/>
      <c r="I32" s="194"/>
    </row>
    <row r="33" spans="1:9" ht="12" thickTop="1" x14ac:dyDescent="0.2">
      <c r="B33" t="s">
        <v>809</v>
      </c>
      <c r="D33" s="182">
        <f t="shared" ref="D33:I33" si="1">SUM(D5:D31)</f>
        <v>8555645.2599999998</v>
      </c>
      <c r="E33" s="182">
        <f t="shared" si="1"/>
        <v>284008.49</v>
      </c>
      <c r="F33" s="182">
        <f t="shared" si="1"/>
        <v>538735.17000000004</v>
      </c>
      <c r="G33" s="182">
        <f t="shared" si="1"/>
        <v>268533.64</v>
      </c>
      <c r="H33" s="182">
        <f t="shared" si="1"/>
        <v>19770.25</v>
      </c>
      <c r="I33" s="182">
        <f t="shared" si="1"/>
        <v>135333.25</v>
      </c>
    </row>
    <row r="34" spans="1:9" ht="12" thickBot="1" x14ac:dyDescent="0.25"/>
    <row r="35" spans="1:9" ht="12" thickBot="1" x14ac:dyDescent="0.25">
      <c r="B35" s="188" t="s">
        <v>830</v>
      </c>
      <c r="D35" s="189">
        <f>E33</f>
        <v>284008.49</v>
      </c>
      <c r="E35" s="185"/>
      <c r="F35" s="295" t="s">
        <v>1608</v>
      </c>
      <c r="G35" s="296"/>
      <c r="H35" s="296"/>
      <c r="I35" s="297"/>
    </row>
    <row r="36" spans="1:9" ht="12" thickTop="1" x14ac:dyDescent="0.2">
      <c r="B36" t="s">
        <v>810</v>
      </c>
      <c r="D36" s="19">
        <f>D33</f>
        <v>8555645.2599999998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7"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North Hampton</v>
      </c>
      <c r="B2">
        <f>'DOE25'!B2</f>
        <v>405</v>
      </c>
      <c r="J2" s="224" t="s">
        <v>1808</v>
      </c>
      <c r="K2" s="309">
        <f>SUM('DOE25'!L198:L201)+SUM('DOE25'!L216:L219)+SUM('DOE25'!L234:L237)+SUM('DOE25'!L277:L280)+SUM('DOE25'!L296:L299)+SUM('DOE25'!L315:L318)</f>
        <v>6199021.4499999993</v>
      </c>
      <c r="L2" s="309">
        <f>'DOE25'!L203+'DOE25'!L221+'DOE25'!L239+'DOE25'!L282+'DOE25'!L301+'DOE25'!L320</f>
        <v>466925.88000000006</v>
      </c>
      <c r="M2" s="309">
        <f>'DOE25'!L204+'DOE25'!L222+'DOE25'!L240+'DOE25'!L283+'DOE25'!L302+'DOE25'!L321</f>
        <v>746774.51</v>
      </c>
      <c r="N2" s="309">
        <f>'DOE25'!L206+'DOE25'!L224+'DOE25'!L242+'DOE25'!L285+'DOE25'!L304+'DOE25'!L323</f>
        <v>435180.48000000004</v>
      </c>
      <c r="O2" s="309">
        <f>'Salaries-Benefits'!B10+'Salaries-Benefits'!B12+'Salaries-Benefits'!B19+'Salaries-Benefits'!B21+'Salaries-Benefits'!B28+'Salaries-Benefits'!B30+'Salaries-Benefits'!B37+'Salaries-Benefits'!B39</f>
        <v>3270820.3899999997</v>
      </c>
      <c r="P2" s="309">
        <f>'Salaries-Benefits'!B11+'Salaries-Benefits'!B20+'Salaries-Benefits'!B29+'Salaries-Benefits'!B38</f>
        <v>542287.28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-6199021.4499999993</v>
      </c>
      <c r="L3" s="311">
        <f t="shared" ref="L3:P3" si="0">L21+L33+L43-L2</f>
        <v>-466925.88000000006</v>
      </c>
      <c r="M3" s="311">
        <f t="shared" si="0"/>
        <v>-746774.51</v>
      </c>
      <c r="N3" s="311">
        <f t="shared" si="0"/>
        <v>-435180.48000000004</v>
      </c>
      <c r="O3" s="311">
        <f t="shared" si="0"/>
        <v>-3270820.3899999997</v>
      </c>
      <c r="P3" s="311">
        <f t="shared" si="0"/>
        <v>-542287.28</v>
      </c>
      <c r="Q3" s="310"/>
      <c r="R3" s="306"/>
      <c r="S3" s="215"/>
      <c r="T3" s="215"/>
      <c r="U3" s="216"/>
    </row>
    <row r="4" spans="1:21" ht="55.5" customHeight="1" thickBot="1" x14ac:dyDescent="0.25">
      <c r="A4" s="224" t="s">
        <v>1522</v>
      </c>
      <c r="B4" s="224" t="s">
        <v>1523</v>
      </c>
      <c r="C4" s="224" t="s">
        <v>896</v>
      </c>
      <c r="D4" s="224" t="s">
        <v>786</v>
      </c>
      <c r="E4" s="224" t="s">
        <v>786</v>
      </c>
      <c r="F4" s="228">
        <f>SUM(F5:F20)</f>
        <v>9502613.1799999997</v>
      </c>
      <c r="G4" s="229">
        <f>'DOE25'!L212+'DOE25'!L291</f>
        <v>9502613.1799999997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173594.89</v>
      </c>
      <c r="E5" s="220"/>
      <c r="F5" s="232">
        <f>D5+E5</f>
        <v>173594.89</v>
      </c>
      <c r="G5" s="223"/>
      <c r="H5" s="223"/>
      <c r="J5" s="223"/>
      <c r="K5" s="223"/>
      <c r="L5" s="223"/>
      <c r="M5" s="223"/>
      <c r="N5" s="223"/>
      <c r="O5" s="223"/>
      <c r="P5" s="223"/>
      <c r="Q5" s="223"/>
    </row>
    <row r="6" spans="1:21" x14ac:dyDescent="0.2">
      <c r="A6" t="str" cm="1">
        <f t="array" ref="A6">IFERROR(INDEX('School Tables'!$A$4:$G$325,'School Tables'!$J4,3),"")</f>
        <v>North Hampton School</v>
      </c>
      <c r="B6" s="230">
        <f>IFERROR(VLOOKUP(A6,'School Tables'!$C$3:$D$365,2,FALSE),"")</f>
        <v>20805</v>
      </c>
      <c r="C6" s="223" t="str">
        <f>IFERROR(INDEX('School Tables'!$B$3:$B$365,MATCH('School Level Expenditures'!B6,'School Tables'!$D$3:$D$365,0)),"")</f>
        <v>North Hampton</v>
      </c>
      <c r="D6" s="220">
        <f>9234445.87-D5</f>
        <v>9060850.9799999986</v>
      </c>
      <c r="E6" s="220">
        <v>268167.31</v>
      </c>
      <c r="F6" s="232">
        <f t="shared" ref="F6:F20" si="1">D6+E6</f>
        <v>9329018.2899999991</v>
      </c>
      <c r="G6" s="223"/>
      <c r="H6" s="223"/>
      <c r="J6" t="str">
        <f>A6</f>
        <v>North Hampton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9234445.8699999992</v>
      </c>
      <c r="E21" s="262">
        <f>SUM(E5:E20)</f>
        <v>268167.31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 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391617.66</v>
      </c>
      <c r="D8" s="73">
        <f>'DOE25'!G9</f>
        <v>0</v>
      </c>
      <c r="E8" s="73">
        <f>'DOE25'!H9</f>
        <v>0</v>
      </c>
      <c r="F8" s="73">
        <f>'DOE25'!I9</f>
        <v>0</v>
      </c>
      <c r="G8" s="73">
        <f>'DOE25'!J9</f>
        <v>0</v>
      </c>
      <c r="H8" s="13">
        <f>SUM(C8:G8)</f>
        <v>391617.66</v>
      </c>
      <c r="I8" s="90"/>
    </row>
    <row r="9" spans="1:9" x14ac:dyDescent="0.2">
      <c r="A9" s="1" t="s">
        <v>140</v>
      </c>
      <c r="B9" s="6">
        <v>110</v>
      </c>
      <c r="C9" s="73">
        <f>'DOE25'!F10</f>
        <v>0</v>
      </c>
      <c r="D9" s="73">
        <f>'DOE25'!G10</f>
        <v>0</v>
      </c>
      <c r="E9" s="73">
        <f>'DOE25'!H10</f>
        <v>0</v>
      </c>
      <c r="F9" s="73">
        <f>'DOE25'!I10</f>
        <v>0</v>
      </c>
      <c r="G9" s="73">
        <f>'DOE25'!J10</f>
        <v>769047.2</v>
      </c>
      <c r="H9" s="13">
        <f t="shared" ref="H9:H18" si="0">SUM(C9:G9)</f>
        <v>769047.2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85565.32</v>
      </c>
      <c r="D11" s="73">
        <f>'DOE25'!G12</f>
        <v>-3094.81</v>
      </c>
      <c r="E11" s="73">
        <f>'DOE25'!H12</f>
        <v>0</v>
      </c>
      <c r="F11" s="73">
        <f>'DOE25'!I12</f>
        <v>0</v>
      </c>
      <c r="G11" s="73">
        <f>'DOE25'!J12</f>
        <v>0</v>
      </c>
      <c r="H11" s="13">
        <f t="shared" si="0"/>
        <v>82470.510000000009</v>
      </c>
      <c r="I11" s="90"/>
    </row>
    <row r="12" spans="1:9" x14ac:dyDescent="0.2">
      <c r="A12" s="1" t="s">
        <v>143</v>
      </c>
      <c r="B12" s="6">
        <v>140</v>
      </c>
      <c r="C12" s="73">
        <f>'DOE25'!F13</f>
        <v>7617.19</v>
      </c>
      <c r="D12" s="73">
        <f>'DOE25'!G13</f>
        <v>0</v>
      </c>
      <c r="E12" s="73">
        <f>'DOE25'!H13</f>
        <v>81649.570000000007</v>
      </c>
      <c r="F12" s="73">
        <f>'DOE25'!I13</f>
        <v>0</v>
      </c>
      <c r="G12" s="73">
        <f>'DOE25'!J13</f>
        <v>0</v>
      </c>
      <c r="H12" s="13">
        <f t="shared" si="0"/>
        <v>89266.760000000009</v>
      </c>
      <c r="I12" s="90"/>
    </row>
    <row r="13" spans="1:9" x14ac:dyDescent="0.2">
      <c r="A13" s="1" t="s">
        <v>144</v>
      </c>
      <c r="B13" s="6">
        <v>150</v>
      </c>
      <c r="C13" s="73">
        <f>'DOE25'!F14</f>
        <v>6978.48</v>
      </c>
      <c r="D13" s="73">
        <f>'DOE25'!G14</f>
        <v>0</v>
      </c>
      <c r="E13" s="73">
        <f>'DOE25'!H14</f>
        <v>0</v>
      </c>
      <c r="F13" s="73">
        <f>'DOE25'!I14</f>
        <v>0</v>
      </c>
      <c r="G13" s="73">
        <f>'DOE25'!J14</f>
        <v>0</v>
      </c>
      <c r="H13" s="13">
        <f t="shared" si="0"/>
        <v>6978.48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8681.91</v>
      </c>
      <c r="E15" s="73">
        <f>'DOE25'!H16</f>
        <v>0</v>
      </c>
      <c r="F15" s="73">
        <f>'DOE25'!I16</f>
        <v>0</v>
      </c>
      <c r="G15" s="23" t="s">
        <v>288</v>
      </c>
      <c r="H15" s="13">
        <f t="shared" si="0"/>
        <v>8681.91</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491778.64999999997</v>
      </c>
      <c r="D18" s="38">
        <f>SUM(D8:D17)</f>
        <v>5587.1</v>
      </c>
      <c r="E18" s="38">
        <f>SUM(E8:E17)</f>
        <v>81649.570000000007</v>
      </c>
      <c r="F18" s="38">
        <f>SUM(F8:F17)</f>
        <v>0</v>
      </c>
      <c r="G18" s="38">
        <f>SUM(G8:G17)</f>
        <v>769047.2</v>
      </c>
      <c r="H18" s="38">
        <f t="shared" si="0"/>
        <v>1348062.52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81649.570000000007</v>
      </c>
      <c r="F21" s="73">
        <f>'DOE25'!I22</f>
        <v>0</v>
      </c>
      <c r="G21" s="73">
        <f>'DOE25'!J22</f>
        <v>0</v>
      </c>
      <c r="H21" s="13">
        <f t="shared" ref="H21:H31" si="1">SUM(C21:G21)</f>
        <v>81649.570000000007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21111.79</v>
      </c>
      <c r="D23" s="73">
        <f>'DOE25'!G24</f>
        <v>548.99</v>
      </c>
      <c r="E23" s="73">
        <f>'DOE25'!H24</f>
        <v>0</v>
      </c>
      <c r="F23" s="73">
        <f>'DOE25'!I24</f>
        <v>0</v>
      </c>
      <c r="G23" s="73">
        <f>'DOE25'!J24</f>
        <v>0</v>
      </c>
      <c r="H23" s="13">
        <f t="shared" si="1"/>
        <v>21660.780000000002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21977.63</v>
      </c>
      <c r="D27" s="73">
        <f>'DOE25'!G28</f>
        <v>183.07</v>
      </c>
      <c r="E27" s="73">
        <f>'DOE25'!H28</f>
        <v>0</v>
      </c>
      <c r="F27" s="73">
        <f>'DOE25'!I28</f>
        <v>0</v>
      </c>
      <c r="G27" s="23" t="s">
        <v>288</v>
      </c>
      <c r="H27" s="13">
        <f t="shared" si="1"/>
        <v>22160.7</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4855.04</v>
      </c>
      <c r="E29" s="73">
        <f>'DOE25'!H30</f>
        <v>0</v>
      </c>
      <c r="F29" s="73">
        <f>'DOE25'!I30</f>
        <v>0</v>
      </c>
      <c r="G29" s="23" t="s">
        <v>288</v>
      </c>
      <c r="H29" s="13">
        <f t="shared" si="1"/>
        <v>4855.04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43089.42</v>
      </c>
      <c r="D31" s="38">
        <f>SUM(D21:D30)</f>
        <v>5587.1</v>
      </c>
      <c r="E31" s="38">
        <f>SUM(E21:E30)</f>
        <v>81649.570000000007</v>
      </c>
      <c r="F31" s="38">
        <f>SUM(F21:F30)</f>
        <v>0</v>
      </c>
      <c r="G31" s="38">
        <f>SUM(G21:G30)</f>
        <v>0</v>
      </c>
      <c r="H31" s="38">
        <f t="shared" si="1"/>
        <v>130326.09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8681.91</v>
      </c>
      <c r="E34" s="73">
        <f>'DOE25'!H35</f>
        <v>0</v>
      </c>
      <c r="F34" s="73">
        <f>'DOE25'!I35</f>
        <v>0</v>
      </c>
      <c r="G34" s="23" t="s">
        <v>288</v>
      </c>
      <c r="H34" s="13">
        <f t="shared" ref="H34:H51" si="2">SUM(C34:G34)</f>
        <v>8681.91</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-8681.91</v>
      </c>
      <c r="E39" s="23" t="s">
        <v>288</v>
      </c>
      <c r="F39" s="23" t="s">
        <v>288</v>
      </c>
      <c r="G39" s="23" t="s">
        <v>288</v>
      </c>
      <c r="H39" s="13">
        <f t="shared" si="2"/>
        <v>-8681.91</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v>
      </c>
      <c r="D43" s="73">
        <f>'DOE25'!G44</f>
        <v>0</v>
      </c>
      <c r="E43" s="73">
        <f>'DOE25'!H44</f>
        <v>0</v>
      </c>
      <c r="F43" s="73">
        <f>'DOE25'!I44</f>
        <v>0</v>
      </c>
      <c r="G43" s="23" t="s">
        <v>288</v>
      </c>
      <c r="H43" s="13">
        <f t="shared" si="2"/>
        <v>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36000</v>
      </c>
      <c r="D45" s="23" t="s">
        <v>288</v>
      </c>
      <c r="E45" s="23" t="s">
        <v>288</v>
      </c>
      <c r="F45" s="23" t="s">
        <v>288</v>
      </c>
      <c r="G45" s="23" t="s">
        <v>288</v>
      </c>
      <c r="H45" s="13">
        <f t="shared" si="2"/>
        <v>36000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9547.74</v>
      </c>
      <c r="D47" s="73">
        <f>'DOE25'!G48</f>
        <v>0</v>
      </c>
      <c r="E47" s="73">
        <f>'DOE25'!H48</f>
        <v>0</v>
      </c>
      <c r="F47" s="73">
        <f>'DOE25'!I48</f>
        <v>0</v>
      </c>
      <c r="G47" s="73">
        <f>'DOE25'!J48</f>
        <v>769047.2</v>
      </c>
      <c r="H47" s="13">
        <f t="shared" si="2"/>
        <v>778594.94</v>
      </c>
      <c r="I47" s="90"/>
    </row>
    <row r="48" spans="1:9" x14ac:dyDescent="0.2">
      <c r="A48" s="1" t="s">
        <v>881</v>
      </c>
      <c r="B48" s="6">
        <v>753</v>
      </c>
      <c r="C48" s="73">
        <f>'DOE25'!F49</f>
        <v>24964.49</v>
      </c>
      <c r="D48" s="73">
        <f>'DOE25'!G49</f>
        <v>0</v>
      </c>
      <c r="E48" s="73">
        <f>'DOE25'!H49</f>
        <v>0</v>
      </c>
      <c r="F48" s="73">
        <f>'DOE25'!I49</f>
        <v>0</v>
      </c>
      <c r="G48" s="73">
        <f>'DOE25'!J49</f>
        <v>0</v>
      </c>
      <c r="H48" s="13">
        <f t="shared" si="2"/>
        <v>24964.49</v>
      </c>
      <c r="I48" s="90"/>
    </row>
    <row r="49" spans="1:9" ht="12" thickBot="1" x14ac:dyDescent="0.25">
      <c r="A49" s="28" t="s">
        <v>882</v>
      </c>
      <c r="B49" s="56">
        <v>770</v>
      </c>
      <c r="C49" s="73">
        <f>'DOE25'!F50</f>
        <v>328177</v>
      </c>
      <c r="D49" s="23" t="s">
        <v>288</v>
      </c>
      <c r="E49" s="23" t="s">
        <v>288</v>
      </c>
      <c r="F49" s="23" t="s">
        <v>288</v>
      </c>
      <c r="G49" s="23" t="s">
        <v>288</v>
      </c>
      <c r="H49" s="13">
        <f t="shared" si="2"/>
        <v>328177</v>
      </c>
      <c r="I49" s="90"/>
    </row>
    <row r="50" spans="1:9" ht="12.75" thickTop="1" thickBot="1" x14ac:dyDescent="0.25">
      <c r="A50" s="35" t="s">
        <v>883</v>
      </c>
      <c r="B50" s="44"/>
      <c r="C50" s="38">
        <f>SUM(C34:C49)</f>
        <v>448689.23</v>
      </c>
      <c r="D50" s="38">
        <f>SUM(D34:D49)</f>
        <v>0</v>
      </c>
      <c r="E50" s="38">
        <f>SUM(E34:E49)</f>
        <v>0</v>
      </c>
      <c r="F50" s="38">
        <f>SUM(F34:F49)</f>
        <v>0</v>
      </c>
      <c r="G50" s="38">
        <f>SUM(G34:G49)</f>
        <v>769047.2</v>
      </c>
      <c r="H50" s="38">
        <f t="shared" si="2"/>
        <v>1217736.43</v>
      </c>
      <c r="I50" s="90"/>
    </row>
    <row r="51" spans="1:9" ht="12" thickTop="1" x14ac:dyDescent="0.2">
      <c r="A51" s="35" t="s">
        <v>884</v>
      </c>
      <c r="B51" s="2"/>
      <c r="C51" s="38">
        <f>C50+C31</f>
        <v>491778.64999999997</v>
      </c>
      <c r="D51" s="38">
        <f>D50+D31</f>
        <v>5587.1</v>
      </c>
      <c r="E51" s="38">
        <f>E50+E31</f>
        <v>81649.570000000007</v>
      </c>
      <c r="F51" s="38">
        <f>F50+F31</f>
        <v>0</v>
      </c>
      <c r="G51" s="38">
        <f>G50+G31</f>
        <v>769047.2</v>
      </c>
      <c r="H51" s="38">
        <f t="shared" si="2"/>
        <v>1348062.52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7639002</v>
      </c>
      <c r="D56" s="73">
        <f>'DOE25'!G60</f>
        <v>0</v>
      </c>
      <c r="E56" s="73">
        <f>'DOE25'!H60</f>
        <v>0</v>
      </c>
      <c r="F56" s="73">
        <f>'DOE25'!I60</f>
        <v>0</v>
      </c>
      <c r="G56" s="73">
        <f>'DOE25'!J60</f>
        <v>0</v>
      </c>
      <c r="H56" s="13">
        <f t="shared" ref="H56:H63" si="3">SUM(C56:G56)</f>
        <v>7639002</v>
      </c>
      <c r="I56"/>
    </row>
    <row r="57" spans="1:9" x14ac:dyDescent="0.2">
      <c r="A57" s="1" t="s">
        <v>164</v>
      </c>
      <c r="B57" s="6" t="s">
        <v>165</v>
      </c>
      <c r="C57" s="73">
        <f>'DOE25'!F79</f>
        <v>36419.81</v>
      </c>
      <c r="D57" s="23" t="s">
        <v>288</v>
      </c>
      <c r="E57" s="73">
        <f>'DOE25'!H79</f>
        <v>0</v>
      </c>
      <c r="F57" s="23" t="s">
        <v>288</v>
      </c>
      <c r="G57" s="23" t="s">
        <v>288</v>
      </c>
      <c r="H57" s="13">
        <f t="shared" si="3"/>
        <v>36419.81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27137.06</v>
      </c>
      <c r="D59" s="73">
        <f>'DOE25'!G96</f>
        <v>0</v>
      </c>
      <c r="E59" s="73">
        <f>'DOE25'!H96</f>
        <v>0</v>
      </c>
      <c r="F59" s="73">
        <f>'DOE25'!I96</f>
        <v>0</v>
      </c>
      <c r="G59" s="73">
        <f>'DOE25'!J96</f>
        <v>15939.08</v>
      </c>
      <c r="H59" s="13">
        <f t="shared" si="3"/>
        <v>43076.14</v>
      </c>
      <c r="I59"/>
    </row>
    <row r="60" spans="1:9" x14ac:dyDescent="0.2">
      <c r="A60" s="1" t="s">
        <v>170</v>
      </c>
      <c r="B60" s="22" t="s">
        <v>171</v>
      </c>
      <c r="C60" s="23" t="s">
        <v>288</v>
      </c>
      <c r="D60" s="73">
        <f>'DOE25'!G97</f>
        <v>86559.679999999993</v>
      </c>
      <c r="E60" s="23" t="s">
        <v>288</v>
      </c>
      <c r="F60" s="23" t="s">
        <v>288</v>
      </c>
      <c r="G60" s="23" t="s">
        <v>288</v>
      </c>
      <c r="H60" s="13">
        <f t="shared" si="3"/>
        <v>86559.679999999993</v>
      </c>
      <c r="I60"/>
    </row>
    <row r="61" spans="1:9" ht="12" thickBot="1" x14ac:dyDescent="0.25">
      <c r="A61" s="1" t="s">
        <v>172</v>
      </c>
      <c r="B61" s="22" t="s">
        <v>173</v>
      </c>
      <c r="C61" s="73">
        <f>SUM('DOE25'!F98:F110)</f>
        <v>1684.55</v>
      </c>
      <c r="D61" s="73">
        <f>SUM('DOE25'!G98:G110)</f>
        <v>0</v>
      </c>
      <c r="E61" s="73">
        <f>SUM('DOE25'!H98:H110)</f>
        <v>0</v>
      </c>
      <c r="F61" s="73">
        <f>SUM('DOE25'!I98:I110)</f>
        <v>0</v>
      </c>
      <c r="G61" s="73">
        <f>SUM('DOE25'!J98:J110)</f>
        <v>0</v>
      </c>
      <c r="H61" s="13">
        <f t="shared" si="3"/>
        <v>1684.55</v>
      </c>
      <c r="I61"/>
    </row>
    <row r="62" spans="1:9" ht="12.75" thickTop="1" thickBot="1" x14ac:dyDescent="0.25">
      <c r="A62" s="28" t="s">
        <v>174</v>
      </c>
      <c r="B62" s="6"/>
      <c r="C62" s="93">
        <f>SUM(C57:C61)</f>
        <v>65241.42</v>
      </c>
      <c r="D62" s="93">
        <f>SUM(D57:D61)</f>
        <v>86559.679999999993</v>
      </c>
      <c r="E62" s="93">
        <f>SUM(E57:E61)</f>
        <v>0</v>
      </c>
      <c r="F62" s="93">
        <f>SUM(F57:F61)</f>
        <v>0</v>
      </c>
      <c r="G62" s="93">
        <f>SUM(G57:G61)</f>
        <v>15939.08</v>
      </c>
      <c r="H62" s="13">
        <f t="shared" si="3"/>
        <v>167740.17999999996</v>
      </c>
      <c r="I62"/>
    </row>
    <row r="63" spans="1:9" ht="12" thickTop="1" x14ac:dyDescent="0.2">
      <c r="A63" s="28" t="s">
        <v>175</v>
      </c>
      <c r="B63" s="6"/>
      <c r="C63" s="21">
        <f>C56+C62</f>
        <v>7704243.4199999999</v>
      </c>
      <c r="D63" s="21">
        <f>D56+D62</f>
        <v>86559.679999999993</v>
      </c>
      <c r="E63" s="21">
        <f>E56+E62</f>
        <v>0</v>
      </c>
      <c r="F63" s="21">
        <f>F56+F62</f>
        <v>0</v>
      </c>
      <c r="G63" s="21">
        <f>G56+G62</f>
        <v>15939.08</v>
      </c>
      <c r="H63" s="13">
        <f t="shared" si="3"/>
        <v>7806742.1799999997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581991.06000000006</v>
      </c>
      <c r="D66" s="23" t="s">
        <v>288</v>
      </c>
      <c r="E66" s="23" t="s">
        <v>288</v>
      </c>
      <c r="F66" s="23" t="s">
        <v>288</v>
      </c>
      <c r="G66" s="23" t="s">
        <v>288</v>
      </c>
      <c r="H66" s="13">
        <f t="shared" ref="H66:H81" si="4">SUM(C66:G66)</f>
        <v>581991.06000000006</v>
      </c>
      <c r="I66"/>
    </row>
    <row r="67" spans="1:9" x14ac:dyDescent="0.2">
      <c r="A67" s="1" t="s">
        <v>770</v>
      </c>
      <c r="B67" s="6">
        <v>3112</v>
      </c>
      <c r="C67" s="73">
        <f>'DOE25'!F118</f>
        <v>1102919</v>
      </c>
      <c r="D67" s="23"/>
      <c r="E67" s="23"/>
      <c r="F67" s="23"/>
      <c r="G67" s="23"/>
      <c r="H67" s="13">
        <f t="shared" si="4"/>
        <v>1102919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52560.57</v>
      </c>
      <c r="D69" s="73">
        <f>'DOE25'!G120</f>
        <v>0</v>
      </c>
      <c r="E69" s="73">
        <f>'DOE25'!H120</f>
        <v>0</v>
      </c>
      <c r="F69" s="73">
        <f>'DOE25'!I120</f>
        <v>0</v>
      </c>
      <c r="G69" s="73">
        <f>'DOE25'!J120</f>
        <v>0</v>
      </c>
      <c r="H69" s="13">
        <f t="shared" si="4"/>
        <v>52560.57</v>
      </c>
      <c r="I69"/>
    </row>
    <row r="70" spans="1:9" ht="12" thickTop="1" x14ac:dyDescent="0.2">
      <c r="A70" s="28" t="s">
        <v>252</v>
      </c>
      <c r="B70" s="2"/>
      <c r="C70" s="97">
        <f>SUM(C66:C69)</f>
        <v>1737470.6300000001</v>
      </c>
      <c r="D70" s="97">
        <f>D69</f>
        <v>0</v>
      </c>
      <c r="E70" s="97">
        <f>E69</f>
        <v>0</v>
      </c>
      <c r="F70" s="97">
        <f>F69</f>
        <v>0</v>
      </c>
      <c r="G70" s="97">
        <f>G69</f>
        <v>0</v>
      </c>
      <c r="H70" s="13">
        <f t="shared" si="4"/>
        <v>1737470.6300000001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103768.05</v>
      </c>
      <c r="D75" s="23" t="s">
        <v>288</v>
      </c>
      <c r="E75" s="23" t="s">
        <v>288</v>
      </c>
      <c r="F75" s="23" t="s">
        <v>288</v>
      </c>
      <c r="G75" s="23" t="s">
        <v>288</v>
      </c>
      <c r="H75" s="13">
        <f t="shared" si="4"/>
        <v>103768.05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1822.6</v>
      </c>
      <c r="E77" s="73">
        <f>SUM('DOE25'!H131:H135)</f>
        <v>0</v>
      </c>
      <c r="F77" s="73">
        <f>SUM('DOE25'!I131:I135)</f>
        <v>0</v>
      </c>
      <c r="G77" s="73">
        <f>SUM('DOE25'!J131:J135)</f>
        <v>0</v>
      </c>
      <c r="H77" s="13">
        <f t="shared" si="4"/>
        <v>1822.6</v>
      </c>
      <c r="I77"/>
    </row>
    <row r="78" spans="1:9" ht="12.75" thickTop="1" thickBot="1" x14ac:dyDescent="0.25">
      <c r="A78" s="28" t="s">
        <v>259</v>
      </c>
      <c r="B78" s="6"/>
      <c r="C78" s="93">
        <f>SUM(C72:C77)</f>
        <v>103768.05</v>
      </c>
      <c r="D78" s="93">
        <f>SUM(D72:D77)</f>
        <v>1822.6</v>
      </c>
      <c r="E78" s="93">
        <f>SUM(E72:E77)</f>
        <v>0</v>
      </c>
      <c r="F78" s="93">
        <f>SUM(F72:F77)</f>
        <v>0</v>
      </c>
      <c r="G78" s="93">
        <f>SUM(G72:G77)</f>
        <v>0</v>
      </c>
      <c r="H78" s="13">
        <f t="shared" si="4"/>
        <v>105590.65000000001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1841238.6800000002</v>
      </c>
      <c r="D81" s="93">
        <f>SUM(D79:D80)+D78+D70</f>
        <v>1822.6</v>
      </c>
      <c r="E81" s="93">
        <f>SUM(E79:E80)+E78+E70</f>
        <v>0</v>
      </c>
      <c r="F81" s="93">
        <f>SUM(F79:F80)+F78+F70</f>
        <v>0</v>
      </c>
      <c r="G81" s="93">
        <f>SUM(G79:G80)+G78+G70</f>
        <v>0</v>
      </c>
      <c r="H81" s="93">
        <f t="shared" si="4"/>
        <v>1843061.2800000003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32263.31</v>
      </c>
      <c r="D87" s="23" t="s">
        <v>288</v>
      </c>
      <c r="E87" s="73">
        <f>SUM('DOE25'!H149:H152)</f>
        <v>0</v>
      </c>
      <c r="F87" s="73">
        <f>SUM('DOE25'!I149:I152)</f>
        <v>0</v>
      </c>
      <c r="G87" s="23" t="s">
        <v>288</v>
      </c>
      <c r="H87" s="13">
        <f t="shared" si="5"/>
        <v>32263.31</v>
      </c>
    </row>
    <row r="88" spans="1:9" x14ac:dyDescent="0.2">
      <c r="A88" s="217" t="s">
        <v>747</v>
      </c>
      <c r="B88" s="231" t="s">
        <v>184</v>
      </c>
      <c r="C88" s="253">
        <f>SUM('DOE25'!F153:F162)</f>
        <v>54248.52</v>
      </c>
      <c r="D88" s="253">
        <f>SUM('DOE25'!G153:G162)</f>
        <v>54578.479999999996</v>
      </c>
      <c r="E88" s="253">
        <f>SUM('DOE25'!H153:H162)</f>
        <v>290142.31</v>
      </c>
      <c r="F88" s="253">
        <f>SUM('DOE25'!I153:I162)</f>
        <v>0</v>
      </c>
      <c r="G88" s="23" t="s">
        <v>288</v>
      </c>
      <c r="H88" s="13">
        <f t="shared" si="5"/>
        <v>398969.31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86511.83</v>
      </c>
      <c r="D91" s="94">
        <f>SUM(D85:D90)</f>
        <v>54578.479999999996</v>
      </c>
      <c r="E91" s="94">
        <f>SUM(E85:E90)</f>
        <v>290142.31</v>
      </c>
      <c r="F91" s="94">
        <f>SUM(F85:F90)</f>
        <v>0</v>
      </c>
      <c r="G91" s="23" t="s">
        <v>288</v>
      </c>
      <c r="H91" s="13">
        <f t="shared" si="5"/>
        <v>431232.62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26646</v>
      </c>
      <c r="E96" s="73">
        <f>'DOE25'!H180</f>
        <v>0</v>
      </c>
      <c r="F96" s="73">
        <f>'DOE25'!I180</f>
        <v>0</v>
      </c>
      <c r="G96" s="73">
        <f>'DOE25'!J180</f>
        <v>60000</v>
      </c>
      <c r="H96" s="13">
        <f t="shared" si="5"/>
        <v>86646</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8188.21</v>
      </c>
      <c r="D100" s="73">
        <f>SUM('DOE25'!G187:G188)</f>
        <v>0</v>
      </c>
      <c r="E100" s="73">
        <f>SUM('DOE25'!H187:H188)</f>
        <v>0</v>
      </c>
      <c r="F100" s="73">
        <f>SUM('DOE25'!I187:I188)</f>
        <v>0</v>
      </c>
      <c r="G100" s="23" t="s">
        <v>288</v>
      </c>
      <c r="H100" s="13">
        <f t="shared" si="5"/>
        <v>8188.21</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8188.21</v>
      </c>
      <c r="D103" s="68">
        <f>SUM(D93:D102)</f>
        <v>26646</v>
      </c>
      <c r="E103" s="68">
        <f>SUM(E93:E102)</f>
        <v>0</v>
      </c>
      <c r="F103" s="68">
        <f>SUM(F93:F102)</f>
        <v>0</v>
      </c>
      <c r="G103" s="68">
        <f>SUM(G93:G102)</f>
        <v>60000</v>
      </c>
      <c r="H103" s="68">
        <f t="shared" si="5"/>
        <v>94834.209999999992</v>
      </c>
    </row>
    <row r="104" spans="1:8" ht="12.75" thickTop="1" thickBot="1" x14ac:dyDescent="0.25">
      <c r="A104" s="32" t="s">
        <v>761</v>
      </c>
      <c r="C104" s="68">
        <f>C63+C81+C91+C103</f>
        <v>9640182.1400000006</v>
      </c>
      <c r="D104" s="68">
        <f>D63+D81+D91+D103</f>
        <v>169606.76</v>
      </c>
      <c r="E104" s="68">
        <f>E63+E81+E91+E103</f>
        <v>290142.31</v>
      </c>
      <c r="F104" s="68">
        <f>F63+F81+F91+F103</f>
        <v>0</v>
      </c>
      <c r="G104" s="68">
        <f>G63+G81+G103</f>
        <v>75939.08</v>
      </c>
      <c r="H104" s="68">
        <f t="shared" si="5"/>
        <v>10175870.290000001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3630741.8399999994</v>
      </c>
      <c r="D109" s="23" t="s">
        <v>288</v>
      </c>
      <c r="E109" s="73">
        <f>('DOE25'!L277)+('DOE25'!L296)+('DOE25'!L315)</f>
        <v>26446.39</v>
      </c>
      <c r="F109" s="23" t="s">
        <v>288</v>
      </c>
      <c r="G109" s="23" t="s">
        <v>288</v>
      </c>
      <c r="H109" s="13">
        <f t="shared" ref="H109:H115" si="6">SUM(C109:G109)</f>
        <v>3657188.2299999995</v>
      </c>
    </row>
    <row r="110" spans="1:8" x14ac:dyDescent="0.2">
      <c r="A110" t="s">
        <v>198</v>
      </c>
      <c r="B110" s="31" t="s">
        <v>199</v>
      </c>
      <c r="C110" s="73">
        <f>('DOE25'!L199)+('DOE25'!L217)+('DOE25'!L235)</f>
        <v>2264275.9200000004</v>
      </c>
      <c r="D110" s="23" t="s">
        <v>288</v>
      </c>
      <c r="E110" s="73">
        <f>('DOE25'!L278)+('DOE25'!L297)+('DOE25'!L316)</f>
        <v>123374.36</v>
      </c>
      <c r="F110" s="23" t="s">
        <v>288</v>
      </c>
      <c r="G110" s="23" t="s">
        <v>288</v>
      </c>
      <c r="H110" s="13">
        <f t="shared" si="6"/>
        <v>2387650.2800000003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126821.05</v>
      </c>
      <c r="D112" s="23" t="s">
        <v>288</v>
      </c>
      <c r="E112" s="73">
        <f>+('DOE25'!L280)+('DOE25'!L299)+('DOE25'!L318)</f>
        <v>27361.89</v>
      </c>
      <c r="F112" s="23" t="s">
        <v>288</v>
      </c>
      <c r="G112" s="23" t="s">
        <v>288</v>
      </c>
      <c r="H112" s="13">
        <f t="shared" si="6"/>
        <v>154182.94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6021838.8099999996</v>
      </c>
      <c r="D115" s="68">
        <f>SUM(D109:D114)</f>
        <v>0</v>
      </c>
      <c r="E115" s="68">
        <f>SUM(E109:E114)</f>
        <v>177182.64</v>
      </c>
      <c r="F115" s="68">
        <f>SUM(F109:F114)</f>
        <v>0</v>
      </c>
      <c r="G115" s="68">
        <f>SUM(G109:G114)</f>
        <v>0</v>
      </c>
      <c r="H115" s="68">
        <f t="shared" si="6"/>
        <v>6199021.4499999993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466925.88000000006</v>
      </c>
      <c r="D118" s="23" t="s">
        <v>288</v>
      </c>
      <c r="E118" s="73">
        <f>+('DOE25'!L282)+('DOE25'!L301)+('DOE25'!L320)</f>
        <v>0</v>
      </c>
      <c r="F118" s="23" t="s">
        <v>288</v>
      </c>
      <c r="G118" s="23" t="s">
        <v>288</v>
      </c>
      <c r="H118" s="13">
        <f t="shared" ref="H118:H145" si="7">SUM(C118:G118)</f>
        <v>466925.88000000006</v>
      </c>
    </row>
    <row r="119" spans="1:8" x14ac:dyDescent="0.2">
      <c r="A119" t="s">
        <v>208</v>
      </c>
      <c r="B119" s="31" t="s">
        <v>209</v>
      </c>
      <c r="C119" s="73">
        <f>('DOE25'!L204)+('DOE25'!L222)+('DOE25'!L240)</f>
        <v>718080.14</v>
      </c>
      <c r="D119" s="23" t="s">
        <v>288</v>
      </c>
      <c r="E119" s="73">
        <f>+('DOE25'!L283)+('DOE25'!L302)+('DOE25'!L321)</f>
        <v>28694.37</v>
      </c>
      <c r="F119" s="23" t="s">
        <v>288</v>
      </c>
      <c r="G119" s="23" t="s">
        <v>288</v>
      </c>
      <c r="H119" s="13">
        <f t="shared" si="7"/>
        <v>746774.51</v>
      </c>
    </row>
    <row r="120" spans="1:8" x14ac:dyDescent="0.2">
      <c r="A120" t="s">
        <v>210</v>
      </c>
      <c r="B120" s="31" t="s">
        <v>211</v>
      </c>
      <c r="C120" s="73">
        <f>('DOE25'!L205)+('DOE25'!L223)+('DOE25'!L241)</f>
        <v>320982.34999999998</v>
      </c>
      <c r="D120" s="23" t="s">
        <v>288</v>
      </c>
      <c r="E120" s="73">
        <f>+('DOE25'!L284)+('DOE25'!L303)+('DOE25'!L322)</f>
        <v>4322.71</v>
      </c>
      <c r="F120" s="23" t="s">
        <v>288</v>
      </c>
      <c r="G120" s="23" t="s">
        <v>288</v>
      </c>
      <c r="H120" s="13">
        <f t="shared" si="7"/>
        <v>325305.06</v>
      </c>
    </row>
    <row r="121" spans="1:8" x14ac:dyDescent="0.2">
      <c r="A121" t="s">
        <v>212</v>
      </c>
      <c r="B121" s="31" t="s">
        <v>213</v>
      </c>
      <c r="C121" s="73">
        <f>('DOE25'!L206)+('DOE25'!L224)+('DOE25'!L242)</f>
        <v>435180.48000000004</v>
      </c>
      <c r="D121" s="23" t="s">
        <v>288</v>
      </c>
      <c r="E121" s="73">
        <f>+('DOE25'!L285)+('DOE25'!L304)+('DOE25'!L323)</f>
        <v>0</v>
      </c>
      <c r="F121" s="23" t="s">
        <v>288</v>
      </c>
      <c r="G121" s="23" t="s">
        <v>288</v>
      </c>
      <c r="H121" s="13">
        <f t="shared" si="7"/>
        <v>435180.48000000004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720136.2</v>
      </c>
      <c r="D123" s="23" t="s">
        <v>288</v>
      </c>
      <c r="E123" s="73">
        <f>+('DOE25'!L287)+('DOE25'!L306)+('DOE25'!L325)</f>
        <v>54037.19</v>
      </c>
      <c r="F123" s="23" t="s">
        <v>288</v>
      </c>
      <c r="G123" s="23" t="s">
        <v>288</v>
      </c>
      <c r="H123" s="13">
        <f t="shared" si="7"/>
        <v>774173.3899999999</v>
      </c>
    </row>
    <row r="124" spans="1:8" x14ac:dyDescent="0.2">
      <c r="A124" t="s">
        <v>218</v>
      </c>
      <c r="B124" s="31" t="s">
        <v>219</v>
      </c>
      <c r="C124" s="73">
        <f>('DOE25'!L209)+('DOE25'!L227)+('DOE25'!L245+'DOE25'!L255)</f>
        <v>548468.29</v>
      </c>
      <c r="D124" s="23" t="s">
        <v>288</v>
      </c>
      <c r="E124" s="73">
        <f>+('DOE25'!L288)+('DOE25'!L307)+('DOE25'!L326)</f>
        <v>3930.4</v>
      </c>
      <c r="F124" s="23" t="s">
        <v>288</v>
      </c>
      <c r="G124" s="23" t="s">
        <v>288</v>
      </c>
      <c r="H124" s="13">
        <f t="shared" si="7"/>
        <v>552398.69000000006</v>
      </c>
    </row>
    <row r="125" spans="1:8" x14ac:dyDescent="0.2">
      <c r="A125" t="s">
        <v>220</v>
      </c>
      <c r="B125" s="31" t="s">
        <v>221</v>
      </c>
      <c r="C125" s="73">
        <f>('DOE25'!L210)+('DOE25'!L228)+('DOE25'!L246)</f>
        <v>2833.7200000000003</v>
      </c>
      <c r="D125" s="23" t="s">
        <v>288</v>
      </c>
      <c r="E125" s="73">
        <f>+('DOE25'!L289)+('DOE25'!L308)+('DOE25'!L327)</f>
        <v>0</v>
      </c>
      <c r="F125" s="23" t="s">
        <v>288</v>
      </c>
      <c r="G125" s="23" t="s">
        <v>288</v>
      </c>
      <c r="H125" s="13">
        <f t="shared" si="7"/>
        <v>2833.7200000000003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182313.07</v>
      </c>
      <c r="E127" s="23" t="s">
        <v>288</v>
      </c>
      <c r="F127" s="23" t="s">
        <v>288</v>
      </c>
      <c r="G127" s="23" t="s">
        <v>288</v>
      </c>
      <c r="H127" s="13">
        <f t="shared" si="7"/>
        <v>182313.07</v>
      </c>
    </row>
    <row r="128" spans="1:8" ht="12.75" thickTop="1" thickBot="1" x14ac:dyDescent="0.25">
      <c r="A128" s="32" t="s">
        <v>226</v>
      </c>
      <c r="C128" s="68">
        <f>SUM(C118:C127)</f>
        <v>3212607.06</v>
      </c>
      <c r="D128" s="68">
        <f>SUM(D118:D127)</f>
        <v>182313.07</v>
      </c>
      <c r="E128" s="68">
        <f>SUM(E118:E127)</f>
        <v>90984.67</v>
      </c>
      <c r="F128" s="68">
        <f>SUM(F118:F127)</f>
        <v>0</v>
      </c>
      <c r="G128" s="68">
        <f>SUM(G118:G127)</f>
        <v>0</v>
      </c>
      <c r="H128" s="68">
        <f t="shared" si="7"/>
        <v>3485904.8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27485</v>
      </c>
      <c r="D130" s="23" t="s">
        <v>288</v>
      </c>
      <c r="E130" s="92">
        <f>'DOE25'!L337</f>
        <v>21975</v>
      </c>
      <c r="F130" s="92">
        <f>SUM('DOE25'!L375:'DOE25'!L381)</f>
        <v>0</v>
      </c>
      <c r="G130" s="23" t="s">
        <v>288</v>
      </c>
      <c r="H130" s="13">
        <f t="shared" si="7"/>
        <v>49460</v>
      </c>
    </row>
    <row r="131" spans="1:8" x14ac:dyDescent="0.2">
      <c r="A131" t="s">
        <v>229</v>
      </c>
      <c r="B131" s="31">
        <v>5110</v>
      </c>
      <c r="C131" s="73">
        <f>'DOE25'!L261</f>
        <v>125000</v>
      </c>
      <c r="D131" s="23" t="s">
        <v>288</v>
      </c>
      <c r="E131" s="92">
        <f>'DOE25'!L342</f>
        <v>0</v>
      </c>
      <c r="F131" s="23" t="s">
        <v>288</v>
      </c>
      <c r="G131" s="23" t="s">
        <v>288</v>
      </c>
      <c r="H131" s="13">
        <f t="shared" si="7"/>
        <v>125000</v>
      </c>
    </row>
    <row r="132" spans="1:8" x14ac:dyDescent="0.2">
      <c r="A132" t="s">
        <v>230</v>
      </c>
      <c r="B132" s="31">
        <v>5120</v>
      </c>
      <c r="C132" s="73">
        <f>'DOE25'!L262</f>
        <v>10333.25</v>
      </c>
      <c r="D132" s="23" t="s">
        <v>288</v>
      </c>
      <c r="E132" s="92">
        <f>'DOE25'!L343</f>
        <v>0</v>
      </c>
      <c r="F132" s="23" t="s">
        <v>288</v>
      </c>
      <c r="G132" s="23" t="s">
        <v>288</v>
      </c>
      <c r="H132" s="13">
        <f t="shared" si="7"/>
        <v>10333.25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26646</v>
      </c>
      <c r="D135" s="23" t="s">
        <v>288</v>
      </c>
      <c r="E135" s="92">
        <f>'DOE25'!L346</f>
        <v>0</v>
      </c>
      <c r="F135" s="23" t="s">
        <v>288</v>
      </c>
      <c r="G135" s="23" t="s">
        <v>288</v>
      </c>
      <c r="H135" s="13">
        <f t="shared" si="7"/>
        <v>26646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75939.079999999987</v>
      </c>
      <c r="D139" s="23" t="s">
        <v>288</v>
      </c>
      <c r="E139" s="23" t="s">
        <v>288</v>
      </c>
      <c r="F139" s="23" t="s">
        <v>288</v>
      </c>
      <c r="G139" s="23" t="s">
        <v>288</v>
      </c>
      <c r="H139" s="13">
        <f t="shared" si="7"/>
        <v>75939.079999999987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-15939.079999999987</v>
      </c>
      <c r="D141" s="23" t="s">
        <v>288</v>
      </c>
      <c r="E141" s="23" t="s">
        <v>288</v>
      </c>
      <c r="F141" s="23" t="s">
        <v>288</v>
      </c>
      <c r="G141" s="23" t="s">
        <v>288</v>
      </c>
      <c r="H141" s="13">
        <f t="shared" si="7"/>
        <v>-15939.079999999987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249464.24999999997</v>
      </c>
      <c r="D144" s="98">
        <f>SUM(D130:D143)</f>
        <v>0</v>
      </c>
      <c r="E144" s="98">
        <f>SUM(E130:E143)</f>
        <v>21975</v>
      </c>
      <c r="F144" s="98">
        <f>SUM(F130:F143)</f>
        <v>0</v>
      </c>
      <c r="G144" s="98">
        <f>SUM(G130:G143)</f>
        <v>0</v>
      </c>
      <c r="H144" s="98">
        <f t="shared" si="7"/>
        <v>271439.25</v>
      </c>
    </row>
    <row r="145" spans="1:9" ht="12.75" thickTop="1" thickBot="1" x14ac:dyDescent="0.25">
      <c r="A145" s="32" t="s">
        <v>244</v>
      </c>
      <c r="C145" s="68">
        <f>(C115+C128+C144)</f>
        <v>9483910.1199999992</v>
      </c>
      <c r="D145" s="68">
        <f>(D115+D128+D144)</f>
        <v>182313.07</v>
      </c>
      <c r="E145" s="68">
        <f>(E115+E128+E144)</f>
        <v>290142.31</v>
      </c>
      <c r="F145" s="68">
        <f>(F115+F128+F144)</f>
        <v>0</v>
      </c>
      <c r="G145" s="68">
        <f>(G115+G128+G144)</f>
        <v>0</v>
      </c>
      <c r="H145" s="68">
        <f t="shared" si="7"/>
        <v>9956365.5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t="str">
        <f>'DOE25'!F491</f>
        <v>10</v>
      </c>
      <c r="C151" s="110">
        <f>'DOE25'!G491</f>
        <v>0</v>
      </c>
      <c r="D151" s="110">
        <f>'DOE25'!H491</f>
        <v>0</v>
      </c>
      <c r="E151" s="110">
        <f>'DOE25'!I491</f>
        <v>0</v>
      </c>
      <c r="F151" s="110">
        <f>'DOE25'!J491</f>
        <v>0</v>
      </c>
      <c r="G151" s="23" t="s">
        <v>288</v>
      </c>
    </row>
    <row r="152" spans="1:9" x14ac:dyDescent="0.2">
      <c r="A152" s="21" t="s">
        <v>28</v>
      </c>
      <c r="B152" s="109" t="str">
        <f>'DOE25'!F492</f>
        <v>August 2013</v>
      </c>
      <c r="C152" s="109">
        <f>'DOE25'!G492</f>
        <v>0</v>
      </c>
      <c r="D152" s="109">
        <f>'DOE25'!H492</f>
        <v>0</v>
      </c>
      <c r="E152" s="109">
        <f>'DOE25'!I492</f>
        <v>0</v>
      </c>
      <c r="F152" s="109">
        <f>'DOE25'!J492</f>
        <v>0</v>
      </c>
      <c r="G152" s="23" t="s">
        <v>288</v>
      </c>
    </row>
    <row r="153" spans="1:9" x14ac:dyDescent="0.2">
      <c r="A153" s="21" t="s">
        <v>29</v>
      </c>
      <c r="B153" s="109" t="str">
        <f>'DOE25'!F493</f>
        <v>August 2023</v>
      </c>
      <c r="C153" s="109">
        <f>'DOE25'!G493</f>
        <v>0</v>
      </c>
      <c r="D153" s="109">
        <f>'DOE25'!H493</f>
        <v>0</v>
      </c>
      <c r="E153" s="109">
        <f>'DOE25'!I493</f>
        <v>0</v>
      </c>
      <c r="F153" s="109">
        <f>'DOE25'!J493</f>
        <v>0</v>
      </c>
      <c r="G153" s="23" t="s">
        <v>288</v>
      </c>
    </row>
    <row r="154" spans="1:9" x14ac:dyDescent="0.2">
      <c r="A154" s="21" t="s">
        <v>30</v>
      </c>
      <c r="B154" s="19">
        <f>'DOE25'!F494</f>
        <v>1200000</v>
      </c>
      <c r="C154" s="19">
        <f>'DOE25'!G494</f>
        <v>0</v>
      </c>
      <c r="D154" s="19">
        <f>'DOE25'!H494</f>
        <v>0</v>
      </c>
      <c r="E154" s="19">
        <f>'DOE25'!I494</f>
        <v>0</v>
      </c>
      <c r="F154" s="19">
        <f>'DOE25'!J494</f>
        <v>0</v>
      </c>
      <c r="G154" s="23" t="s">
        <v>288</v>
      </c>
    </row>
    <row r="155" spans="1:9" x14ac:dyDescent="0.2">
      <c r="A155" s="21" t="s">
        <v>31</v>
      </c>
      <c r="B155" s="19">
        <f>'DOE25'!F495</f>
        <v>2.61</v>
      </c>
      <c r="C155" s="19">
        <f>'DOE25'!G495</f>
        <v>0</v>
      </c>
      <c r="D155" s="19">
        <f>'DOE25'!H495</f>
        <v>0</v>
      </c>
      <c r="E155" s="19">
        <f>'DOE25'!I495</f>
        <v>0</v>
      </c>
      <c r="F155" s="19">
        <f>'DOE25'!J495</f>
        <v>0</v>
      </c>
      <c r="G155" s="23" t="s">
        <v>288</v>
      </c>
    </row>
    <row r="156" spans="1:9" x14ac:dyDescent="0.2">
      <c r="A156" s="21" t="s">
        <v>32</v>
      </c>
      <c r="B156" s="19">
        <f>'DOE25'!F496</f>
        <v>255000</v>
      </c>
      <c r="C156" s="19">
        <f>'DOE25'!G496</f>
        <v>0</v>
      </c>
      <c r="D156" s="19">
        <f>'DOE25'!H496</f>
        <v>0</v>
      </c>
      <c r="E156" s="19">
        <f>'DOE25'!I496</f>
        <v>0</v>
      </c>
      <c r="F156" s="19">
        <f>'DOE25'!J496</f>
        <v>0</v>
      </c>
      <c r="G156" s="96">
        <f>SUM(B156:F156)</f>
        <v>255000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135298.75</v>
      </c>
      <c r="C158" s="19">
        <f>'DOE25'!G498</f>
        <v>0</v>
      </c>
      <c r="D158" s="19">
        <f>'DOE25'!H498</f>
        <v>0</v>
      </c>
      <c r="E158" s="19">
        <f>'DOE25'!I498</f>
        <v>0</v>
      </c>
      <c r="F158" s="19">
        <f>'DOE25'!J498</f>
        <v>0</v>
      </c>
      <c r="G158" s="96">
        <f t="shared" si="8"/>
        <v>135298.75</v>
      </c>
    </row>
    <row r="159" spans="1:9" x14ac:dyDescent="0.2">
      <c r="A159" s="21" t="s">
        <v>35</v>
      </c>
      <c r="B159" s="19">
        <f>'DOE25'!F499</f>
        <v>130000</v>
      </c>
      <c r="C159" s="19">
        <f>'DOE25'!G499</f>
        <v>0</v>
      </c>
      <c r="D159" s="19">
        <f>'DOE25'!H499</f>
        <v>0</v>
      </c>
      <c r="E159" s="19">
        <f>'DOE25'!I499</f>
        <v>0</v>
      </c>
      <c r="F159" s="19">
        <f>'DOE25'!J499</f>
        <v>0</v>
      </c>
      <c r="G159" s="96">
        <f t="shared" si="8"/>
        <v>130000</v>
      </c>
    </row>
    <row r="160" spans="1:9" x14ac:dyDescent="0.2">
      <c r="A160" s="21" t="s">
        <v>36</v>
      </c>
      <c r="B160" s="19">
        <f>'DOE25'!F500</f>
        <v>3477.5</v>
      </c>
      <c r="C160" s="19">
        <f>'DOE25'!G500</f>
        <v>0</v>
      </c>
      <c r="D160" s="19">
        <f>'DOE25'!H500</f>
        <v>0</v>
      </c>
      <c r="E160" s="19">
        <f>'DOE25'!I500</f>
        <v>0</v>
      </c>
      <c r="F160" s="19">
        <f>'DOE25'!J500</f>
        <v>0</v>
      </c>
      <c r="G160" s="96">
        <f t="shared" si="8"/>
        <v>3477.5</v>
      </c>
    </row>
    <row r="161" spans="1:7" x14ac:dyDescent="0.2">
      <c r="A161" s="21" t="s">
        <v>37</v>
      </c>
      <c r="B161" s="19">
        <f>'DOE25'!F501</f>
        <v>133477.5</v>
      </c>
      <c r="C161" s="19">
        <f>'DOE25'!G501</f>
        <v>0</v>
      </c>
      <c r="D161" s="19">
        <f>'DOE25'!H501</f>
        <v>0</v>
      </c>
      <c r="E161" s="19">
        <f>'DOE25'!I501</f>
        <v>0</v>
      </c>
      <c r="F161" s="19">
        <f>'DOE25'!J501</f>
        <v>0</v>
      </c>
      <c r="G161" s="96">
        <f t="shared" si="8"/>
        <v>133477.5</v>
      </c>
    </row>
    <row r="162" spans="1:7" x14ac:dyDescent="0.2">
      <c r="A162" s="21" t="s">
        <v>38</v>
      </c>
      <c r="B162" s="19">
        <f>'DOE25'!F502</f>
        <v>130000</v>
      </c>
      <c r="C162" s="19">
        <f>'DOE25'!G502</f>
        <v>0</v>
      </c>
      <c r="D162" s="19">
        <f>'DOE25'!H502</f>
        <v>0</v>
      </c>
      <c r="E162" s="19">
        <f>'DOE25'!I502</f>
        <v>0</v>
      </c>
      <c r="F162" s="19">
        <f>'DOE25'!J502</f>
        <v>0</v>
      </c>
      <c r="G162" s="96">
        <f t="shared" si="8"/>
        <v>130000</v>
      </c>
    </row>
    <row r="163" spans="1:7" x14ac:dyDescent="0.2">
      <c r="A163" s="21" t="s">
        <v>39</v>
      </c>
      <c r="B163" s="19">
        <f>'DOE25'!F503</f>
        <v>3477.5</v>
      </c>
      <c r="C163" s="19">
        <f>'DOE25'!G503</f>
        <v>0</v>
      </c>
      <c r="D163" s="19">
        <f>'DOE25'!H503</f>
        <v>0</v>
      </c>
      <c r="E163" s="19">
        <f>'DOE25'!I503</f>
        <v>0</v>
      </c>
      <c r="F163" s="19">
        <f>'DOE25'!J503</f>
        <v>0</v>
      </c>
      <c r="G163" s="96">
        <f t="shared" si="8"/>
        <v>3477.5</v>
      </c>
    </row>
    <row r="164" spans="1:7" x14ac:dyDescent="0.2">
      <c r="A164" s="21" t="s">
        <v>246</v>
      </c>
      <c r="B164" s="19">
        <f>'DOE25'!F504</f>
        <v>133477.5</v>
      </c>
      <c r="C164" s="19">
        <f>'DOE25'!G504</f>
        <v>0</v>
      </c>
      <c r="D164" s="19">
        <f>'DOE25'!H504</f>
        <v>0</v>
      </c>
      <c r="E164" s="19">
        <f>'DOE25'!I504</f>
        <v>0</v>
      </c>
      <c r="F164" s="19">
        <f>'DOE25'!J504</f>
        <v>0</v>
      </c>
      <c r="G164" s="96">
        <f t="shared" si="8"/>
        <v>133477.5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3"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North Hampton</v>
      </c>
    </row>
    <row r="3" spans="1:4" x14ac:dyDescent="0.2">
      <c r="B3" s="137" t="s">
        <v>1799</v>
      </c>
    </row>
    <row r="4" spans="1:4" x14ac:dyDescent="0.2">
      <c r="B4" t="s">
        <v>61</v>
      </c>
      <c r="C4" s="129">
        <f>IF('DOE25'!F666+'DOE25'!F671=0,0,ROUND('DOE25'!F673,0))</f>
        <v>29312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29312</v>
      </c>
    </row>
    <row r="9" spans="1:4" x14ac:dyDescent="0.2">
      <c r="A9" s="136" t="s">
        <v>94</v>
      </c>
      <c r="B9" s="137" t="s">
        <v>1800</v>
      </c>
      <c r="C9" s="131" t="s">
        <v>720</v>
      </c>
      <c r="D9" s="131" t="s">
        <v>721</v>
      </c>
    </row>
    <row r="10" spans="1:4" x14ac:dyDescent="0.2">
      <c r="A10">
        <v>1100</v>
      </c>
      <c r="B10" t="s">
        <v>702</v>
      </c>
      <c r="C10" s="129">
        <f>ROUND('DOE25'!L198+'DOE25'!L216+'DOE25'!L234+'DOE25'!L277+'DOE25'!L296+'DOE25'!L315,0)</f>
        <v>3657188</v>
      </c>
      <c r="D10" s="132">
        <f>ROUND((C10/$C$28)*100,1)</f>
        <v>38.1</v>
      </c>
    </row>
    <row r="11" spans="1:4" x14ac:dyDescent="0.2">
      <c r="A11">
        <v>1200</v>
      </c>
      <c r="B11" t="s">
        <v>703</v>
      </c>
      <c r="C11" s="129">
        <f>ROUND('DOE25'!L199+'DOE25'!L217+'DOE25'!L235+'DOE25'!L278+'DOE25'!L297+'DOE25'!L316,0)</f>
        <v>2387650</v>
      </c>
      <c r="D11" s="132">
        <f>ROUND((C11/$C$28)*100,1)</f>
        <v>24.8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154183</v>
      </c>
      <c r="D13" s="132">
        <f>ROUND((C13/$C$28)*100,1)</f>
        <v>1.6</v>
      </c>
    </row>
    <row r="14" spans="1:4" x14ac:dyDescent="0.2">
      <c r="D14" s="132"/>
    </row>
    <row r="15" spans="1:4" x14ac:dyDescent="0.2">
      <c r="A15">
        <v>2100</v>
      </c>
      <c r="B15" t="s">
        <v>706</v>
      </c>
      <c r="C15" s="129">
        <f>ROUND('DOE25'!L203+'DOE25'!L221+'DOE25'!L239+'DOE25'!L282+'DOE25'!L301+'DOE25'!L320,0)</f>
        <v>466926</v>
      </c>
      <c r="D15" s="132">
        <f t="shared" ref="D15:D27" si="0">ROUND((C15/$C$28)*100,1)</f>
        <v>4.9000000000000004</v>
      </c>
    </row>
    <row r="16" spans="1:4" x14ac:dyDescent="0.2">
      <c r="A16">
        <v>2200</v>
      </c>
      <c r="B16" t="s">
        <v>707</v>
      </c>
      <c r="C16" s="129">
        <f>ROUND('DOE25'!L204+'DOE25'!L222+'DOE25'!L240+'DOE25'!L283+'DOE25'!L302+'DOE25'!L321,0)</f>
        <v>746775</v>
      </c>
      <c r="D16" s="132">
        <f t="shared" si="0"/>
        <v>7.8</v>
      </c>
    </row>
    <row r="17" spans="1:4" x14ac:dyDescent="0.2">
      <c r="A17" s="133" t="s">
        <v>723</v>
      </c>
      <c r="B17" t="s">
        <v>738</v>
      </c>
      <c r="C17" s="129">
        <f>ROUND('DOE25'!L205+'DOE25'!L210+'DOE25'!L223+'DOE25'!L228+'DOE25'!L241+'DOE25'!L246+'DOE25'!L284+'DOE25'!L289+'DOE25'!L303+'DOE25'!L308+'DOE25'!L322+'DOE25'!L327,0)</f>
        <v>328139</v>
      </c>
      <c r="D17" s="132">
        <f t="shared" si="0"/>
        <v>3.4</v>
      </c>
    </row>
    <row r="18" spans="1:4" x14ac:dyDescent="0.2">
      <c r="A18">
        <v>2400</v>
      </c>
      <c r="B18" t="s">
        <v>711</v>
      </c>
      <c r="C18" s="129">
        <f>ROUND('DOE25'!L206+'DOE25'!L224+'DOE25'!L242+'DOE25'!L285+'DOE25'!L304+'DOE25'!L323,0)</f>
        <v>435180</v>
      </c>
      <c r="D18" s="132">
        <f t="shared" si="0"/>
        <v>4.5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774173</v>
      </c>
      <c r="D20" s="132">
        <f t="shared" si="0"/>
        <v>8.1</v>
      </c>
    </row>
    <row r="21" spans="1:4" x14ac:dyDescent="0.2">
      <c r="A21">
        <v>2700</v>
      </c>
      <c r="B21" t="s">
        <v>710</v>
      </c>
      <c r="C21" s="129">
        <f>ROUND('DOE25'!L209+'DOE25'!L227+'DOE25'!L245+'DOE25'!L288+'DOE25'!L307+'DOE25'!L326,0)</f>
        <v>552399</v>
      </c>
      <c r="D21" s="132">
        <f t="shared" si="0"/>
        <v>5.7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10333</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95753.32</v>
      </c>
      <c r="D27" s="132">
        <f t="shared" si="0"/>
        <v>1</v>
      </c>
    </row>
    <row r="28" spans="1:4" x14ac:dyDescent="0.2">
      <c r="B28" s="136" t="s">
        <v>719</v>
      </c>
      <c r="C28" s="130">
        <f>SUM(C10:C27)</f>
        <v>9608699.3200000003</v>
      </c>
      <c r="D28" s="134">
        <f>ROUND(SUM(D10:D27),0)</f>
        <v>100</v>
      </c>
    </row>
    <row r="29" spans="1:4" x14ac:dyDescent="0.2">
      <c r="A29">
        <v>4000</v>
      </c>
      <c r="B29" t="s">
        <v>724</v>
      </c>
      <c r="C29" s="129">
        <f>ROUND('DOE25'!L256+'DOE25'!L337+'DOE25'!L375+'DOE25'!L376+'DOE25'!L377+'DOE25'!L378+'DOE25'!L379+'DOE25'!L380+'DOE25'!L381,0)</f>
        <v>49460</v>
      </c>
    </row>
    <row r="30" spans="1:4" x14ac:dyDescent="0.2">
      <c r="B30" s="136" t="s">
        <v>725</v>
      </c>
      <c r="C30" s="130">
        <f>SUM(C28:C29)</f>
        <v>9658159.3200000003</v>
      </c>
    </row>
    <row r="31" spans="1:4" x14ac:dyDescent="0.2">
      <c r="B31" s="32"/>
      <c r="C31" s="130"/>
    </row>
    <row r="32" spans="1:4" x14ac:dyDescent="0.2">
      <c r="A32">
        <v>5100</v>
      </c>
      <c r="B32" s="32" t="s">
        <v>726</v>
      </c>
      <c r="C32" s="130">
        <f>ROUND('DOE25'!L261+'DOE25'!L342,0)</f>
        <v>125000</v>
      </c>
    </row>
    <row r="34" spans="1:4" x14ac:dyDescent="0.2">
      <c r="A34" s="136" t="s">
        <v>94</v>
      </c>
      <c r="B34" s="137" t="s">
        <v>1801</v>
      </c>
      <c r="C34" s="131" t="s">
        <v>720</v>
      </c>
      <c r="D34" s="131" t="s">
        <v>721</v>
      </c>
    </row>
    <row r="35" spans="1:4" x14ac:dyDescent="0.2">
      <c r="A35">
        <v>1100</v>
      </c>
      <c r="B35" s="71" t="s">
        <v>727</v>
      </c>
      <c r="C35" s="129">
        <f>ROUND('DOE25'!F60+'DOE25'!G60+'DOE25'!H60+'DOE25'!I60+'DOE25'!J60,0)</f>
        <v>7639002</v>
      </c>
      <c r="D35" s="132">
        <f t="shared" ref="D35:D40" si="1">ROUND((C35/$C$41)*100,1)</f>
        <v>76.400000000000006</v>
      </c>
    </row>
    <row r="36" spans="1:4" x14ac:dyDescent="0.2">
      <c r="B36" s="71" t="s">
        <v>739</v>
      </c>
      <c r="C36" s="129">
        <f>SUM('DOE25'!F112:J112)-SUM('DOE25'!G97:G110)+('DOE25'!F175+'DOE25'!F176+'DOE25'!I175+'DOE25'!I176)-C35</f>
        <v>81180.5</v>
      </c>
      <c r="D36" s="132">
        <f t="shared" si="1"/>
        <v>0.8</v>
      </c>
    </row>
    <row r="37" spans="1:4" x14ac:dyDescent="0.2">
      <c r="A37" s="133" t="s">
        <v>834</v>
      </c>
      <c r="B37" s="71" t="s">
        <v>728</v>
      </c>
      <c r="C37" s="129">
        <f>ROUND('DOE25'!F117+'DOE25'!F118,0)</f>
        <v>1684910</v>
      </c>
      <c r="D37" s="132">
        <f t="shared" si="1"/>
        <v>16.899999999999999</v>
      </c>
    </row>
    <row r="38" spans="1:4" x14ac:dyDescent="0.2">
      <c r="A38" s="133" t="s">
        <v>734</v>
      </c>
      <c r="B38" s="71" t="s">
        <v>729</v>
      </c>
      <c r="C38" s="129">
        <f>ROUND(SUM('DOE25'!F140:J140)-SUM('DOE25'!F117:F119),0)</f>
        <v>158151</v>
      </c>
      <c r="D38" s="132">
        <f t="shared" si="1"/>
        <v>1.6</v>
      </c>
    </row>
    <row r="39" spans="1:4" x14ac:dyDescent="0.2">
      <c r="A39">
        <v>4000</v>
      </c>
      <c r="B39" s="71" t="s">
        <v>730</v>
      </c>
      <c r="C39" s="129">
        <f>ROUND('DOE25'!F170+'DOE25'!G170+'DOE25'!H170+'DOE25'!I170,0)</f>
        <v>431233</v>
      </c>
      <c r="D39" s="132">
        <f t="shared" si="1"/>
        <v>4.3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9994476.5</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North Hampton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215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f>IF('School Level Expenditures'!$B$2=A218,'School Tables'!H218,"")</f>
        <v>215</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2023-08-30T13:28:27Z</cp:lastPrinted>
  <dcterms:created xsi:type="dcterms:W3CDTF">1997-12-04T19:04:30Z</dcterms:created>
  <dcterms:modified xsi:type="dcterms:W3CDTF">2023-09-12T17:31:20Z</dcterms:modified>
</cp:coreProperties>
</file>