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679F525E-AF35-4450-9EBD-8A16B531F4AB}"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8" i="14" l="1"/>
  <c r="E6" i="14"/>
  <c r="C19" i="12" l="1"/>
  <c r="C21" i="12"/>
  <c r="C20" i="12"/>
  <c r="C10" i="12"/>
  <c r="C12" i="12"/>
  <c r="B37" i="12"/>
  <c r="B28" i="12"/>
  <c r="B20" i="12"/>
  <c r="B19" i="12"/>
  <c r="B21" i="12"/>
  <c r="B10" i="12"/>
  <c r="B12" i="12"/>
  <c r="E13" i="17"/>
  <c r="E9" i="17"/>
  <c r="J605" i="1"/>
  <c r="H605" i="1"/>
  <c r="F666" i="1"/>
  <c r="H529" i="1"/>
  <c r="H527" i="1"/>
  <c r="G529" i="1"/>
  <c r="F529" i="1"/>
  <c r="J524" i="1"/>
  <c r="H524" i="1"/>
  <c r="F524" i="1"/>
  <c r="G527" i="1"/>
  <c r="F527" i="1"/>
  <c r="H522" i="1"/>
  <c r="F522" i="1"/>
  <c r="J469" i="1"/>
  <c r="H401" i="1"/>
  <c r="H400" i="1"/>
  <c r="H399" i="1"/>
  <c r="H397" i="1"/>
  <c r="G397" i="1"/>
  <c r="H369" i="1"/>
  <c r="H368" i="1"/>
  <c r="F368" i="1"/>
  <c r="F369" i="1"/>
  <c r="J361" i="1"/>
  <c r="I361" i="1"/>
  <c r="H361" i="1"/>
  <c r="G361" i="1"/>
  <c r="J359" i="1"/>
  <c r="I359" i="1"/>
  <c r="H359" i="1"/>
  <c r="G359" i="1"/>
  <c r="K337" i="1"/>
  <c r="K324" i="1"/>
  <c r="H316" i="1"/>
  <c r="K286" i="1"/>
  <c r="H282" i="1"/>
  <c r="H280" i="1"/>
  <c r="H245" i="1"/>
  <c r="H244" i="1"/>
  <c r="H242" i="1"/>
  <c r="H241" i="1"/>
  <c r="K240" i="1"/>
  <c r="H240" i="1"/>
  <c r="H239" i="1"/>
  <c r="H237" i="1"/>
  <c r="H234" i="1"/>
  <c r="H209" i="1"/>
  <c r="H208" i="1"/>
  <c r="H206" i="1"/>
  <c r="H205" i="1"/>
  <c r="K204" i="1"/>
  <c r="H203" i="1"/>
  <c r="H201" i="1"/>
  <c r="H198" i="1"/>
  <c r="H161" i="1"/>
  <c r="H162" i="1"/>
  <c r="H145" i="1"/>
  <c r="H159" i="1"/>
  <c r="H155" i="1"/>
  <c r="H154" i="1"/>
  <c r="H110" i="1"/>
  <c r="G158" i="1"/>
  <c r="G132" i="1"/>
  <c r="F109" i="1"/>
  <c r="H13" i="1" l="1"/>
  <c r="G48" i="1"/>
  <c r="G24" i="1"/>
  <c r="F28" i="1"/>
  <c r="F50" i="1"/>
  <c r="H137" i="2"/>
  <c r="H138" i="2"/>
  <c r="H140" i="2"/>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H136" i="2"/>
  <c r="H143" i="2"/>
  <c r="H134" i="2"/>
  <c r="H132" i="2"/>
  <c r="H131" i="2"/>
  <c r="H113" i="2"/>
  <c r="H114" i="2"/>
  <c r="H97" i="2"/>
  <c r="H98" i="2"/>
  <c r="H99" i="2"/>
  <c r="H100" i="2"/>
  <c r="H101" i="2"/>
  <c r="H102" i="2"/>
  <c r="H94" i="2"/>
  <c r="H93" i="2"/>
  <c r="H89" i="2"/>
  <c r="H90" i="2"/>
  <c r="H87" i="2"/>
  <c r="H73" i="2"/>
  <c r="H74" i="2"/>
  <c r="H75" i="2"/>
  <c r="H79" i="2"/>
  <c r="H80" i="2"/>
  <c r="H72" i="2"/>
  <c r="H43" i="2"/>
  <c r="H44" i="2"/>
  <c r="H42" i="2"/>
  <c r="H40" i="2"/>
  <c r="H39" i="2"/>
  <c r="H38" i="2"/>
  <c r="H36" i="2"/>
  <c r="H35" i="2"/>
  <c r="H22" i="2"/>
  <c r="H24" i="2"/>
  <c r="H25" i="2"/>
  <c r="H26" i="2"/>
  <c r="H30" i="2"/>
  <c r="H9" i="2"/>
  <c r="H10" i="2"/>
  <c r="H14"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H48" i="2" s="1"/>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H125" i="2" s="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E120" i="2" s="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H11" i="2" s="1"/>
  <c r="D11" i="2"/>
  <c r="E11" i="2"/>
  <c r="F11" i="2"/>
  <c r="I442" i="1"/>
  <c r="J12" i="1" s="1"/>
  <c r="G11" i="2" s="1"/>
  <c r="C12" i="2"/>
  <c r="D12" i="2"/>
  <c r="E12" i="2"/>
  <c r="F12" i="2"/>
  <c r="I443" i="1"/>
  <c r="J13" i="1" s="1"/>
  <c r="G12" i="2" s="1"/>
  <c r="C13" i="2"/>
  <c r="H13" i="2" s="1"/>
  <c r="D13" i="2"/>
  <c r="E13" i="2"/>
  <c r="F13" i="2"/>
  <c r="I444" i="1"/>
  <c r="J14" i="1" s="1"/>
  <c r="G13" i="2" s="1"/>
  <c r="F14" i="2"/>
  <c r="C15" i="2"/>
  <c r="D15" i="2"/>
  <c r="H15" i="2" s="1"/>
  <c r="E15" i="2"/>
  <c r="F15" i="2"/>
  <c r="C16" i="2"/>
  <c r="H16" i="2" s="1"/>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C76" i="2"/>
  <c r="H76" i="2" s="1"/>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4" i="2"/>
  <c r="E125" i="2"/>
  <c r="F128" i="2"/>
  <c r="G128" i="2"/>
  <c r="C130"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H655" i="1"/>
  <c r="H656" i="1"/>
  <c r="I170" i="1"/>
  <c r="G62" i="2" l="1"/>
  <c r="G63" i="2" s="1"/>
  <c r="J652" i="1"/>
  <c r="H477" i="1"/>
  <c r="H625" i="1" s="1"/>
  <c r="G477" i="1"/>
  <c r="H624" i="1" s="1"/>
  <c r="J624" i="1" s="1"/>
  <c r="H47" i="2"/>
  <c r="G409" i="1"/>
  <c r="H646" i="1" s="1"/>
  <c r="D29" i="13"/>
  <c r="C29" i="13" s="1"/>
  <c r="G662" i="1"/>
  <c r="E121" i="2"/>
  <c r="D15" i="13"/>
  <c r="C15" i="13" s="1"/>
  <c r="N2" i="14"/>
  <c r="N3" i="14" s="1"/>
  <c r="M2" i="14"/>
  <c r="M3" i="14" s="1"/>
  <c r="C13" i="10"/>
  <c r="C12" i="10"/>
  <c r="C121" i="2"/>
  <c r="H121" i="2" s="1"/>
  <c r="C120" i="2"/>
  <c r="H120" i="2" s="1"/>
  <c r="C119" i="2"/>
  <c r="D6" i="13"/>
  <c r="C6" i="13" s="1"/>
  <c r="L2" i="14"/>
  <c r="L3" i="14" s="1"/>
  <c r="C112" i="2"/>
  <c r="H112" i="2" s="1"/>
  <c r="A40" i="12"/>
  <c r="K2" i="14"/>
  <c r="K3" i="14" s="1"/>
  <c r="H61" i="2"/>
  <c r="D78" i="2"/>
  <c r="H77" i="2"/>
  <c r="H21" i="2"/>
  <c r="H29" i="2"/>
  <c r="H23" i="2"/>
  <c r="H12" i="2"/>
  <c r="H8" i="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H122" i="2" s="1"/>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03" i="2" l="1"/>
  <c r="B33" i="16"/>
  <c r="D128" i="2"/>
  <c r="D145" i="2" s="1"/>
  <c r="H127" i="2"/>
  <c r="H123" i="2"/>
  <c r="E128" i="2"/>
  <c r="H119" i="2"/>
  <c r="H118" i="2"/>
  <c r="I663" i="1"/>
  <c r="E91" i="2"/>
  <c r="H91" i="2" s="1"/>
  <c r="H85" i="2"/>
  <c r="I662" i="1"/>
  <c r="C81" i="2"/>
  <c r="H81" i="2" s="1"/>
  <c r="F194" i="1"/>
  <c r="E51" i="2"/>
  <c r="H18" i="2"/>
  <c r="H50" i="2"/>
  <c r="D51" i="2"/>
  <c r="H31"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128" i="2" l="1"/>
  <c r="C144" i="2"/>
  <c r="H144" i="2" s="1"/>
  <c r="H141" i="2"/>
  <c r="C104" i="2"/>
  <c r="H104" i="2" s="1"/>
  <c r="H63" i="2"/>
  <c r="H51"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<sst xmlns="http://schemas.openxmlformats.org/spreadsheetml/2006/main" count="6561" uniqueCount="1812">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</sst>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1344</v>
      </c>
      <c r="B2">
        <f>INDEX('School Tables'!$AH$3:$AH$209,MATCH('DOE25'!A2,'School Tables'!$AJ$3:$AJ$209,0))</f>
        <v>437</v>
      </c>
      <c r="C2">
        <f>INDEX('School Tables'!$AI$3:$AI$209,MATCH('DOE25'!A2,'School Tables'!$AJ$3:$AJ$209,0))</f>
        <v>437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254087.1</v>
      </c>
      <c r="G9" s="18">
        <v>118299.65</v>
      </c>
      <c r="H9" s="18"/>
      <c r="I9" s="18"/>
      <c r="J9" s="13">
        <f>SUM(I440)</f>
        <v>602212.74</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125518.13</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193683.03</v>
      </c>
      <c r="G13" s="18">
        <v>3719.32</v>
      </c>
      <c r="H13" s="18">
        <f>79987.57</f>
        <v>79987.570000000007</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1964.32</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1169.73</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1356</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576608.57999999996</v>
      </c>
      <c r="G19" s="38">
        <f>SUM(G9:G18)</f>
        <v>123188.7</v>
      </c>
      <c r="H19" s="38">
        <f>SUM(H9:H18)</f>
        <v>79987.570000000007</v>
      </c>
      <c r="I19" s="38">
        <f>SUM(I9:I18)</f>
        <v>0</v>
      </c>
      <c r="J19" s="38">
        <f>SUM(J9:J18)</f>
        <v>602212.74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70403.39</v>
      </c>
      <c r="H22" s="18">
        <v>55114.74</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148064.64000000001</v>
      </c>
      <c r="G24" s="18">
        <f>3766.8+95.6</f>
        <v>3862.4</v>
      </c>
      <c r="H24" s="18">
        <v>19519.21</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4138.79+316.62+496.82</f>
        <v>4952.2299999999996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t="s">
        <v>286</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t="s">
        <v>286</v>
      </c>
      <c r="G30" s="18">
        <v>8736.8799999999992</v>
      </c>
      <c r="H30" s="18">
        <v>5353.62</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153016.87000000002</v>
      </c>
      <c r="G32" s="38">
        <f>SUM(G22:G31)</f>
        <v>83002.67</v>
      </c>
      <c r="H32" s="38">
        <f>SUM(H22:H31)</f>
        <v>79987.569999999992</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1169.73</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55508</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25121.64+13894.66</f>
        <v>39016.300000000003</v>
      </c>
      <c r="H48" s="18"/>
      <c r="I48" s="18"/>
      <c r="J48" s="13">
        <f>SUM(I460)</f>
        <v>602212.74</v>
      </c>
      <c r="K48" s="23" t="s">
        <v>288</v>
      </c>
      <c r="L48" s="23" t="s">
        <v>288</v>
      </c>
      <c r="M48" s="8"/>
      <c r="N48" s="165"/>
    </row>
    <row r="49" spans="1:14" s="3" customFormat="1" ht="12.2" customHeight="1" x14ac:dyDescent="0.15">
      <c r="A49" s="1" t="s">
        <v>858</v>
      </c>
      <c r="B49" s="2" t="s">
        <v>289</v>
      </c>
      <c r="C49" s="6">
        <v>34</v>
      </c>
      <c r="D49" s="2"/>
      <c r="E49" s="6">
        <v>753</v>
      </c>
      <c r="F49" s="18">
        <v>716.7</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447456.53-80089.52</f>
        <v>367367.01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423591.71</v>
      </c>
      <c r="G51" s="38">
        <f>SUM(G35:G50)</f>
        <v>40186.030000000006</v>
      </c>
      <c r="H51" s="38">
        <f>SUM(H35:H50)</f>
        <v>0</v>
      </c>
      <c r="I51" s="38">
        <f>SUM(I35:I50)</f>
        <v>0</v>
      </c>
      <c r="J51" s="38">
        <f>SUM(J35:J50)</f>
        <v>602212.74</v>
      </c>
      <c r="K51" s="42" t="s">
        <v>288</v>
      </c>
      <c r="L51" s="42" t="s">
        <v>288</v>
      </c>
      <c r="N51" s="131"/>
    </row>
    <row r="52" spans="1:14" s="3" customFormat="1" ht="12.2" customHeight="1" thickTop="1" x14ac:dyDescent="0.15">
      <c r="A52" s="35" t="s">
        <v>455</v>
      </c>
      <c r="B52" s="36" t="s">
        <v>289</v>
      </c>
      <c r="C52" s="6">
        <v>37</v>
      </c>
      <c r="D52" s="36" t="s">
        <v>653</v>
      </c>
      <c r="E52" s="36"/>
      <c r="F52" s="38">
        <f>F51+F32</f>
        <v>576608.58000000007</v>
      </c>
      <c r="G52" s="38">
        <f>G51+G32</f>
        <v>123188.70000000001</v>
      </c>
      <c r="H52" s="38">
        <f>H51+H32</f>
        <v>79987.569999999992</v>
      </c>
      <c r="I52" s="38">
        <f>I51+I32</f>
        <v>0</v>
      </c>
      <c r="J52" s="38">
        <f>J51+J32</f>
        <v>602212.74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1813525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1813525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628459.72</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628459.72</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389.77</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389.77</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v>21597.68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21086.68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41273.620000000003</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27035.47</v>
      </c>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f>4052.27+1903.64</f>
        <v>5955.91</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2733.39</v>
      </c>
      <c r="G110" s="18"/>
      <c r="H110" s="18">
        <f>56.37+782.84</f>
        <v>839.21</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76998.39</v>
      </c>
      <c r="G111" s="38">
        <f>SUM(G96:G110)</f>
        <v>21086.68</v>
      </c>
      <c r="H111" s="38">
        <f>SUM(H96:H110)</f>
        <v>839.21</v>
      </c>
      <c r="I111" s="38">
        <f>SUM(I96:I110)</f>
        <v>0</v>
      </c>
      <c r="J111" s="38">
        <f>SUM(J96:J110)</f>
        <v>21597.68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2519372.88</v>
      </c>
      <c r="G112" s="38">
        <f>G60+G111</f>
        <v>21086.68</v>
      </c>
      <c r="H112" s="38">
        <f>H60+H79+H94+H111</f>
        <v>839.21</v>
      </c>
      <c r="I112" s="38">
        <f>I60+I111</f>
        <v>0</v>
      </c>
      <c r="J112" s="38">
        <f>J60+J111</f>
        <v>21597.68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155435</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406777</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14870.06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577082.06000000006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3676.68</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f>143.22+4735.07</f>
        <v>4878.29</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3676.68</v>
      </c>
      <c r="G136" s="38">
        <f>SUM(G123:G135)</f>
        <v>4878.29</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580758.74000000011</v>
      </c>
      <c r="G140" s="38">
        <f>G121+SUM(G136:G137)</f>
        <v>4878.29</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f>2546.25</f>
        <v>2546.25</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2546.25</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54367.64+10748.34+2309.55+22500</f>
        <v>89925.53</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4628.77+2830.73+1438.72+9176+9327.5+1890.39+2124.43</f>
        <v>31416.54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20951.8+44.4</f>
        <v>20996.2</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4349.29+4837.73+12343.85+2343.37</f>
        <v>23874.240000000002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14400+3.67</f>
        <v>14403.67</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31824.63+80924.83</f>
        <v>112749.46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20996.2</v>
      </c>
      <c r="H163" s="38">
        <f>SUM(H150:H162)</f>
        <v>272369.44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20996.2</v>
      </c>
      <c r="H170" s="38">
        <f>H147+H163+SUM(H164:H169)</f>
        <v>274915.69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45000</v>
      </c>
      <c r="H180" s="18"/>
      <c r="I180" s="18"/>
      <c r="J180" s="18">
        <v>30000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45000</v>
      </c>
      <c r="H184" s="38">
        <f>SUM(H180:H183)</f>
        <v>0</v>
      </c>
      <c r="I184" s="38">
        <f>SUM(I180:I183)</f>
        <v>0</v>
      </c>
      <c r="J184" s="38">
        <f>SUM(J180:J183)</f>
        <v>30000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45000</v>
      </c>
      <c r="H193" s="38">
        <f>+H184+SUM(H189:H192)</f>
        <v>0</v>
      </c>
      <c r="I193" s="38">
        <f>I178+I184+SUM(I189:I192)</f>
        <v>0</v>
      </c>
      <c r="J193" s="38">
        <f>J184</f>
        <v>30000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3100131.62</v>
      </c>
      <c r="G194" s="38">
        <f>G112+G140+G170+G193</f>
        <v>91961.17</v>
      </c>
      <c r="H194" s="38">
        <f>H112+H140+H170+H193</f>
        <v>275754.90000000002</v>
      </c>
      <c r="I194" s="38">
        <f>I112+I140+I170+I193</f>
        <v>0</v>
      </c>
      <c r="J194" s="38">
        <f>J112+J140+J193</f>
        <v>51597.68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484638.65</v>
      </c>
      <c r="G198" s="18">
        <v>282208.32</v>
      </c>
      <c r="H198" s="18">
        <f>3023.63+939.98+430.19</f>
        <v>4393.8</v>
      </c>
      <c r="I198" s="18">
        <v>18632.310000000001</v>
      </c>
      <c r="J198" s="18">
        <v>8845.14</v>
      </c>
      <c r="K198" s="18">
        <v>52.35</v>
      </c>
      <c r="L198" s="13">
        <f>SUM(F198:K198)</f>
        <v>798770.57000000007</v>
      </c>
      <c r="M198" s="8"/>
      <c r="N198" s="165"/>
    </row>
    <row r="199" spans="1:14" s="3" customFormat="1" ht="12.2" customHeight="1" x14ac:dyDescent="0.15">
      <c r="A199" s="1" t="s">
        <v>439</v>
      </c>
      <c r="B199" s="2" t="s">
        <v>341</v>
      </c>
      <c r="C199" s="2" t="s">
        <v>291</v>
      </c>
      <c r="D199" s="2" t="s">
        <v>431</v>
      </c>
      <c r="E199" s="6">
        <v>1200</v>
      </c>
      <c r="F199" s="18">
        <v>106738.31</v>
      </c>
      <c r="G199" s="18">
        <v>18453.96</v>
      </c>
      <c r="H199" s="18">
        <v>45.31</v>
      </c>
      <c r="I199" s="18">
        <v>158.33000000000001</v>
      </c>
      <c r="J199" s="18"/>
      <c r="K199" s="18"/>
      <c r="L199" s="13">
        <f>SUM(F199:K199)</f>
        <v>125395.90999999999</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4414.24</v>
      </c>
      <c r="G201" s="18">
        <v>836</v>
      </c>
      <c r="H201" s="18">
        <f>19089.27</f>
        <v>19089.27</v>
      </c>
      <c r="I201" s="18">
        <v>279.91000000000003</v>
      </c>
      <c r="J201" s="18"/>
      <c r="K201" s="18">
        <v>1768</v>
      </c>
      <c r="L201" s="13">
        <f>SUM(F201:K201)</f>
        <v>26387.420000000002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57437.95</v>
      </c>
      <c r="G203" s="18">
        <v>27831.08</v>
      </c>
      <c r="H203" s="18">
        <f>29878.19+140.91</f>
        <v>30019.1</v>
      </c>
      <c r="I203" s="18">
        <v>2582.5100000000002</v>
      </c>
      <c r="J203" s="18">
        <v>3340.35</v>
      </c>
      <c r="K203" s="18">
        <v>4357.93</v>
      </c>
      <c r="L203" s="13">
        <f t="shared" ref="L203:L209" si="0">SUM(F203:K203)</f>
        <v>125568.92000000001</v>
      </c>
      <c r="M203" s="8"/>
      <c r="N203" s="165"/>
    </row>
    <row r="204" spans="1:14" s="3" customFormat="1" ht="12.2" customHeight="1" x14ac:dyDescent="0.15">
      <c r="A204" s="1" t="s">
        <v>443</v>
      </c>
      <c r="B204" s="2" t="s">
        <v>341</v>
      </c>
      <c r="C204" s="2" t="s">
        <v>295</v>
      </c>
      <c r="D204" s="2" t="s">
        <v>431</v>
      </c>
      <c r="E204" s="6">
        <v>2200</v>
      </c>
      <c r="F204" s="18">
        <v>23960</v>
      </c>
      <c r="G204" s="18">
        <v>4999.12</v>
      </c>
      <c r="H204" s="18">
        <v>16192.25</v>
      </c>
      <c r="I204" s="18">
        <v>2401.9</v>
      </c>
      <c r="J204" s="18"/>
      <c r="K204" s="18">
        <f>757.71+3072.6</f>
        <v>3830.31</v>
      </c>
      <c r="L204" s="13">
        <f t="shared" si="0"/>
        <v>51383.579999999994</v>
      </c>
      <c r="M204" s="8"/>
      <c r="N204" s="165"/>
    </row>
    <row r="205" spans="1:14" s="3" customFormat="1" ht="12.2" customHeight="1" x14ac:dyDescent="0.15">
      <c r="A205" s="1" t="s">
        <v>444</v>
      </c>
      <c r="B205" s="2" t="s">
        <v>341</v>
      </c>
      <c r="C205" s="2" t="s">
        <v>296</v>
      </c>
      <c r="D205" s="2" t="s">
        <v>431</v>
      </c>
      <c r="E205" s="6">
        <v>2300</v>
      </c>
      <c r="F205" s="18">
        <v>1236.5999999999999</v>
      </c>
      <c r="G205" s="18">
        <v>102.53</v>
      </c>
      <c r="H205" s="18">
        <f>235452.18+2674.34</f>
        <v>238126.52</v>
      </c>
      <c r="I205" s="18">
        <v>855.02</v>
      </c>
      <c r="J205" s="18"/>
      <c r="K205" s="18">
        <v>2105.7199999999998</v>
      </c>
      <c r="L205" s="13">
        <f t="shared" si="0"/>
        <v>242426.38999999998</v>
      </c>
      <c r="M205" s="8"/>
      <c r="N205" s="165"/>
    </row>
    <row r="206" spans="1:14" s="3" customFormat="1" ht="12.2" customHeight="1" x14ac:dyDescent="0.15">
      <c r="A206" s="1" t="s">
        <v>445</v>
      </c>
      <c r="B206" s="2" t="s">
        <v>341</v>
      </c>
      <c r="C206" s="2" t="s">
        <v>297</v>
      </c>
      <c r="D206" s="2" t="s">
        <v>431</v>
      </c>
      <c r="E206" s="6">
        <v>2400</v>
      </c>
      <c r="F206" s="18">
        <v>75618.710000000006</v>
      </c>
      <c r="G206" s="18">
        <v>25707.62</v>
      </c>
      <c r="H206" s="18">
        <f>2222.71+811.76+699.39</f>
        <v>3733.86</v>
      </c>
      <c r="I206" s="18">
        <v>994.15</v>
      </c>
      <c r="J206" s="18"/>
      <c r="K206" s="18">
        <v>2126</v>
      </c>
      <c r="L206" s="13">
        <f t="shared" si="0"/>
        <v>108180.34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50561.13</v>
      </c>
      <c r="G208" s="18">
        <v>23206.39</v>
      </c>
      <c r="H208" s="18">
        <f>18340.69+29717.92+6800.12</f>
        <v>54858.73</v>
      </c>
      <c r="I208" s="18">
        <v>74446.27</v>
      </c>
      <c r="J208" s="18">
        <v>7025.79</v>
      </c>
      <c r="K208" s="18">
        <v>656.8</v>
      </c>
      <c r="L208" s="13">
        <f t="shared" si="0"/>
        <v>210755.11000000002</v>
      </c>
      <c r="M208" s="8"/>
      <c r="N208" s="165"/>
    </row>
    <row r="209" spans="1:14" s="3" customFormat="1" ht="12.2" customHeight="1" x14ac:dyDescent="0.15">
      <c r="A209" s="1" t="s">
        <v>448</v>
      </c>
      <c r="B209" s="2" t="s">
        <v>341</v>
      </c>
      <c r="C209" s="2" t="s">
        <v>300</v>
      </c>
      <c r="D209" s="2" t="s">
        <v>431</v>
      </c>
      <c r="E209" s="6">
        <v>2700</v>
      </c>
      <c r="F209" s="18">
        <v>38853.82</v>
      </c>
      <c r="G209" s="18">
        <v>6692.35</v>
      </c>
      <c r="H209" s="18">
        <f>6842+945.83</f>
        <v>7787.83</v>
      </c>
      <c r="I209" s="18">
        <v>8651.41</v>
      </c>
      <c r="J209" s="18">
        <v>289.83999999999997</v>
      </c>
      <c r="K209" s="18">
        <v>51839.53</v>
      </c>
      <c r="L209" s="13">
        <f t="shared" si="0"/>
        <v>114114.78</v>
      </c>
      <c r="M209" s="8"/>
      <c r="N209" s="165"/>
    </row>
    <row r="210" spans="1:14" s="3" customFormat="1" ht="12.2" customHeight="1" x14ac:dyDescent="0.15">
      <c r="A210" s="1" t="s">
        <v>449</v>
      </c>
      <c r="B210" s="2" t="s">
        <v>341</v>
      </c>
      <c r="C210" s="2" t="s">
        <v>343</v>
      </c>
      <c r="D210" s="2" t="s">
        <v>431</v>
      </c>
      <c r="E210" s="6">
        <v>2800</v>
      </c>
      <c r="F210" s="18"/>
      <c r="G210" s="18"/>
      <c r="H210" s="18">
        <v>4290.0600000000004</v>
      </c>
      <c r="I210" s="18"/>
      <c r="J210" s="18"/>
      <c r="K210" s="18"/>
      <c r="L210" s="13">
        <f>SUM(F210:K210)</f>
        <v>4290.0600000000004</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843459.4099999998</v>
      </c>
      <c r="G212" s="38">
        <f t="shared" si="1"/>
        <v>390037.37000000005</v>
      </c>
      <c r="H212" s="38">
        <f t="shared" si="1"/>
        <v>378536.73</v>
      </c>
      <c r="I212" s="38">
        <f t="shared" si="1"/>
        <v>109001.81000000001</v>
      </c>
      <c r="J212" s="38">
        <f t="shared" si="1"/>
        <v>19501.12</v>
      </c>
      <c r="K212" s="38">
        <f t="shared" si="1"/>
        <v>66736.639999999999</v>
      </c>
      <c r="L212" s="38">
        <f t="shared" si="1"/>
        <v>1807273.0800000003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285654.96999999997</v>
      </c>
      <c r="G234" s="18">
        <v>174263.8</v>
      </c>
      <c r="H234" s="18">
        <f>2015.83+626.69+230.34</f>
        <v>2872.86</v>
      </c>
      <c r="I234" s="18">
        <v>15492.53</v>
      </c>
      <c r="J234" s="18">
        <v>2175.9499999999998</v>
      </c>
      <c r="K234" s="18">
        <v>259.89999999999998</v>
      </c>
      <c r="L234" s="13">
        <f>SUM(F234:K234)</f>
        <v>480720.01</v>
      </c>
      <c r="M234" s="8"/>
      <c r="N234" s="165"/>
    </row>
    <row r="235" spans="1:14" s="3" customFormat="1" ht="12.2" customHeight="1" x14ac:dyDescent="0.15">
      <c r="A235" s="1" t="s">
        <v>439</v>
      </c>
      <c r="B235" s="2" t="s">
        <v>350</v>
      </c>
      <c r="C235" s="2" t="s">
        <v>291</v>
      </c>
      <c r="D235" s="2" t="s">
        <v>431</v>
      </c>
      <c r="E235" s="6">
        <v>1200</v>
      </c>
      <c r="F235" s="18">
        <v>34205.64</v>
      </c>
      <c r="G235" s="18">
        <v>10305.450000000001</v>
      </c>
      <c r="H235" s="18">
        <v>533.30999999999995</v>
      </c>
      <c r="I235" s="18"/>
      <c r="J235" s="18"/>
      <c r="K235" s="18"/>
      <c r="L235" s="13">
        <f>SUM(F235:K235)</f>
        <v>45044.399999999994</v>
      </c>
      <c r="M235" s="8"/>
      <c r="N235" s="165"/>
    </row>
    <row r="236" spans="1:14" s="3" customFormat="1" ht="12.2" customHeight="1" x14ac:dyDescent="0.15">
      <c r="A236" s="1" t="s">
        <v>440</v>
      </c>
      <c r="B236" s="2" t="s">
        <v>350</v>
      </c>
      <c r="C236" s="2" t="s">
        <v>292</v>
      </c>
      <c r="D236" s="2" t="s">
        <v>431</v>
      </c>
      <c r="E236" s="6">
        <v>1300</v>
      </c>
      <c r="F236" s="18">
        <v>700</v>
      </c>
      <c r="G236" s="18">
        <v>199.79</v>
      </c>
      <c r="H236" s="18"/>
      <c r="I236" s="18"/>
      <c r="J236" s="18"/>
      <c r="K236" s="18"/>
      <c r="L236" s="13">
        <f>SUM(F236:K236)</f>
        <v>899.79</v>
      </c>
      <c r="M236" s="8"/>
      <c r="N236" s="165"/>
    </row>
    <row r="237" spans="1:14" s="3" customFormat="1" ht="12.2" customHeight="1" x14ac:dyDescent="0.15">
      <c r="A237" s="1" t="s">
        <v>441</v>
      </c>
      <c r="B237" s="2" t="s">
        <v>350</v>
      </c>
      <c r="C237" s="2" t="s">
        <v>293</v>
      </c>
      <c r="D237" s="2" t="s">
        <v>431</v>
      </c>
      <c r="E237" s="6">
        <v>1400</v>
      </c>
      <c r="F237" s="18">
        <v>26761.33</v>
      </c>
      <c r="G237" s="18">
        <v>4008.88</v>
      </c>
      <c r="H237" s="18">
        <f>16552.18+8409.39</f>
        <v>24961.57</v>
      </c>
      <c r="I237" s="18">
        <v>4605.28</v>
      </c>
      <c r="J237" s="18">
        <v>1000</v>
      </c>
      <c r="K237" s="18">
        <v>5418.96</v>
      </c>
      <c r="L237" s="13">
        <f>SUM(F237:K237)</f>
        <v>66756.02</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71333.679999999993</v>
      </c>
      <c r="G239" s="18">
        <v>46982.04</v>
      </c>
      <c r="H239" s="18">
        <f>17195.65+23.2</f>
        <v>17218.850000000002</v>
      </c>
      <c r="I239" s="18">
        <v>1812.32</v>
      </c>
      <c r="J239" s="18">
        <v>3049.33</v>
      </c>
      <c r="K239" s="18">
        <v>2926.39</v>
      </c>
      <c r="L239" s="13">
        <f t="shared" ref="L239:L245" si="4">SUM(F239:K239)</f>
        <v>143322.61000000002</v>
      </c>
      <c r="M239" s="8"/>
      <c r="N239" s="165"/>
    </row>
    <row r="240" spans="1:14" s="3" customFormat="1" ht="12.2" customHeight="1" x14ac:dyDescent="0.15">
      <c r="A240" s="1" t="s">
        <v>443</v>
      </c>
      <c r="B240" s="2" t="s">
        <v>350</v>
      </c>
      <c r="C240" s="2" t="s">
        <v>295</v>
      </c>
      <c r="D240" s="2" t="s">
        <v>431</v>
      </c>
      <c r="E240" s="6">
        <v>2200</v>
      </c>
      <c r="F240" s="18">
        <v>121</v>
      </c>
      <c r="G240" s="18">
        <v>3038.76</v>
      </c>
      <c r="H240" s="18">
        <f>10794.84</f>
        <v>10794.84</v>
      </c>
      <c r="I240" s="18">
        <v>1169.8599999999999</v>
      </c>
      <c r="J240" s="18"/>
      <c r="K240" s="18">
        <f>482.39+2048.4</f>
        <v>2530.79</v>
      </c>
      <c r="L240" s="13">
        <f t="shared" si="4"/>
        <v>17655.25</v>
      </c>
      <c r="M240" s="8"/>
      <c r="N240" s="165"/>
    </row>
    <row r="241" spans="1:14" s="3" customFormat="1" ht="12.2" customHeight="1" x14ac:dyDescent="0.15">
      <c r="A241" s="1" t="s">
        <v>444</v>
      </c>
      <c r="B241" s="2" t="s">
        <v>350</v>
      </c>
      <c r="C241" s="2" t="s">
        <v>296</v>
      </c>
      <c r="D241" s="2" t="s">
        <v>431</v>
      </c>
      <c r="E241" s="6">
        <v>2300</v>
      </c>
      <c r="F241" s="18">
        <v>1236.3599999999999</v>
      </c>
      <c r="G241" s="18">
        <v>98.44</v>
      </c>
      <c r="H241" s="18">
        <f>186006.9+1782.89</f>
        <v>187789.79</v>
      </c>
      <c r="I241" s="18">
        <v>570.02</v>
      </c>
      <c r="J241" s="18"/>
      <c r="K241" s="18">
        <v>1403.81</v>
      </c>
      <c r="L241" s="13">
        <f t="shared" si="4"/>
        <v>191098.41999999998</v>
      </c>
      <c r="M241" s="8"/>
      <c r="N241" s="165"/>
    </row>
    <row r="242" spans="1:14" s="3" customFormat="1" ht="12.2" customHeight="1" x14ac:dyDescent="0.15">
      <c r="A242" s="1" t="s">
        <v>445</v>
      </c>
      <c r="B242" s="2" t="s">
        <v>350</v>
      </c>
      <c r="C242" s="2" t="s">
        <v>297</v>
      </c>
      <c r="D242" s="2" t="s">
        <v>431</v>
      </c>
      <c r="E242" s="6">
        <v>2400</v>
      </c>
      <c r="F242" s="18">
        <v>75848.58</v>
      </c>
      <c r="G242" s="18">
        <v>25722.81</v>
      </c>
      <c r="H242" s="18">
        <f>1331.8+541.2+466.27</f>
        <v>2339.27</v>
      </c>
      <c r="I242" s="18">
        <v>1730.95</v>
      </c>
      <c r="J242" s="18"/>
      <c r="K242" s="18">
        <v>2342.34</v>
      </c>
      <c r="L242" s="13">
        <f t="shared" si="4"/>
        <v>107983.95</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50541.65</v>
      </c>
      <c r="G244" s="18">
        <v>23228.68</v>
      </c>
      <c r="H244" s="18">
        <f>12708.53+19757.19+4541.82</f>
        <v>37007.54</v>
      </c>
      <c r="I244" s="18">
        <v>49681.35</v>
      </c>
      <c r="J244" s="18">
        <v>4683.8599999999997</v>
      </c>
      <c r="K244" s="18">
        <v>428.67</v>
      </c>
      <c r="L244" s="13">
        <f t="shared" si="4"/>
        <v>165571.75</v>
      </c>
      <c r="M244" s="8"/>
      <c r="N244" s="165"/>
    </row>
    <row r="245" spans="1:14" s="3" customFormat="1" ht="12.2" customHeight="1" x14ac:dyDescent="0.15">
      <c r="A245" s="1" t="s">
        <v>448</v>
      </c>
      <c r="B245" s="2" t="s">
        <v>350</v>
      </c>
      <c r="C245" s="2" t="s">
        <v>300</v>
      </c>
      <c r="D245" s="2" t="s">
        <v>431</v>
      </c>
      <c r="E245" s="6">
        <v>2700</v>
      </c>
      <c r="F245" s="18">
        <v>22094.43</v>
      </c>
      <c r="G245" s="18">
        <v>3465.51</v>
      </c>
      <c r="H245" s="18">
        <f>4552.8+3532.68</f>
        <v>8085.48</v>
      </c>
      <c r="I245" s="18">
        <v>5763.73</v>
      </c>
      <c r="J245" s="18">
        <v>96.61</v>
      </c>
      <c r="K245" s="18">
        <v>34566.18</v>
      </c>
      <c r="L245" s="13">
        <f t="shared" si="4"/>
        <v>74071.94</v>
      </c>
      <c r="M245" s="8"/>
      <c r="N245" s="165"/>
    </row>
    <row r="246" spans="1:14" s="3" customFormat="1" ht="12.2" customHeight="1" x14ac:dyDescent="0.15">
      <c r="A246" s="1" t="s">
        <v>449</v>
      </c>
      <c r="B246" s="2" t="s">
        <v>350</v>
      </c>
      <c r="C246" s="2" t="s">
        <v>343</v>
      </c>
      <c r="D246" s="2" t="s">
        <v>431</v>
      </c>
      <c r="E246" s="6">
        <v>2800</v>
      </c>
      <c r="F246" s="18"/>
      <c r="G246" s="18"/>
      <c r="H246" s="18">
        <v>2860</v>
      </c>
      <c r="I246" s="18"/>
      <c r="J246" s="18"/>
      <c r="K246" s="18"/>
      <c r="L246" s="13">
        <f>SUM(F246:K246)</f>
        <v>2860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568497.64</v>
      </c>
      <c r="G248" s="38">
        <f t="shared" si="5"/>
        <v>291314.16000000003</v>
      </c>
      <c r="H248" s="38">
        <f t="shared" si="5"/>
        <v>294463.50999999995</v>
      </c>
      <c r="I248" s="38">
        <f t="shared" si="5"/>
        <v>80826.039999999994</v>
      </c>
      <c r="J248" s="38">
        <f t="shared" si="5"/>
        <v>11005.75</v>
      </c>
      <c r="K248" s="38">
        <f t="shared" si="5"/>
        <v>49877.04</v>
      </c>
      <c r="L248" s="38">
        <f t="shared" si="5"/>
        <v>1295984.1399999999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1411957.0499999998</v>
      </c>
      <c r="G258" s="38">
        <f t="shared" si="8"/>
        <v>681351.53</v>
      </c>
      <c r="H258" s="38">
        <f t="shared" si="8"/>
        <v>673000.24</v>
      </c>
      <c r="I258" s="38">
        <f t="shared" si="8"/>
        <v>189827.85</v>
      </c>
      <c r="J258" s="38">
        <f t="shared" si="8"/>
        <v>30506.87</v>
      </c>
      <c r="K258" s="38">
        <f t="shared" si="8"/>
        <v>116613.68</v>
      </c>
      <c r="L258" s="38">
        <f t="shared" si="8"/>
        <v>3103257.22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45000</v>
      </c>
      <c r="L264" s="13">
        <f>SUM(F264:K264)</f>
        <v>45000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v>
      </c>
      <c r="L267" s="13">
        <f t="shared" si="9"/>
        <v>30000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1963.92</v>
      </c>
      <c r="L269" s="13">
        <f t="shared" si="9"/>
        <v>1963.92</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76963.92</v>
      </c>
      <c r="L271" s="38">
        <f t="shared" si="9"/>
        <v>76963.92</v>
      </c>
      <c r="M271" s="8"/>
      <c r="N271" s="165"/>
    </row>
    <row r="272" spans="1:14" s="33" customFormat="1" ht="12.2" customHeight="1" thickTop="1" x14ac:dyDescent="0.2">
      <c r="A272" s="40" t="s">
        <v>464</v>
      </c>
      <c r="B272" s="37">
        <v>10</v>
      </c>
      <c r="C272" s="37">
        <v>18</v>
      </c>
      <c r="D272" s="36" t="s">
        <v>431</v>
      </c>
      <c r="E272" s="37"/>
      <c r="F272" s="39">
        <f t="shared" ref="F272:L272" si="11">F258+F271</f>
        <v>1411957.0499999998</v>
      </c>
      <c r="G272" s="39">
        <f t="shared" si="11"/>
        <v>681351.53</v>
      </c>
      <c r="H272" s="39">
        <f t="shared" si="11"/>
        <v>673000.24</v>
      </c>
      <c r="I272" s="39">
        <f t="shared" si="11"/>
        <v>189827.85</v>
      </c>
      <c r="J272" s="39">
        <f t="shared" si="11"/>
        <v>30506.87</v>
      </c>
      <c r="K272" s="39">
        <f t="shared" si="11"/>
        <v>193577.59999999998</v>
      </c>
      <c r="L272" s="39">
        <f t="shared" si="11"/>
        <v>3180221.14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37730.75</v>
      </c>
      <c r="G277" s="18">
        <v>21116.6</v>
      </c>
      <c r="H277" s="18"/>
      <c r="I277" s="18">
        <v>19008.599999999999</v>
      </c>
      <c r="J277" s="18"/>
      <c r="K277" s="18">
        <v>2400</v>
      </c>
      <c r="L277" s="13">
        <f>SUM(F277:K277)</f>
        <v>80255.95</v>
      </c>
      <c r="M277" s="8"/>
      <c r="N277" s="165"/>
    </row>
    <row r="278" spans="1:14" s="3" customFormat="1" ht="12.2" customHeight="1" x14ac:dyDescent="0.15">
      <c r="A278" s="1" t="s">
        <v>439</v>
      </c>
      <c r="B278" s="2" t="s">
        <v>357</v>
      </c>
      <c r="C278" s="2" t="s">
        <v>291</v>
      </c>
      <c r="D278" s="2" t="s">
        <v>431</v>
      </c>
      <c r="E278" s="6">
        <v>1200</v>
      </c>
      <c r="F278" s="18">
        <v>3808.63</v>
      </c>
      <c r="G278" s="18">
        <v>235.65</v>
      </c>
      <c r="H278" s="18">
        <v>14110.07</v>
      </c>
      <c r="I278" s="18"/>
      <c r="J278" s="18">
        <v>474.12</v>
      </c>
      <c r="K278" s="18">
        <v>129.97</v>
      </c>
      <c r="L278" s="13">
        <f>SUM(F278:K278)</f>
        <v>18758.439999999999</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f>5770+163</f>
        <v>5933</v>
      </c>
      <c r="I280" s="18">
        <v>70.52</v>
      </c>
      <c r="J280" s="18"/>
      <c r="K280" s="18"/>
      <c r="L280" s="13">
        <f>SUM(F280:K280)</f>
        <v>6003.52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525</v>
      </c>
      <c r="G282" s="18">
        <v>40</v>
      </c>
      <c r="H282" s="18">
        <f>7589.75</f>
        <v>7589.75</v>
      </c>
      <c r="I282" s="18">
        <v>432.84</v>
      </c>
      <c r="J282" s="18"/>
      <c r="K282" s="18"/>
      <c r="L282" s="13">
        <f t="shared" ref="L282:L288" si="12">SUM(F282:K282)</f>
        <v>8587.59</v>
      </c>
      <c r="M282" s="8"/>
      <c r="N282" s="165"/>
    </row>
    <row r="283" spans="1:14" s="3" customFormat="1" ht="12.2" customHeight="1" x14ac:dyDescent="0.15">
      <c r="A283" s="1" t="s">
        <v>443</v>
      </c>
      <c r="B283" s="2" t="s">
        <v>357</v>
      </c>
      <c r="C283" s="2" t="s">
        <v>295</v>
      </c>
      <c r="D283" s="2" t="s">
        <v>431</v>
      </c>
      <c r="E283" s="6">
        <v>2200</v>
      </c>
      <c r="F283" s="18">
        <v>9323.18</v>
      </c>
      <c r="G283" s="18">
        <v>2516.27</v>
      </c>
      <c r="H283" s="18">
        <v>57177.8</v>
      </c>
      <c r="I283" s="18">
        <v>201.14</v>
      </c>
      <c r="J283" s="18"/>
      <c r="K283" s="18"/>
      <c r="L283" s="13">
        <f t="shared" si="12"/>
        <v>69218.39</v>
      </c>
      <c r="M283" s="8"/>
      <c r="N283" s="165"/>
    </row>
    <row r="284" spans="1:14" s="3" customFormat="1" ht="12.2" customHeight="1" x14ac:dyDescent="0.15">
      <c r="A284" s="1" t="s">
        <v>444</v>
      </c>
      <c r="B284" s="2" t="s">
        <v>357</v>
      </c>
      <c r="C284" s="2" t="s">
        <v>296</v>
      </c>
      <c r="D284" s="2" t="s">
        <v>431</v>
      </c>
      <c r="E284" s="6">
        <v>2300</v>
      </c>
      <c r="F284" s="18">
        <v>1150</v>
      </c>
      <c r="G284" s="18">
        <v>327.81</v>
      </c>
      <c r="H284" s="18"/>
      <c r="I284" s="18"/>
      <c r="J284" s="18"/>
      <c r="K284" s="18"/>
      <c r="L284" s="13">
        <f t="shared" si="12"/>
        <v>1477.81</v>
      </c>
      <c r="M284" s="8"/>
      <c r="N284" s="165"/>
    </row>
    <row r="285" spans="1:14" s="3" customFormat="1" ht="12.2" customHeight="1" x14ac:dyDescent="0.15">
      <c r="A285" s="1" t="s">
        <v>445</v>
      </c>
      <c r="B285" s="2" t="s">
        <v>357</v>
      </c>
      <c r="C285" s="2" t="s">
        <v>297</v>
      </c>
      <c r="D285" s="2" t="s">
        <v>431</v>
      </c>
      <c r="E285" s="6">
        <v>2400</v>
      </c>
      <c r="F285" s="18">
        <v>843.75</v>
      </c>
      <c r="G285" s="18">
        <v>63.87</v>
      </c>
      <c r="H285" s="18"/>
      <c r="I285" s="18"/>
      <c r="J285" s="18"/>
      <c r="K285" s="18">
        <v>194.4</v>
      </c>
      <c r="L285" s="13">
        <f t="shared" si="12"/>
        <v>1102.02</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f>38.17+6873.19</f>
        <v>6911.36</v>
      </c>
      <c r="L286" s="13">
        <f t="shared" si="12"/>
        <v>6911.36</v>
      </c>
      <c r="M286" s="8"/>
      <c r="N286" s="165"/>
    </row>
    <row r="287" spans="1:14" s="3" customFormat="1" ht="12.2" customHeight="1" x14ac:dyDescent="0.15">
      <c r="A287" s="1" t="s">
        <v>447</v>
      </c>
      <c r="B287" s="2" t="s">
        <v>357</v>
      </c>
      <c r="C287" s="2" t="s">
        <v>299</v>
      </c>
      <c r="D287" s="2" t="s">
        <v>431</v>
      </c>
      <c r="E287" s="6">
        <v>2600</v>
      </c>
      <c r="F287" s="18">
        <v>937.5</v>
      </c>
      <c r="G287" s="18">
        <v>70.56</v>
      </c>
      <c r="H287" s="18">
        <v>12900</v>
      </c>
      <c r="I287" s="18"/>
      <c r="J287" s="18">
        <v>7056</v>
      </c>
      <c r="K287" s="18"/>
      <c r="L287" s="13">
        <f t="shared" si="12"/>
        <v>20964.059999999998</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54318.81</v>
      </c>
      <c r="G291" s="39">
        <f t="shared" si="13"/>
        <v>24370.760000000002</v>
      </c>
      <c r="H291" s="39">
        <f t="shared" si="13"/>
        <v>97710.62</v>
      </c>
      <c r="I291" s="39">
        <f t="shared" si="13"/>
        <v>19713.099999999999</v>
      </c>
      <c r="J291" s="39">
        <f t="shared" si="13"/>
        <v>7530.12</v>
      </c>
      <c r="K291" s="39">
        <f t="shared" si="13"/>
        <v>9635.73</v>
      </c>
      <c r="L291" s="38">
        <f t="shared" si="13"/>
        <v>213279.13999999998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4627.5</v>
      </c>
      <c r="G315" s="18">
        <v>352.29</v>
      </c>
      <c r="H315" s="18">
        <v>56.37</v>
      </c>
      <c r="I315" s="18"/>
      <c r="J315" s="18"/>
      <c r="K315" s="18">
        <v>1600</v>
      </c>
      <c r="L315" s="13">
        <f>SUM(F315:K315)</f>
        <v>6636.16</v>
      </c>
      <c r="M315" s="8"/>
      <c r="N315" s="165"/>
    </row>
    <row r="316" spans="1:14" s="3" customFormat="1" ht="12.2" customHeight="1" x14ac:dyDescent="0.15">
      <c r="A316" s="1" t="s">
        <v>439</v>
      </c>
      <c r="B316" s="2" t="s">
        <v>359</v>
      </c>
      <c r="C316" s="2" t="s">
        <v>291</v>
      </c>
      <c r="D316" s="2" t="s">
        <v>431</v>
      </c>
      <c r="E316" s="6">
        <v>1200</v>
      </c>
      <c r="F316" s="18">
        <v>2302.5</v>
      </c>
      <c r="G316" s="18">
        <v>84.32</v>
      </c>
      <c r="H316" s="18">
        <f>4372.28</f>
        <v>4372.28</v>
      </c>
      <c r="I316" s="18"/>
      <c r="J316" s="18">
        <v>349.29</v>
      </c>
      <c r="K316" s="18">
        <v>808.98</v>
      </c>
      <c r="L316" s="13">
        <f>SUM(F316:K316)</f>
        <v>7917.3700000000008</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975</v>
      </c>
      <c r="G320" s="18">
        <v>74.42</v>
      </c>
      <c r="H320" s="18">
        <v>4284</v>
      </c>
      <c r="I320" s="18">
        <v>350</v>
      </c>
      <c r="J320" s="18"/>
      <c r="K320" s="18"/>
      <c r="L320" s="13">
        <f t="shared" ref="L320:L326" si="16">SUM(F320:K320)</f>
        <v>5683.42</v>
      </c>
      <c r="M320" s="8"/>
      <c r="N320" s="165"/>
    </row>
    <row r="321" spans="1:14" s="3" customFormat="1" ht="12.2" customHeight="1" x14ac:dyDescent="0.15">
      <c r="A321" s="1" t="s">
        <v>443</v>
      </c>
      <c r="B321" s="2" t="s">
        <v>359</v>
      </c>
      <c r="C321" s="2" t="s">
        <v>295</v>
      </c>
      <c r="D321" s="2" t="s">
        <v>431</v>
      </c>
      <c r="E321" s="6">
        <v>2200</v>
      </c>
      <c r="F321" s="18">
        <v>8351.2000000000007</v>
      </c>
      <c r="G321" s="18">
        <v>2367.1799999999998</v>
      </c>
      <c r="H321" s="18">
        <v>13693.2</v>
      </c>
      <c r="I321" s="18">
        <v>153.22</v>
      </c>
      <c r="J321" s="18"/>
      <c r="K321" s="18"/>
      <c r="L321" s="13">
        <f t="shared" si="16"/>
        <v>24564.800000000003</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v>843.75</v>
      </c>
      <c r="G323" s="18">
        <v>63.87</v>
      </c>
      <c r="H323" s="18"/>
      <c r="I323" s="18"/>
      <c r="J323" s="18"/>
      <c r="K323" s="18">
        <v>129.6</v>
      </c>
      <c r="L323" s="13">
        <f t="shared" si="16"/>
        <v>1037.22</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f>25.44+239.3</f>
        <v>264.74</v>
      </c>
      <c r="L324" s="13">
        <f t="shared" si="16"/>
        <v>264.74</v>
      </c>
      <c r="M324" s="8"/>
      <c r="N324" s="165"/>
    </row>
    <row r="325" spans="1:14" s="3" customFormat="1" ht="12.2" customHeight="1" x14ac:dyDescent="0.15">
      <c r="A325" s="1" t="s">
        <v>447</v>
      </c>
      <c r="B325" s="2" t="s">
        <v>359</v>
      </c>
      <c r="C325" s="2" t="s">
        <v>299</v>
      </c>
      <c r="D325" s="2" t="s">
        <v>431</v>
      </c>
      <c r="E325" s="6">
        <v>2600</v>
      </c>
      <c r="F325" s="18">
        <v>937.5</v>
      </c>
      <c r="G325" s="18">
        <v>70.55</v>
      </c>
      <c r="H325" s="18">
        <v>8600</v>
      </c>
      <c r="I325" s="18"/>
      <c r="J325" s="18">
        <v>4704</v>
      </c>
      <c r="K325" s="18"/>
      <c r="L325" s="13">
        <f t="shared" si="16"/>
        <v>14312.05</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18037.45</v>
      </c>
      <c r="G329" s="39">
        <f t="shared" si="17"/>
        <v>3012.63</v>
      </c>
      <c r="H329" s="39">
        <f t="shared" si="17"/>
        <v>31005.85</v>
      </c>
      <c r="I329" s="39">
        <f t="shared" si="17"/>
        <v>503.22</v>
      </c>
      <c r="J329" s="39">
        <f t="shared" si="17"/>
        <v>5053.29</v>
      </c>
      <c r="K329" s="39">
        <f t="shared" si="17"/>
        <v>2803.3199999999997</v>
      </c>
      <c r="L329" s="38">
        <f t="shared" si="17"/>
        <v>60415.759999999995</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f>1560+500</f>
        <v>2060</v>
      </c>
      <c r="L337" s="13">
        <f t="shared" si="18"/>
        <v>2060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2060</v>
      </c>
      <c r="L338" s="38">
        <f t="shared" si="18"/>
        <v>2060</v>
      </c>
      <c r="M338" s="8"/>
      <c r="N338" s="165"/>
    </row>
    <row r="339" spans="1:43" s="3" customFormat="1" ht="12.2" customHeight="1" thickTop="1" x14ac:dyDescent="0.15">
      <c r="A339" s="35" t="s">
        <v>468</v>
      </c>
      <c r="B339" s="37">
        <v>14</v>
      </c>
      <c r="C339" s="37">
        <v>7</v>
      </c>
      <c r="D339" s="36" t="s">
        <v>431</v>
      </c>
      <c r="E339" s="37"/>
      <c r="F339" s="38">
        <f t="shared" ref="F339:L339" si="20">F291+F310+F329+F338</f>
        <v>72356.259999999995</v>
      </c>
      <c r="G339" s="38">
        <f t="shared" si="20"/>
        <v>27383.390000000003</v>
      </c>
      <c r="H339" s="38">
        <f t="shared" si="20"/>
        <v>128716.47</v>
      </c>
      <c r="I339" s="38">
        <f t="shared" si="20"/>
        <v>20216.32</v>
      </c>
      <c r="J339" s="38">
        <f t="shared" si="20"/>
        <v>12583.41</v>
      </c>
      <c r="K339" s="38">
        <f t="shared" si="20"/>
        <v>14499.05</v>
      </c>
      <c r="L339" s="38">
        <f t="shared" si="20"/>
        <v>275754.89999999997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72356.259999999995</v>
      </c>
      <c r="G353" s="38">
        <f>G339</f>
        <v>27383.390000000003</v>
      </c>
      <c r="H353" s="38">
        <f>H339</f>
        <v>128716.47</v>
      </c>
      <c r="I353" s="38">
        <f>I339</f>
        <v>20216.32</v>
      </c>
      <c r="J353" s="38">
        <f>J339</f>
        <v>12583.41</v>
      </c>
      <c r="K353" s="38">
        <f>K339+K352</f>
        <v>14499.05</v>
      </c>
      <c r="L353" s="38">
        <f>L339+L352</f>
        <v>275754.89999999997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f>274.89</f>
        <v>274.89</v>
      </c>
      <c r="H359" s="18">
        <f>958.42+62.2+39203.76</f>
        <v>40224.380000000005</v>
      </c>
      <c r="I359" s="18">
        <f>103.39+26.64+501.28</f>
        <v>631.30999999999995</v>
      </c>
      <c r="J359" s="18">
        <f>513.91+6161.4</f>
        <v>6675.3099999999995</v>
      </c>
      <c r="K359" s="18"/>
      <c r="L359" s="13">
        <f>SUM(F359:K359)</f>
        <v>47805.89</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f>183.25</f>
        <v>183.25</v>
      </c>
      <c r="H361" s="18">
        <f>638.95+41.47+26135.84</f>
        <v>26816.260000000002</v>
      </c>
      <c r="I361" s="18">
        <f>68.96+17.76+334.18</f>
        <v>420.9</v>
      </c>
      <c r="J361" s="18">
        <f>342.61+2497.6</f>
        <v>2840.21</v>
      </c>
      <c r="K361" s="18"/>
      <c r="L361" s="13">
        <f>SUM(F361:K361)</f>
        <v>30260.620000000003</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458.14</v>
      </c>
      <c r="H363" s="38">
        <f t="shared" si="22"/>
        <v>67040.640000000014</v>
      </c>
      <c r="I363" s="38">
        <f t="shared" si="22"/>
        <v>1052.21</v>
      </c>
      <c r="J363" s="38">
        <f t="shared" si="22"/>
        <v>9515.52</v>
      </c>
      <c r="K363" s="38">
        <f t="shared" si="22"/>
        <v>0</v>
      </c>
      <c r="L363" s="38">
        <f t="shared" si="22"/>
        <v>78066.510000000009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26.64</f>
        <v>26.64</v>
      </c>
      <c r="G368" s="18"/>
      <c r="H368" s="18">
        <f>17.76</f>
        <v>17.760000000000002</v>
      </c>
      <c r="I368" s="13">
        <f>SUM(F368:H368)</f>
        <v>44.400000000000006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103.39+501.28</f>
        <v>604.66999999999996</v>
      </c>
      <c r="G369" s="53"/>
      <c r="H369" s="53">
        <f>68.96+334.18</f>
        <v>403.14</v>
      </c>
      <c r="I369" s="13">
        <f>SUM(F369:H369)</f>
        <v>1007.81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631.30999999999995</v>
      </c>
      <c r="G370" s="38">
        <f>SUM(G368:G369)</f>
        <v>0</v>
      </c>
      <c r="H370" s="38">
        <f>SUM(H368:H369)</f>
        <v>420.9</v>
      </c>
      <c r="I370" s="38">
        <f>SUM(I368:I369)</f>
        <v>1052.21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f>30000</f>
        <v>30000</v>
      </c>
      <c r="H397" s="18">
        <f>1137.66-2451.47+146.08-3870.73+8270.73</f>
        <v>3232.2699999999995</v>
      </c>
      <c r="I397" s="18"/>
      <c r="J397" s="23" t="s">
        <v>288</v>
      </c>
      <c r="K397" s="23" t="s">
        <v>288</v>
      </c>
      <c r="L397" s="13">
        <f t="shared" si="26"/>
        <v>33232.269999999997</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f>3768.06</f>
        <v>3768.06</v>
      </c>
      <c r="I399" s="18"/>
      <c r="J399" s="23" t="s">
        <v>288</v>
      </c>
      <c r="K399" s="23" t="s">
        <v>288</v>
      </c>
      <c r="L399" s="13">
        <f t="shared" si="26"/>
        <v>3768.06</v>
      </c>
      <c r="M399" s="8"/>
      <c r="N399" s="165"/>
    </row>
    <row r="400" spans="1:14" s="3" customFormat="1" ht="12.2" customHeight="1" x14ac:dyDescent="0.15">
      <c r="A400" s="62" t="s">
        <v>559</v>
      </c>
      <c r="B400" s="2" t="s">
        <v>381</v>
      </c>
      <c r="C400" s="6">
        <v>12</v>
      </c>
      <c r="D400" s="2" t="s">
        <v>432</v>
      </c>
      <c r="E400" s="6"/>
      <c r="F400" s="18"/>
      <c r="G400" s="18"/>
      <c r="H400" s="18">
        <f>807.48</f>
        <v>807.48</v>
      </c>
      <c r="I400" s="18"/>
      <c r="J400" s="23" t="s">
        <v>288</v>
      </c>
      <c r="K400" s="23" t="s">
        <v>288</v>
      </c>
      <c r="L400" s="13">
        <f t="shared" si="26"/>
        <v>807.48</v>
      </c>
      <c r="M400" s="8"/>
      <c r="N400" s="165"/>
    </row>
    <row r="401" spans="1:21" s="3" customFormat="1" ht="12.2" customHeight="1" thickBot="1" x14ac:dyDescent="0.2">
      <c r="A401" s="62" t="s">
        <v>510</v>
      </c>
      <c r="B401" s="2" t="s">
        <v>381</v>
      </c>
      <c r="C401" s="6">
        <v>13</v>
      </c>
      <c r="D401" s="2" t="s">
        <v>432</v>
      </c>
      <c r="E401" s="6"/>
      <c r="F401" s="18"/>
      <c r="G401" s="18"/>
      <c r="H401" s="18">
        <f>282.64+2825.39+210.83+4.77+155.46+32.98+10277.8</f>
        <v>13789.869999999999</v>
      </c>
      <c r="I401" s="18"/>
      <c r="J401" s="23" t="s">
        <v>288</v>
      </c>
      <c r="K401" s="23" t="s">
        <v>288</v>
      </c>
      <c r="L401" s="13">
        <f t="shared" si="26"/>
        <v>13789.869999999999</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30000</v>
      </c>
      <c r="H402" s="38">
        <f>SUM(H396:H401)</f>
        <v>21597.68</v>
      </c>
      <c r="I402" s="38">
        <f>SUM(I396:I401)</f>
        <v>0</v>
      </c>
      <c r="J402" s="42" t="s">
        <v>288</v>
      </c>
      <c r="K402" s="42" t="s">
        <v>288</v>
      </c>
      <c r="L402" s="38">
        <f>SUM(L396:L401)</f>
        <v>51597.679999999993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30000</v>
      </c>
      <c r="H409" s="38">
        <f>H394+H402+H408</f>
        <v>21597.68</v>
      </c>
      <c r="I409" s="38">
        <f>I394+I402+I408</f>
        <v>0</v>
      </c>
      <c r="J409" s="23" t="s">
        <v>288</v>
      </c>
      <c r="K409" s="23" t="s">
        <v>288</v>
      </c>
      <c r="L409" s="38">
        <f>L394+L402+L408</f>
        <v>51597.679999999993</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602212.74</v>
      </c>
      <c r="H440" s="18"/>
      <c r="I440" s="13">
        <f t="shared" ref="I440:I446" si="33">SUM(F440:H440)</f>
        <v>602212.74</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602212.74</v>
      </c>
      <c r="H447" s="13">
        <f>SUM(H440:H446)</f>
        <v>0</v>
      </c>
      <c r="I447" s="13">
        <f>SUM(I440:I446)</f>
        <v>602212.74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602212.74</v>
      </c>
      <c r="H460" s="18"/>
      <c r="I460" s="13">
        <f t="shared" si="34"/>
        <v>602212.74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602212.74</v>
      </c>
      <c r="H461" s="65">
        <f>SUM(H455:H460)</f>
        <v>0</v>
      </c>
      <c r="I461" s="65">
        <f>SUM(I455:I460)</f>
        <v>602212.74</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602212.74</v>
      </c>
      <c r="H462" s="39">
        <f>H453+H461</f>
        <v>0</v>
      </c>
      <c r="I462" s="39">
        <f>I453+I461</f>
        <v>602212.74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503681.23</v>
      </c>
      <c r="G466" s="18">
        <v>27384.99</v>
      </c>
      <c r="H466" s="18">
        <v>0</v>
      </c>
      <c r="I466" s="18">
        <v>0</v>
      </c>
      <c r="J466" s="18">
        <v>550615.06000000006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3100131.62</v>
      </c>
      <c r="G469" s="18">
        <v>91961.17</v>
      </c>
      <c r="H469" s="18">
        <v>275754.90000000002</v>
      </c>
      <c r="I469" s="18"/>
      <c r="J469" s="18">
        <f>30000+27919.88-6322.2</f>
        <v>51597.680000000008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3100131.62</v>
      </c>
      <c r="G471" s="19">
        <f>SUM(G469:G470)</f>
        <v>91961.17</v>
      </c>
      <c r="H471" s="19">
        <f>SUM(H469:H470)</f>
        <v>275754.90000000002</v>
      </c>
      <c r="I471" s="19">
        <f>SUM(I469:I470)</f>
        <v>0</v>
      </c>
      <c r="J471" s="19">
        <f>SUM(J469:J470)</f>
        <v>51597.680000000008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3180221.14</v>
      </c>
      <c r="G473" s="18">
        <v>78066.509999999995</v>
      </c>
      <c r="H473" s="18">
        <v>275754.90000000002</v>
      </c>
      <c r="I473" s="18"/>
      <c r="J473" s="18">
        <v>0</v>
      </c>
      <c r="K473" s="23" t="s">
        <v>288</v>
      </c>
      <c r="L473" s="23" t="s">
        <v>288</v>
      </c>
      <c r="N473" s="131"/>
    </row>
    <row r="474" spans="1:14" ht="12.2" customHeight="1" x14ac:dyDescent="0.2">
      <c r="A474" s="71" t="s">
        <v>613</v>
      </c>
      <c r="B474" s="22">
        <v>19</v>
      </c>
      <c r="C474" s="31">
        <v>6</v>
      </c>
      <c r="D474" s="2" t="s">
        <v>432</v>
      </c>
      <c r="E474" s="31"/>
      <c r="F474" s="18" t="s">
        <v>286</v>
      </c>
      <c r="G474" s="18">
        <v>1093.6199999999999</v>
      </c>
      <c r="H474" s="18"/>
      <c r="I474" s="18"/>
      <c r="J474" s="18"/>
      <c r="K474" s="23" t="s">
        <v>288</v>
      </c>
      <c r="L474" s="23" t="s">
        <v>288</v>
      </c>
      <c r="N474" s="131"/>
    </row>
    <row r="475" spans="1:14" ht="12.2" customHeight="1" x14ac:dyDescent="0.2">
      <c r="A475" s="32" t="s">
        <v>426</v>
      </c>
      <c r="B475" s="22">
        <v>19</v>
      </c>
      <c r="C475" s="31">
        <v>7</v>
      </c>
      <c r="D475" s="2" t="s">
        <v>432</v>
      </c>
      <c r="E475" s="31"/>
      <c r="F475" s="19">
        <f>SUM(F473:F474)</f>
        <v>3180221.14</v>
      </c>
      <c r="G475" s="19">
        <f>SUM(G473:G474)</f>
        <v>79160.12999999999</v>
      </c>
      <c r="H475" s="19">
        <f>SUM(H473:H474)</f>
        <v>275754.90000000002</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423591.70999999996</v>
      </c>
      <c r="G477" s="19">
        <f>(G466+G471)- G475</f>
        <v>40186.030000000013</v>
      </c>
      <c r="H477" s="19">
        <f>(H466+H471)- H475</f>
        <v>0</v>
      </c>
      <c r="I477" s="19">
        <f>(I466+I471)- I475</f>
        <v>0</v>
      </c>
      <c r="J477" s="19">
        <f>(J466+J471)- J475</f>
        <v>602212.74000000011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92978.32</f>
        <v>92978.32</v>
      </c>
      <c r="G522" s="18">
        <v>13978.16</v>
      </c>
      <c r="H522" s="18">
        <f>13265.87+45.31</f>
        <v>13311.18</v>
      </c>
      <c r="I522" s="18">
        <v>158.33000000000001</v>
      </c>
      <c r="J522" s="18"/>
      <c r="K522" s="18">
        <v>129.97</v>
      </c>
      <c r="L522" s="69">
        <f>SUM(F522:K522)</f>
        <v>120555.96</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19679.89</f>
        <v>19679.89</v>
      </c>
      <c r="G524" s="18">
        <v>5789.65</v>
      </c>
      <c r="H524" s="18">
        <f>3809.48+533.31</f>
        <v>4342.79</v>
      </c>
      <c r="I524" s="18"/>
      <c r="J524" s="18">
        <f>349.29</f>
        <v>349.29</v>
      </c>
      <c r="K524" s="18">
        <v>88.98</v>
      </c>
      <c r="L524" s="69">
        <f>SUM(F524:K524)</f>
        <v>30250.600000000002</v>
      </c>
      <c r="N524" s="131"/>
    </row>
    <row r="525" spans="1:14" ht="12.2" customHeight="1" thickTop="1" x14ac:dyDescent="0.2">
      <c r="A525" s="97" t="s">
        <v>63</v>
      </c>
      <c r="B525" s="41">
        <v>21</v>
      </c>
      <c r="C525" s="41">
        <v>4</v>
      </c>
      <c r="D525" s="115" t="s">
        <v>432</v>
      </c>
      <c r="E525" s="41"/>
      <c r="F525" s="81">
        <f>SUM(F522:F524)</f>
        <v>112658.21</v>
      </c>
      <c r="G525" s="81">
        <f t="shared" ref="G525:L525" si="36">SUM(G522:G524)</f>
        <v>19767.809999999998</v>
      </c>
      <c r="H525" s="81">
        <f t="shared" si="36"/>
        <v>17653.97</v>
      </c>
      <c r="I525" s="81">
        <f t="shared" si="36"/>
        <v>158.33000000000001</v>
      </c>
      <c r="J525" s="81">
        <f t="shared" si="36"/>
        <v>349.29</v>
      </c>
      <c r="K525" s="81">
        <f t="shared" si="36"/>
        <v>218.95</v>
      </c>
      <c r="L525" s="70">
        <f t="shared" si="36"/>
        <v>150806.56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194.81+4962.15</f>
        <v>5156.96</v>
      </c>
      <c r="G527" s="18">
        <f>102.54+379.61</f>
        <v>482.15000000000003</v>
      </c>
      <c r="H527" s="18">
        <f>2996.48+25409.6</f>
        <v>28406.079999999998</v>
      </c>
      <c r="I527" s="18">
        <v>262.52</v>
      </c>
      <c r="J527" s="18">
        <v>159.99</v>
      </c>
      <c r="K527" s="18"/>
      <c r="L527" s="69">
        <f>SUM(F527:K527)</f>
        <v>34467.69999999999</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f>693.05</f>
        <v>693.05</v>
      </c>
      <c r="G529" s="18">
        <f>54.08+10.71</f>
        <v>64.789999999999992</v>
      </c>
      <c r="H529" s="18">
        <f>2175.5+8631+8469.87</f>
        <v>19276.370000000003</v>
      </c>
      <c r="I529" s="18"/>
      <c r="J529" s="18"/>
      <c r="K529" s="18"/>
      <c r="L529" s="69">
        <f>SUM(F529:K529)</f>
        <v>20034.210000000003</v>
      </c>
      <c r="M529" s="8"/>
      <c r="N529" s="165"/>
    </row>
    <row r="530" spans="1:14" s="3" customFormat="1" ht="12.2" customHeight="1" thickTop="1" x14ac:dyDescent="0.15">
      <c r="A530" s="97" t="s">
        <v>65</v>
      </c>
      <c r="B530" s="41">
        <v>21</v>
      </c>
      <c r="C530" s="41">
        <v>8</v>
      </c>
      <c r="D530" s="115" t="s">
        <v>432</v>
      </c>
      <c r="E530" s="41"/>
      <c r="F530" s="70">
        <f>SUM(F527:F529)</f>
        <v>5850.01</v>
      </c>
      <c r="G530" s="70">
        <f t="shared" ref="G530:L530" si="37">SUM(G527:G529)</f>
        <v>546.94000000000005</v>
      </c>
      <c r="H530" s="70">
        <f t="shared" si="37"/>
        <v>47682.45</v>
      </c>
      <c r="I530" s="70">
        <f t="shared" si="37"/>
        <v>262.52</v>
      </c>
      <c r="J530" s="70">
        <f t="shared" si="37"/>
        <v>159.99</v>
      </c>
      <c r="K530" s="70">
        <f t="shared" si="37"/>
        <v>0</v>
      </c>
      <c r="L530" s="70">
        <f t="shared" si="37"/>
        <v>54501.909999999989</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20248.61</v>
      </c>
      <c r="I532" s="18"/>
      <c r="J532" s="18"/>
      <c r="K532" s="18"/>
      <c r="L532" s="69">
        <f>SUM(F532:K532)</f>
        <v>20248.61</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v>13499.08</v>
      </c>
      <c r="I534" s="18"/>
      <c r="J534" s="18"/>
      <c r="K534" s="18"/>
      <c r="L534" s="69">
        <f>SUM(F534:K534)</f>
        <v>13499.08</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33747.69</v>
      </c>
      <c r="I535" s="70">
        <f t="shared" si="38"/>
        <v>0</v>
      </c>
      <c r="J535" s="70">
        <f t="shared" si="38"/>
        <v>0</v>
      </c>
      <c r="K535" s="70">
        <f t="shared" si="38"/>
        <v>0</v>
      </c>
      <c r="L535" s="70">
        <f t="shared" si="38"/>
        <v>33747.69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v>8.64</v>
      </c>
      <c r="H542" s="18"/>
      <c r="I542" s="18"/>
      <c r="J542" s="18"/>
      <c r="K542" s="18"/>
      <c r="L542" s="69">
        <f>SUM(F542:K542)</f>
        <v>8.64</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8.64</v>
      </c>
      <c r="H545" s="141">
        <f t="shared" si="40"/>
        <v>0</v>
      </c>
      <c r="I545" s="141">
        <f t="shared" si="40"/>
        <v>0</v>
      </c>
      <c r="J545" s="141">
        <f t="shared" si="40"/>
        <v>0</v>
      </c>
      <c r="K545" s="141">
        <f t="shared" si="40"/>
        <v>0</v>
      </c>
      <c r="L545" s="141">
        <f t="shared" si="40"/>
        <v>8.64</v>
      </c>
      <c r="M545" s="8"/>
      <c r="N545" s="165"/>
    </row>
    <row r="546" spans="1:14" s="3" customFormat="1" ht="12.2" customHeight="1" thickTop="1" x14ac:dyDescent="0.15">
      <c r="A546" s="75" t="s">
        <v>72</v>
      </c>
      <c r="B546" s="41">
        <v>21</v>
      </c>
      <c r="C546" s="41">
        <v>21</v>
      </c>
      <c r="D546" s="115" t="s">
        <v>432</v>
      </c>
      <c r="E546" s="41"/>
      <c r="F546" s="70">
        <f>F525+F530+F535+F540+F545</f>
        <v>118508.22</v>
      </c>
      <c r="G546" s="70">
        <f t="shared" ref="G546:L546" si="41">G525+G530+G535+G540+G545</f>
        <v>20323.389999999996</v>
      </c>
      <c r="H546" s="70">
        <f t="shared" si="41"/>
        <v>99084.11</v>
      </c>
      <c r="I546" s="70">
        <f t="shared" si="41"/>
        <v>420.85</v>
      </c>
      <c r="J546" s="70">
        <f t="shared" si="41"/>
        <v>509.28000000000003</v>
      </c>
      <c r="K546" s="70">
        <f t="shared" si="41"/>
        <v>218.95</v>
      </c>
      <c r="L546" s="70">
        <f t="shared" si="41"/>
        <v>239064.8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120555.96</v>
      </c>
      <c r="G550" s="69">
        <f>L527</f>
        <v>34467.69999999999</v>
      </c>
      <c r="H550" s="69">
        <f>L532</f>
        <v>20248.61</v>
      </c>
      <c r="I550" s="69">
        <f>L537</f>
        <v>0</v>
      </c>
      <c r="J550" s="69">
        <f>L542</f>
        <v>8.64</v>
      </c>
      <c r="K550" s="69">
        <f>SUM(F550:J550)</f>
        <v>175280.91000000003</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30250.600000000002</v>
      </c>
      <c r="G552" s="69">
        <f>L529</f>
        <v>20034.210000000003</v>
      </c>
      <c r="H552" s="69">
        <f>L534</f>
        <v>13499.08</v>
      </c>
      <c r="I552" s="69">
        <f>L539</f>
        <v>0</v>
      </c>
      <c r="J552" s="69">
        <f>L544</f>
        <v>0</v>
      </c>
      <c r="K552" s="69">
        <f>SUM(F552:J552)</f>
        <v>63783.890000000007</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150806.56</v>
      </c>
      <c r="G553" s="70">
        <f t="shared" si="42"/>
        <v>54501.909999999989</v>
      </c>
      <c r="H553" s="70">
        <f t="shared" si="42"/>
        <v>33747.69</v>
      </c>
      <c r="I553" s="70">
        <f t="shared" si="42"/>
        <v>0</v>
      </c>
      <c r="J553" s="70">
        <f t="shared" si="42"/>
        <v>8.64</v>
      </c>
      <c r="K553" s="70">
        <f t="shared" si="42"/>
        <v>239064.80000000005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110277.45</v>
      </c>
      <c r="I592" s="18"/>
      <c r="J592" s="18">
        <v>61313.2</v>
      </c>
      <c r="K592" s="80">
        <f t="shared" ref="K592:K598" si="48">SUM(H592:J592)</f>
        <v>171590.65</v>
      </c>
      <c r="L592" s="23" t="s">
        <v>288</v>
      </c>
      <c r="M592" s="8"/>
      <c r="N592" s="165"/>
    </row>
    <row r="593" spans="1:14" s="3" customFormat="1" ht="12.2" customHeight="1" x14ac:dyDescent="0.15">
      <c r="A593" s="3" t="s">
        <v>638</v>
      </c>
      <c r="B593" s="22">
        <v>23</v>
      </c>
      <c r="C593" s="22">
        <v>2</v>
      </c>
      <c r="D593" s="2" t="s">
        <v>432</v>
      </c>
      <c r="E593" s="22"/>
      <c r="F593" s="78">
        <v>2722</v>
      </c>
      <c r="G593" s="79" t="s">
        <v>97</v>
      </c>
      <c r="H593" s="18">
        <v>8.64</v>
      </c>
      <c r="I593" s="18"/>
      <c r="J593" s="18"/>
      <c r="K593" s="80">
        <f t="shared" si="48"/>
        <v>8.64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1.38</v>
      </c>
      <c r="K594" s="80">
        <f t="shared" si="48"/>
        <v>1.38</v>
      </c>
      <c r="L594" s="23" t="s">
        <v>288</v>
      </c>
      <c r="M594" s="8"/>
      <c r="N594" s="165"/>
    </row>
    <row r="595" spans="1:14" s="3" customFormat="1" ht="12.2" customHeight="1" x14ac:dyDescent="0.15">
      <c r="A595" s="21" t="s">
        <v>640</v>
      </c>
      <c r="B595" s="22">
        <v>23</v>
      </c>
      <c r="C595" s="22">
        <v>4</v>
      </c>
      <c r="D595" s="2" t="s">
        <v>432</v>
      </c>
      <c r="E595" s="22"/>
      <c r="F595" s="78">
        <v>2724</v>
      </c>
      <c r="G595" s="79" t="s">
        <v>97</v>
      </c>
      <c r="H595" s="18">
        <v>1959.3</v>
      </c>
      <c r="I595" s="18"/>
      <c r="J595" s="18">
        <v>10386.620000000001</v>
      </c>
      <c r="K595" s="80">
        <f t="shared" si="48"/>
        <v>12345.92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1869.39</v>
      </c>
      <c r="I596" s="18"/>
      <c r="J596" s="18">
        <v>2370.7399999999998</v>
      </c>
      <c r="K596" s="80">
        <f t="shared" si="48"/>
        <v>4240.13</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114114.78</v>
      </c>
      <c r="I599" s="81">
        <f>SUM(I592:I598)</f>
        <v>0</v>
      </c>
      <c r="J599" s="81">
        <f>SUM(J592:J598)</f>
        <v>74071.94</v>
      </c>
      <c r="K599" s="81">
        <f>SUM(K592:K598)</f>
        <v>188186.72000000003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210.54+5920.66+3180.36+2713.94+474.12+7185.78+7056+289.84</f>
        <v>27031.24</v>
      </c>
      <c r="I605" s="18"/>
      <c r="J605" s="18">
        <f>661.92+3049.33+1863.32+1000+4683.86+4704+96.61</f>
        <v>16059.04</v>
      </c>
      <c r="K605" s="80">
        <f>SUM(H605:J605)</f>
        <v>43090.28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27031.24</v>
      </c>
      <c r="I606" s="81">
        <f>SUM(I603:I605)</f>
        <v>0</v>
      </c>
      <c r="J606" s="81">
        <f>SUM(J603:J605)</f>
        <v>16059.04</v>
      </c>
      <c r="K606" s="81">
        <f>SUM(K603:K605)</f>
        <v>43090.28</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576608.57999999996</v>
      </c>
      <c r="H618" s="80">
        <f>SUM(F52)</f>
        <v>576608.58000000007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123188.7</v>
      </c>
      <c r="H619" s="80">
        <f>SUM(G52)</f>
        <v>123188.70000000001</v>
      </c>
      <c r="I619" s="87" t="s">
        <v>875</v>
      </c>
      <c r="J619" s="80">
        <f>G619-H619</f>
        <v>0</v>
      </c>
      <c r="K619" s="80"/>
      <c r="L619" s="80"/>
      <c r="M619" s="8"/>
    </row>
    <row r="620" spans="1:14" s="3" customFormat="1" ht="12.2" customHeight="1" x14ac:dyDescent="0.15">
      <c r="A620" s="74"/>
      <c r="B620" s="22"/>
      <c r="C620" s="22"/>
      <c r="D620" s="22"/>
      <c r="E620" s="22"/>
      <c r="F620" s="87" t="s">
        <v>685</v>
      </c>
      <c r="G620" s="80">
        <f>SUM(H19)</f>
        <v>79987.570000000007</v>
      </c>
      <c r="H620" s="80">
        <f>SUM(H52)</f>
        <v>79987.569999999992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602212.74</v>
      </c>
      <c r="H622" s="80">
        <f>SUM(J52)</f>
        <v>602212.74</v>
      </c>
      <c r="I622" s="87" t="s">
        <v>878</v>
      </c>
      <c r="J622" s="80">
        <f>G622-H622</f>
        <v>0</v>
      </c>
      <c r="K622" s="80"/>
      <c r="L622" s="80"/>
      <c r="M622" s="8"/>
    </row>
    <row r="623" spans="1:14" s="3" customFormat="1" ht="12.2" customHeight="1" x14ac:dyDescent="0.15">
      <c r="A623" s="74"/>
      <c r="B623" s="22"/>
      <c r="C623" s="22"/>
      <c r="D623" s="22"/>
      <c r="E623" s="22"/>
      <c r="F623" s="87" t="s">
        <v>864</v>
      </c>
      <c r="G623" s="80">
        <f>F51</f>
        <v>423591.71</v>
      </c>
      <c r="H623" s="80">
        <f>F477</f>
        <v>423591.70999999996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40186.030000000006</v>
      </c>
      <c r="H624" s="80">
        <f>G477</f>
        <v>40186.030000000013</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602212.74</v>
      </c>
      <c r="H627" s="80">
        <f>J477</f>
        <v>602212.74000000011</v>
      </c>
      <c r="I627" s="87" t="s">
        <v>105</v>
      </c>
      <c r="J627" s="80">
        <f t="shared" si="50"/>
        <v>0</v>
      </c>
      <c r="K627" s="67"/>
      <c r="L627" s="69"/>
      <c r="M627" s="8"/>
    </row>
    <row r="628" spans="1:13" s="3" customFormat="1" ht="12.2" customHeight="1" x14ac:dyDescent="0.15">
      <c r="A628" s="21"/>
      <c r="B628" s="22"/>
      <c r="C628" s="22"/>
      <c r="D628" s="22"/>
      <c r="E628" s="22"/>
      <c r="F628" s="86" t="s">
        <v>658</v>
      </c>
      <c r="G628" s="80">
        <f>F194</f>
        <v>3100131.62</v>
      </c>
      <c r="H628" s="80">
        <f>SUM(F469)</f>
        <v>3100131.62</v>
      </c>
      <c r="I628" s="87" t="s">
        <v>106</v>
      </c>
      <c r="J628" s="80">
        <f>G628-H628</f>
        <v>0</v>
      </c>
      <c r="K628" s="67"/>
      <c r="L628" s="69"/>
      <c r="M628" s="8"/>
    </row>
    <row r="629" spans="1:13" s="3" customFormat="1" ht="12.2" customHeight="1" x14ac:dyDescent="0.15">
      <c r="A629" s="21"/>
      <c r="B629" s="22"/>
      <c r="C629" s="22"/>
      <c r="D629" s="22"/>
      <c r="E629" s="22"/>
      <c r="F629" s="86" t="s">
        <v>659</v>
      </c>
      <c r="G629" s="80">
        <f>G194</f>
        <v>91961.17</v>
      </c>
      <c r="H629" s="80">
        <f>SUM(G469)</f>
        <v>91961.17</v>
      </c>
      <c r="I629" s="87" t="s">
        <v>107</v>
      </c>
      <c r="J629" s="80">
        <f>G629-H629</f>
        <v>0</v>
      </c>
      <c r="K629" s="67"/>
      <c r="L629" s="69"/>
      <c r="M629" s="8"/>
    </row>
    <row r="630" spans="1:13" s="3" customFormat="1" ht="12.2" customHeight="1" x14ac:dyDescent="0.15">
      <c r="A630" s="21"/>
      <c r="B630" s="22"/>
      <c r="C630" s="22"/>
      <c r="D630" s="22"/>
      <c r="E630" s="22"/>
      <c r="F630" s="86" t="s">
        <v>660</v>
      </c>
      <c r="G630" s="80">
        <f>H194</f>
        <v>275754.90000000002</v>
      </c>
      <c r="H630" s="80">
        <f>SUM(H469)</f>
        <v>275754.90000000002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51597.68</v>
      </c>
      <c r="H632" s="80">
        <f>SUM(J469)</f>
        <v>51597.680000000008</v>
      </c>
      <c r="I632" s="87" t="s">
        <v>110</v>
      </c>
      <c r="J632" s="80">
        <f>G632-H632</f>
        <v>0</v>
      </c>
      <c r="K632" s="67"/>
      <c r="L632" s="69"/>
      <c r="M632" s="8"/>
    </row>
    <row r="633" spans="1:13" s="3" customFormat="1" ht="12.2" customHeight="1" x14ac:dyDescent="0.15">
      <c r="A633" s="21"/>
      <c r="B633" s="22"/>
      <c r="C633" s="22"/>
      <c r="D633" s="22"/>
      <c r="E633" s="22"/>
      <c r="F633" s="86" t="s">
        <v>394</v>
      </c>
      <c r="G633" s="80">
        <f>SUM(L272)</f>
        <v>3180221.14</v>
      </c>
      <c r="H633" s="80">
        <f>SUM(F473)</f>
        <v>3180221.14</v>
      </c>
      <c r="I633" s="87" t="s">
        <v>111</v>
      </c>
      <c r="J633" s="80">
        <f t="shared" si="50"/>
        <v>0</v>
      </c>
      <c r="K633" s="67"/>
      <c r="L633" s="69"/>
      <c r="M633" s="8"/>
    </row>
    <row r="634" spans="1:13" s="3" customFormat="1" ht="12.2" customHeight="1" x14ac:dyDescent="0.15">
      <c r="A634" s="21"/>
      <c r="B634" s="22"/>
      <c r="C634" s="22"/>
      <c r="D634" s="22"/>
      <c r="E634" s="22"/>
      <c r="F634" s="86" t="s">
        <v>395</v>
      </c>
      <c r="G634" s="80">
        <f>SUM(L353)</f>
        <v>275754.89999999997</v>
      </c>
      <c r="H634" s="80">
        <f>SUM(H473)</f>
        <v>275754.90000000002</v>
      </c>
      <c r="I634" s="87" t="s">
        <v>112</v>
      </c>
      <c r="J634" s="80">
        <f>G634-H634</f>
        <v>0</v>
      </c>
      <c r="K634" s="67"/>
      <c r="L634" s="69"/>
      <c r="M634" s="8"/>
    </row>
    <row r="635" spans="1:13" s="124" customFormat="1" ht="12.2" customHeight="1" x14ac:dyDescent="0.15">
      <c r="A635" s="21"/>
      <c r="B635" s="22"/>
      <c r="C635" s="22"/>
      <c r="D635" s="22"/>
      <c r="E635" s="22"/>
      <c r="F635" s="99" t="s">
        <v>247</v>
      </c>
      <c r="G635" s="80">
        <f>I363</f>
        <v>1052.21</v>
      </c>
      <c r="H635" s="80">
        <f>I370</f>
        <v>1052.21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78066.510000000009</v>
      </c>
      <c r="H636" s="80">
        <f>SUM(G473)</f>
        <v>78066.509999999995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51597.679999999993</v>
      </c>
      <c r="H638" s="108">
        <f>SUM(J469)</f>
        <v>51597.680000000008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602212.74</v>
      </c>
      <c r="H641" s="80">
        <f>SUM(G462)</f>
        <v>602212.74</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602212.74</v>
      </c>
      <c r="H643" s="80">
        <f>SUM(I462)</f>
        <v>602212.74</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21597.68</v>
      </c>
      <c r="H645" s="80">
        <f>H409</f>
        <v>21597.68</v>
      </c>
      <c r="I645" s="87" t="s">
        <v>480</v>
      </c>
      <c r="J645" s="80">
        <f t="shared" si="50"/>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0"/>
        <v>0</v>
      </c>
      <c r="K646" s="67"/>
      <c r="L646" s="69"/>
      <c r="M646" s="8"/>
    </row>
    <row r="647" spans="1:13" s="3" customFormat="1" ht="12.2" customHeight="1" x14ac:dyDescent="0.15">
      <c r="A647" s="21"/>
      <c r="B647" s="22"/>
      <c r="C647" s="22"/>
      <c r="D647" s="22"/>
      <c r="E647" s="22"/>
      <c r="F647" s="86" t="s">
        <v>662</v>
      </c>
      <c r="G647" s="80">
        <f>J194</f>
        <v>51597.68</v>
      </c>
      <c r="H647" s="80">
        <f>L409</f>
        <v>51597.679999999993</v>
      </c>
      <c r="I647" s="87" t="s">
        <v>477</v>
      </c>
      <c r="J647" s="80">
        <f t="shared" si="50"/>
        <v>0</v>
      </c>
      <c r="K647" s="67"/>
      <c r="L647" s="69"/>
      <c r="M647" s="8"/>
    </row>
    <row r="648" spans="1:13" s="3" customFormat="1" ht="12.2" customHeight="1" x14ac:dyDescent="0.15">
      <c r="A648" s="21"/>
      <c r="B648" s="22"/>
      <c r="C648" s="22"/>
      <c r="D648" s="22"/>
      <c r="E648" s="22"/>
      <c r="F648" s="86" t="s">
        <v>51</v>
      </c>
      <c r="G648" s="80">
        <f>K599</f>
        <v>188186.72000000003</v>
      </c>
      <c r="H648" s="80">
        <f>L209+L227+L245</f>
        <v>188186.72</v>
      </c>
      <c r="I648" s="87" t="s">
        <v>396</v>
      </c>
      <c r="J648" s="80">
        <f t="shared" si="50"/>
        <v>0</v>
      </c>
      <c r="K648" s="67"/>
      <c r="L648" s="69"/>
      <c r="M648" s="8"/>
    </row>
    <row r="649" spans="1:13" s="3" customFormat="1" ht="12.2" customHeight="1" x14ac:dyDescent="0.15">
      <c r="A649" s="21"/>
      <c r="B649" s="22"/>
      <c r="C649" s="22"/>
      <c r="D649" s="22"/>
      <c r="E649" s="22"/>
      <c r="F649" s="86" t="s">
        <v>52</v>
      </c>
      <c r="G649" s="80">
        <f>K606</f>
        <v>43090.28</v>
      </c>
      <c r="H649" s="80">
        <f>(J258+J339)-(J256+J337)</f>
        <v>43090.28</v>
      </c>
      <c r="I649" s="87" t="s">
        <v>699</v>
      </c>
      <c r="J649" s="80">
        <f t="shared" si="50"/>
        <v>0</v>
      </c>
      <c r="K649" s="67"/>
      <c r="L649" s="69"/>
      <c r="M649" s="8"/>
    </row>
    <row r="650" spans="1:13" s="3" customFormat="1" ht="12.2" customHeight="1" x14ac:dyDescent="0.15">
      <c r="A650" s="21"/>
      <c r="B650" s="22"/>
      <c r="C650" s="22"/>
      <c r="D650" s="22"/>
      <c r="E650" s="22"/>
      <c r="F650" s="86" t="s">
        <v>387</v>
      </c>
      <c r="G650" s="80">
        <f>L209</f>
        <v>114114.78</v>
      </c>
      <c r="H650" s="80">
        <f>H599</f>
        <v>114114.78</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74071.94</v>
      </c>
      <c r="H652" s="80">
        <f>J599</f>
        <v>74071.94</v>
      </c>
      <c r="I652" s="87" t="s">
        <v>390</v>
      </c>
      <c r="J652" s="80">
        <f t="shared" si="50"/>
        <v>0</v>
      </c>
      <c r="K652" s="67"/>
      <c r="L652" s="69"/>
      <c r="M652" s="8"/>
    </row>
    <row r="653" spans="1:13" s="3" customFormat="1" ht="12.2" customHeight="1" x14ac:dyDescent="0.15">
      <c r="A653" s="21"/>
      <c r="B653" s="22"/>
      <c r="C653" s="22"/>
      <c r="D653" s="22"/>
      <c r="E653" s="22"/>
      <c r="F653" s="86" t="s">
        <v>665</v>
      </c>
      <c r="G653" s="80">
        <f>G180+G182</f>
        <v>45000</v>
      </c>
      <c r="H653" s="80">
        <f>K264+K346</f>
        <v>45000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2068358.11</v>
      </c>
      <c r="G661" s="13">
        <f>(L230+L310+L360)</f>
        <v>0</v>
      </c>
      <c r="H661" s="13">
        <f>(L248+L329+L361)</f>
        <v>1386660.52</v>
      </c>
      <c r="I661" s="13">
        <f>SUM(F661:H661)</f>
        <v>3455018.63</v>
      </c>
      <c r="J661" s="13"/>
      <c r="K661" s="13"/>
      <c r="L661" s="13"/>
      <c r="M661" s="9"/>
    </row>
    <row r="662" spans="1:13" s="3" customFormat="1" ht="12.2" customHeight="1" x14ac:dyDescent="0.2">
      <c r="A662" s="1" t="s">
        <v>127</v>
      </c>
      <c r="F662" s="13">
        <f>(L359/IF(SUM(L359:L361)=0,1,SUM(L359:L361))*(SUM(G97:G110)))</f>
        <v>12912.931608511766</v>
      </c>
      <c r="G662" s="13">
        <f>(L360/IF(SUM(L359:L361)=0,1,SUM(L359:L361))*(SUM(G97:G110)))</f>
        <v>0</v>
      </c>
      <c r="H662" s="13">
        <f>(L361/IF(SUM(L359:L361)=0,1,SUM(L359:L361))*(SUM(G97:G110)))</f>
        <v>8173.7483914882323</v>
      </c>
      <c r="I662" s="13">
        <f>SUM(F662:H662)</f>
        <v>21086.68</v>
      </c>
      <c r="J662"/>
      <c r="K662" s="13"/>
      <c r="L662" s="13"/>
      <c r="M662" s="8"/>
    </row>
    <row r="663" spans="1:13" s="3" customFormat="1" ht="12.2" customHeight="1" x14ac:dyDescent="0.2">
      <c r="A663" s="1" t="s">
        <v>128</v>
      </c>
      <c r="F663" s="13">
        <f>(L209+L288)-(J209+J288)</f>
        <v>113824.94</v>
      </c>
      <c r="G663" s="13">
        <f>(L227+L307)-(J227+J307)</f>
        <v>0</v>
      </c>
      <c r="H663" s="13">
        <f>(L245+L326)-(J245+J326)</f>
        <v>73975.33</v>
      </c>
      <c r="I663" s="13">
        <f>SUM(F663:H663)</f>
        <v>187800.27000000002</v>
      </c>
      <c r="J663"/>
      <c r="K663" s="13"/>
      <c r="L663" s="13"/>
      <c r="M663" s="9"/>
    </row>
    <row r="664" spans="1:13" s="3" customFormat="1" ht="12.2" customHeight="1" x14ac:dyDescent="0.15">
      <c r="A664" s="142" t="s">
        <v>129</v>
      </c>
      <c r="B664" s="124"/>
      <c r="C664" s="124"/>
      <c r="D664" s="124"/>
      <c r="E664" s="124"/>
      <c r="F664" s="143">
        <f>SUM(F576:F588)+SUM(H603:H605)+SUM(L612)</f>
        <v>27031.24</v>
      </c>
      <c r="G664" s="143">
        <f>SUM(G576:G588)+SUM(I603:I605)+L613</f>
        <v>0</v>
      </c>
      <c r="H664" s="143">
        <f>SUM(H576:H588)+SUM(J603:J605)+L614</f>
        <v>16059.04</v>
      </c>
      <c r="I664" s="13">
        <f>SUM(F664:H664)</f>
        <v>43090.28</v>
      </c>
      <c r="J664" s="13"/>
      <c r="K664" s="13"/>
      <c r="L664" s="13"/>
      <c r="M664" s="9"/>
    </row>
    <row r="665" spans="1:13" s="3" customFormat="1" ht="12.2" customHeight="1" x14ac:dyDescent="0.15">
      <c r="A665" s="1" t="s">
        <v>130</v>
      </c>
      <c r="F665" s="13">
        <f>F661-SUM(F662:F664)</f>
        <v>1914588.9983914883</v>
      </c>
      <c r="G665" s="13">
        <f>G661-SUM(G662:G664)</f>
        <v>0</v>
      </c>
      <c r="H665" s="13">
        <f>H661-SUM(H662:H664)</f>
        <v>1288452.4016085118</v>
      </c>
      <c r="I665" s="13">
        <f>I661-SUM(I662:I664)</f>
        <v>3203041.4</v>
      </c>
      <c r="J665" s="13"/>
      <c r="K665" s="13"/>
      <c r="L665" s="13"/>
      <c r="M665" s="8"/>
    </row>
    <row r="666" spans="1:13" s="3" customFormat="1" ht="12.2" customHeight="1" x14ac:dyDescent="0.2">
      <c r="A666" s="1" t="s">
        <v>131</v>
      </c>
      <c r="F666" s="183">
        <f>0.85+8.44+36.72</f>
        <v>46.01</v>
      </c>
      <c r="G666" s="184"/>
      <c r="H666" s="184">
        <v>36.22</v>
      </c>
      <c r="I666" s="13">
        <f>SUM(F666:H666)</f>
        <v>82.22999999999999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41612.449999999997</v>
      </c>
      <c r="G668" s="13" t="e">
        <f>ROUND(G665/G666,2)</f>
        <v>#DIV/0!</v>
      </c>
      <c r="H668" s="13">
        <f>ROUND(H665/H666,2)</f>
        <v>35572.949999999997</v>
      </c>
      <c r="I668" s="13">
        <f>ROUND(I665/I666,2)</f>
        <v>38952.22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-0.17</v>
      </c>
      <c r="I671" s="13">
        <f>SUM(F671:H671)</f>
        <v>-0.17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41612.449999999997</v>
      </c>
      <c r="G673" s="13" t="e">
        <f>ROUND((G665+G670)/(G666+G671),2)</f>
        <v>#DIV/0!</v>
      </c>
      <c r="H673" s="13">
        <f>ROUND((H665+H670)/(H666+H671),2)</f>
        <v>35740.699999999997</v>
      </c>
      <c r="I673" s="13">
        <f>ROUND((I665+I670)/(I666+I671),2)</f>
        <v>39032.92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horizontalDpi="300" verticalDpi="300"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7" sqref="E17"/>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31416.54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4628.77+2830.73+1438.72+1890.39</f>
        <v>10788.609999999999</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9176+9327.5+2124.43</f>
        <v>20627.93</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Pittsburg</v>
      </c>
      <c r="C5" s="317"/>
      <c r="D5" s="317"/>
      <c r="E5" s="317"/>
      <c r="F5" s="317"/>
    </row>
    <row r="8" spans="1:9" ht="18" x14ac:dyDescent="0.25">
      <c r="A8" s="240" t="s">
        <v>1560</v>
      </c>
      <c r="F8" s="247" t="s">
        <v>1578</v>
      </c>
    </row>
    <row r="9" spans="1:9" ht="15" x14ac:dyDescent="0.2">
      <c r="A9" s="238" t="s">
        <v>1561</v>
      </c>
      <c r="B9" s="241">
        <f>'DOE25'!G97</f>
        <v>21086.68</v>
      </c>
      <c r="F9" s="238" t="s">
        <v>1574</v>
      </c>
    </row>
    <row r="10" spans="1:9" ht="15" x14ac:dyDescent="0.2">
      <c r="A10" s="238" t="s">
        <v>1562</v>
      </c>
      <c r="B10" s="241">
        <f>'DOE25'!G112-'DOE25'!G97</f>
        <v>0</v>
      </c>
      <c r="F10" s="238" t="s">
        <v>1575</v>
      </c>
    </row>
    <row r="11" spans="1:9" ht="15" x14ac:dyDescent="0.2">
      <c r="A11" s="238" t="s">
        <v>1563</v>
      </c>
      <c r="B11" s="241">
        <f>'DOE25'!G140</f>
        <v>4878.29</v>
      </c>
      <c r="F11" s="238" t="s">
        <v>1576</v>
      </c>
    </row>
    <row r="12" spans="1:9" ht="15" x14ac:dyDescent="0.2">
      <c r="A12" s="238" t="s">
        <v>1564</v>
      </c>
      <c r="B12" s="241">
        <f>'DOE25'!G170</f>
        <v>20996.2</v>
      </c>
      <c r="F12" s="238" t="s">
        <v>1577</v>
      </c>
    </row>
    <row r="13" spans="1:9" ht="15" x14ac:dyDescent="0.2">
      <c r="A13" s="238" t="s">
        <v>1565</v>
      </c>
      <c r="B13" s="241">
        <f>'DOE25'!G193-'DOE25'!G180</f>
        <v>0</v>
      </c>
      <c r="F13" s="238" t="s">
        <v>1587</v>
      </c>
    </row>
    <row r="14" spans="1:9" ht="18" x14ac:dyDescent="0.25">
      <c r="A14" s="240" t="s">
        <v>732</v>
      </c>
      <c r="B14" s="242">
        <f>SUM(B9:B13)</f>
        <v>46961.17</v>
      </c>
    </row>
    <row r="16" spans="1:9" ht="18" x14ac:dyDescent="0.25">
      <c r="A16" s="240" t="s">
        <v>786</v>
      </c>
      <c r="F16" s="247" t="s">
        <v>1579</v>
      </c>
    </row>
    <row r="17" spans="1:6" ht="15" x14ac:dyDescent="0.2">
      <c r="A17" s="238" t="s">
        <v>1566</v>
      </c>
      <c r="B17" s="241">
        <f>'DOE25'!L363-'DOE25'!L362</f>
        <v>78066.510000000009</v>
      </c>
      <c r="F17" s="238" t="s">
        <v>1580</v>
      </c>
    </row>
    <row r="18" spans="1:6" ht="15" x14ac:dyDescent="0.2">
      <c r="A18" s="238" t="s">
        <v>1567</v>
      </c>
      <c r="B18" s="251"/>
      <c r="F18" s="247" t="s">
        <v>1604</v>
      </c>
    </row>
    <row r="19" spans="1:6" ht="18" x14ac:dyDescent="0.25">
      <c r="A19" s="240" t="s">
        <v>725</v>
      </c>
      <c r="B19" s="242">
        <f>SUM(B17:B18)</f>
        <v>78066.510000000009</v>
      </c>
    </row>
    <row r="21" spans="1:6" ht="18.75" thickBot="1" x14ac:dyDescent="0.3">
      <c r="A21" s="240" t="s">
        <v>1568</v>
      </c>
    </row>
    <row r="22" spans="1:6" ht="18.75" thickTop="1" x14ac:dyDescent="0.25">
      <c r="A22" s="240" t="s">
        <v>1569</v>
      </c>
      <c r="B22" s="246">
        <f>B14-B19</f>
        <v>-31105.340000000011</v>
      </c>
      <c r="F22" s="238" t="s">
        <v>1581</v>
      </c>
    </row>
    <row r="26" spans="1:6" ht="18" x14ac:dyDescent="0.25">
      <c r="A26" s="240" t="s">
        <v>186</v>
      </c>
    </row>
    <row r="27" spans="1:6" ht="15" x14ac:dyDescent="0.2">
      <c r="A27" s="238" t="s">
        <v>1570</v>
      </c>
      <c r="B27" s="241">
        <f>'DOE25'!G180</f>
        <v>45000</v>
      </c>
      <c r="F27" s="238" t="s">
        <v>1582</v>
      </c>
    </row>
    <row r="28" spans="1:6" ht="15" x14ac:dyDescent="0.2">
      <c r="A28" s="238" t="s">
        <v>1572</v>
      </c>
      <c r="B28" s="241">
        <f>'DOE25'!L362</f>
        <v>0</v>
      </c>
      <c r="F28" s="238" t="s">
        <v>1583</v>
      </c>
    </row>
    <row r="31" spans="1:6" ht="15" x14ac:dyDescent="0.2">
      <c r="A31" s="238" t="s">
        <v>1797</v>
      </c>
      <c r="B31" s="241">
        <f>'DOE25'!G466</f>
        <v>27384.99</v>
      </c>
      <c r="F31" s="238" t="s">
        <v>1584</v>
      </c>
    </row>
    <row r="33" spans="1:6" ht="15" x14ac:dyDescent="0.2">
      <c r="A33" s="238" t="s">
        <v>1798</v>
      </c>
      <c r="B33" s="241">
        <f>'DOE25'!G477</f>
        <v>40186.030000000013</v>
      </c>
      <c r="F33" s="238" t="s">
        <v>1585</v>
      </c>
    </row>
    <row r="36" spans="1:6" ht="15" x14ac:dyDescent="0.2">
      <c r="A36" s="238" t="s">
        <v>1571</v>
      </c>
      <c r="B36" s="252">
        <v>4580.08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Pittsburg</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812651.87</v>
      </c>
      <c r="C9" s="167">
        <f>'DOE25'!G198+'DOE25'!G216+'DOE25'!G234+'DOE25'!G277+'DOE25'!G296+'DOE25'!G315</f>
        <v>477941.00999999995</v>
      </c>
    </row>
    <row r="10" spans="1:3" x14ac:dyDescent="0.2">
      <c r="A10" t="s">
        <v>775</v>
      </c>
      <c r="B10" s="177">
        <f>697762.26+2625+20238.75+31108.25+11250</f>
        <v>762984.26</v>
      </c>
      <c r="C10" s="177">
        <f>C9-C12</f>
        <v>474141.43783499993</v>
      </c>
    </row>
    <row r="11" spans="1:3" x14ac:dyDescent="0.2">
      <c r="A11" t="s">
        <v>776</v>
      </c>
      <c r="B11" s="177" t="s">
        <v>286</v>
      </c>
      <c r="C11" s="177"/>
    </row>
    <row r="12" spans="1:3" x14ac:dyDescent="0.2">
      <c r="A12" t="s">
        <v>777</v>
      </c>
      <c r="B12" s="177">
        <f>49667.61</f>
        <v>49667.61</v>
      </c>
      <c r="C12" s="177">
        <f>B12*0.0765</f>
        <v>3799.572165</v>
      </c>
    </row>
    <row r="13" spans="1:3" x14ac:dyDescent="0.2">
      <c r="A13" t="str">
        <f>IF(B9=B13,IF(C9=C13,"Check Total OK","Check Total Error"),"Check Total Error")</f>
        <v>Check Total OK</v>
      </c>
      <c r="B13" s="169">
        <f>SUM(B10:B12)</f>
        <v>812651.87</v>
      </c>
      <c r="C13" s="169">
        <f>SUM(C10:C12)</f>
        <v>477941.00999999995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147055.08000000002</v>
      </c>
      <c r="C18" s="167">
        <f>'DOE25'!G199+'DOE25'!G217+'DOE25'!G235+'DOE25'!G278+'DOE25'!G297+'DOE25'!G316</f>
        <v>29079.38</v>
      </c>
    </row>
    <row r="19" spans="1:3" x14ac:dyDescent="0.2">
      <c r="A19" t="s">
        <v>775</v>
      </c>
      <c r="B19" s="177">
        <f>56036+750</f>
        <v>56786</v>
      </c>
      <c r="C19" s="177">
        <f>C18-C20-C21</f>
        <v>22173.795380000003</v>
      </c>
    </row>
    <row r="20" spans="1:3" x14ac:dyDescent="0.2">
      <c r="A20" t="s">
        <v>776</v>
      </c>
      <c r="B20" s="177">
        <f>80984.41+3130+1852.5+378.63</f>
        <v>86345.540000000008</v>
      </c>
      <c r="C20" s="177">
        <f>B20*0.0765</f>
        <v>6605.4338100000004</v>
      </c>
    </row>
    <row r="21" spans="1:3" x14ac:dyDescent="0.2">
      <c r="A21" t="s">
        <v>777</v>
      </c>
      <c r="B21" s="177">
        <f>3923.54</f>
        <v>3923.54</v>
      </c>
      <c r="C21" s="177">
        <f>B21*0.0765</f>
        <v>300.15080999999998</v>
      </c>
    </row>
    <row r="22" spans="1:3" x14ac:dyDescent="0.2">
      <c r="A22" t="str">
        <f>IF(B18=B22,IF(C18=C22,"Check Total OK","Check Total Error"),"Check Total Error")</f>
        <v>Check Total OK</v>
      </c>
      <c r="B22" s="169">
        <f>SUM(B19:B21)</f>
        <v>147055.08000000002</v>
      </c>
      <c r="C22" s="169">
        <f>SUM(C19:C21)</f>
        <v>29079.380000000005</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700</v>
      </c>
      <c r="C27" s="172">
        <f>'DOE25'!G200+'DOE25'!G218+'DOE25'!G236+'DOE25'!G279+'DOE25'!G298+'DOE25'!G317</f>
        <v>199.79</v>
      </c>
    </row>
    <row r="28" spans="1:3" x14ac:dyDescent="0.2">
      <c r="A28" t="s">
        <v>775</v>
      </c>
      <c r="B28" s="177">
        <f>700</f>
        <v>700</v>
      </c>
      <c r="C28" s="177">
        <v>199.79</v>
      </c>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700</v>
      </c>
      <c r="C31" s="169">
        <f>SUM(C28:C30)</f>
        <v>199.79</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31175.57</v>
      </c>
      <c r="C36" s="173">
        <f>'DOE25'!G201+'DOE25'!G219+'DOE25'!G237+'DOE25'!G280+'DOE25'!G299+'DOE25'!G318</f>
        <v>4844.88</v>
      </c>
    </row>
    <row r="37" spans="1:3" x14ac:dyDescent="0.2">
      <c r="A37" t="s">
        <v>775</v>
      </c>
      <c r="B37" s="177">
        <f>31175.57</f>
        <v>31175.57</v>
      </c>
      <c r="C37" s="177">
        <v>4844.88</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31175.57</v>
      </c>
      <c r="C40" s="169">
        <f>SUM(C37:C39)</f>
        <v>4844.88</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0" sqref="F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Pittsburg</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1543974.12</v>
      </c>
      <c r="D5" s="19">
        <f>SUM('DOE25'!L198:L201)+SUM('DOE25'!L216:L219)+SUM('DOE25'!L234:L237)-F5-G5-H5</f>
        <v>1524453.82</v>
      </c>
      <c r="E5" s="180"/>
      <c r="F5" s="181"/>
      <c r="G5" s="19">
        <f>SUM('DOE25'!J198:J201)+SUM('DOE25'!J216:J219)+SUM('DOE25'!J234:J237)</f>
        <v>12021.09</v>
      </c>
      <c r="H5" s="19">
        <f>SUM('DOE25'!K198:K201)+SUM('DOE25'!K216:K219)+SUM('DOE25'!K234:K237)</f>
        <v>7499.2099999999991</v>
      </c>
      <c r="I5" s="192"/>
    </row>
    <row r="6" spans="1:9" x14ac:dyDescent="0.2">
      <c r="A6" s="31">
        <v>2100</v>
      </c>
      <c r="B6" t="s">
        <v>796</v>
      </c>
      <c r="C6" s="206">
        <f t="shared" si="0"/>
        <v>268891.53000000003</v>
      </c>
      <c r="D6" s="19">
        <f>'DOE25'!L203+'DOE25'!L221+'DOE25'!L239-F6-G6-H6</f>
        <v>255217.53000000003</v>
      </c>
      <c r="E6" s="180"/>
      <c r="F6" s="181"/>
      <c r="G6" s="19">
        <f>'DOE25'!J203+'DOE25'!J221+'DOE25'!J239</f>
        <v>6389.68</v>
      </c>
      <c r="H6" s="19">
        <f>'DOE25'!K203+'DOE25'!K221+'DOE25'!K239</f>
        <v>7284.32</v>
      </c>
      <c r="I6" s="192"/>
    </row>
    <row r="7" spans="1:9" x14ac:dyDescent="0.2">
      <c r="A7" s="31">
        <v>2200</v>
      </c>
      <c r="B7" t="s">
        <v>820</v>
      </c>
      <c r="C7" s="206">
        <f t="shared" si="0"/>
        <v>69038.829999999987</v>
      </c>
      <c r="D7" s="19">
        <f>'DOE25'!L204+'DOE25'!L222+'DOE25'!L240-F7-G7-H7</f>
        <v>62677.729999999989</v>
      </c>
      <c r="E7" s="180"/>
      <c r="F7" s="181"/>
      <c r="G7" s="19">
        <f>'DOE25'!J204+'DOE25'!J222+'DOE25'!J240</f>
        <v>0</v>
      </c>
      <c r="H7" s="19">
        <f>'DOE25'!K204+'DOE25'!K222+'DOE25'!K240</f>
        <v>6361.1</v>
      </c>
      <c r="I7" s="192"/>
    </row>
    <row r="8" spans="1:9" x14ac:dyDescent="0.2">
      <c r="A8" s="31">
        <v>2300</v>
      </c>
      <c r="B8" t="s">
        <v>797</v>
      </c>
      <c r="C8" s="206">
        <f t="shared" si="0"/>
        <v>362033.72999999992</v>
      </c>
      <c r="D8" s="180"/>
      <c r="E8" s="19">
        <f>'DOE25'!L205+'DOE25'!L223+'DOE25'!L241-F8-G8-H8-D9-D11</f>
        <v>358524.1999999999</v>
      </c>
      <c r="F8" s="181"/>
      <c r="G8" s="19">
        <f>'DOE25'!J205+'DOE25'!J223+'DOE25'!J241</f>
        <v>0</v>
      </c>
      <c r="H8" s="19">
        <f>'DOE25'!K205+'DOE25'!K223+'DOE25'!K241</f>
        <v>3509.5299999999997</v>
      </c>
      <c r="I8" s="192"/>
    </row>
    <row r="9" spans="1:9" ht="14.25" x14ac:dyDescent="0.2">
      <c r="A9" s="31">
        <v>2310</v>
      </c>
      <c r="B9" s="71" t="s">
        <v>887</v>
      </c>
      <c r="C9" s="206">
        <f t="shared" si="0"/>
        <v>71491.08</v>
      </c>
      <c r="D9" s="181">
        <v>71491.08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216164.28999999998</v>
      </c>
      <c r="D12" s="19">
        <f>'DOE25'!L206+'DOE25'!L224+'DOE25'!L242-F12-G12-H12</f>
        <v>211695.94999999998</v>
      </c>
      <c r="E12" s="180"/>
      <c r="F12" s="181"/>
      <c r="G12" s="19">
        <f>'DOE25'!J206+'DOE25'!J224+'DOE25'!J242</f>
        <v>0</v>
      </c>
      <c r="H12" s="19">
        <f>'DOE25'!K206+'DOE25'!K224+'DOE25'!K242</f>
        <v>4468.34</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376326.86</v>
      </c>
      <c r="D14" s="19">
        <f>'DOE25'!L208+'DOE25'!L226+'DOE25'!L244-F14-G14-H14</f>
        <v>363531.74</v>
      </c>
      <c r="E14" s="180"/>
      <c r="F14" s="181"/>
      <c r="G14" s="19">
        <f>'DOE25'!J208+'DOE25'!J226+'DOE25'!J244</f>
        <v>11709.65</v>
      </c>
      <c r="H14" s="19">
        <f>'DOE25'!K208+'DOE25'!K226+'DOE25'!K244</f>
        <v>1085.47</v>
      </c>
      <c r="I14" s="192"/>
    </row>
    <row r="15" spans="1:9" x14ac:dyDescent="0.2">
      <c r="A15" s="31">
        <v>2700</v>
      </c>
      <c r="B15" t="s">
        <v>799</v>
      </c>
      <c r="C15" s="206">
        <f t="shared" si="0"/>
        <v>188186.71999999997</v>
      </c>
      <c r="D15" s="19">
        <f>'DOE25'!L209+'DOE25'!L227+'DOE25'!L245-F15-G15-H15</f>
        <v>101394.56</v>
      </c>
      <c r="E15" s="180"/>
      <c r="F15" s="181"/>
      <c r="G15" s="19">
        <f>'DOE25'!J209+'DOE25'!J227+'DOE25'!J245</f>
        <v>386.45</v>
      </c>
      <c r="H15" s="19">
        <f>'DOE25'!K209+'DOE25'!K227+'DOE25'!K245</f>
        <v>86405.709999999992</v>
      </c>
      <c r="I15" s="192"/>
    </row>
    <row r="16" spans="1:9" x14ac:dyDescent="0.2">
      <c r="A16" s="31">
        <v>2800</v>
      </c>
      <c r="B16" t="s">
        <v>800</v>
      </c>
      <c r="C16" s="206">
        <f t="shared" si="0"/>
        <v>7150.06</v>
      </c>
      <c r="D16" s="180"/>
      <c r="E16" s="19">
        <f>'DOE25'!L210+'DOE25'!L228+'DOE25'!L246-F16-G16-H16</f>
        <v>7150.06</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2060</v>
      </c>
      <c r="D22" s="180"/>
      <c r="E22" s="180"/>
      <c r="F22" s="180"/>
      <c r="G22" s="19">
        <f>'DOE25'!L256+'DOE25'!L337</f>
        <v>2060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58180.300000000017</v>
      </c>
      <c r="D29" s="212">
        <f>'DOE25'!L359+'DOE25'!L360+'DOE25'!L361-'DOE25'!I368-F29-G29-H29-F39</f>
        <v>48664.780000000013</v>
      </c>
      <c r="E29" s="180"/>
      <c r="F29" s="180"/>
      <c r="G29" s="19">
        <f>'DOE25'!J359+'DOE25'!J360+'DOE25'!J361</f>
        <v>9515.52</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273694.89999999997</v>
      </c>
      <c r="D31" s="19">
        <f>'DOE25'!L291+'DOE25'!L310+'DOE25'!L329+'DOE25'!L334+'DOE25'!L335+'DOE25'!L336-F31-G31-H31</f>
        <v>248672.43999999997</v>
      </c>
      <c r="E31" s="180"/>
      <c r="F31" s="181"/>
      <c r="G31" s="19">
        <f>'DOE25'!J291+'DOE25'!J310+'DOE25'!J329+'DOE25'!J334+'DOE25'!J335+'DOE25'!J336</f>
        <v>12583.41</v>
      </c>
      <c r="H31" s="19">
        <f>'DOE25'!K291+'DOE25'!K310+'DOE25'!K329+'DOE25'!K334+'DOE25'!K335+'DOE25'!K336</f>
        <v>12439.05</v>
      </c>
      <c r="I31" s="192"/>
    </row>
    <row r="32" spans="1:9" ht="12" thickBot="1" x14ac:dyDescent="0.25">
      <c r="C32" s="207"/>
      <c r="G32" s="188"/>
      <c r="H32" s="188"/>
      <c r="I32" s="194"/>
    </row>
    <row r="33" spans="1:9" ht="12" thickTop="1" x14ac:dyDescent="0.2">
      <c r="B33" t="s">
        <v>809</v>
      </c>
      <c r="D33" s="182">
        <f t="shared" ref="D33:I33" si="1">SUM(D5:D31)</f>
        <v>2887799.6300000004</v>
      </c>
      <c r="E33" s="182">
        <f t="shared" si="1"/>
        <v>365674.25999999989</v>
      </c>
      <c r="F33" s="182">
        <f t="shared" si="1"/>
        <v>0</v>
      </c>
      <c r="G33" s="182">
        <f t="shared" si="1"/>
        <v>54665.8</v>
      </c>
      <c r="H33" s="182">
        <f t="shared" si="1"/>
        <v>129052.73</v>
      </c>
      <c r="I33" s="182">
        <f t="shared" si="1"/>
        <v>0</v>
      </c>
    </row>
    <row r="34" spans="1:9" ht="12" thickBot="1" x14ac:dyDescent="0.25"/>
    <row r="35" spans="1:9" ht="12" thickBot="1" x14ac:dyDescent="0.25">
      <c r="B35" s="188" t="s">
        <v>830</v>
      </c>
      <c r="D35" s="189">
        <f>E33</f>
        <v>365674.25999999989</v>
      </c>
      <c r="E35" s="185"/>
      <c r="F35" s="295" t="s">
        <v>1608</v>
      </c>
      <c r="G35" s="296"/>
      <c r="H35" s="296"/>
      <c r="I35" s="297"/>
    </row>
    <row r="36" spans="1:9" ht="12" thickTop="1" x14ac:dyDescent="0.2">
      <c r="B36" t="s">
        <v>810</v>
      </c>
      <c r="D36" s="19">
        <f>D33</f>
        <v>2887799.6300000004</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19841.810000000001</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7" zoomScale="80" zoomScaleNormal="8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Pittsburg</v>
      </c>
      <c r="B2">
        <f>'DOE25'!B2</f>
        <v>437</v>
      </c>
      <c r="J2" s="224" t="s">
        <v>1808</v>
      </c>
      <c r="K2" s="309">
        <f>SUM('DOE25'!L198:L201)+SUM('DOE25'!L216:L219)+SUM('DOE25'!L234:L237)+SUM('DOE25'!L277:L280)+SUM('DOE25'!L296:L299)+SUM('DOE25'!L315:L318)</f>
        <v>1663545.56</v>
      </c>
      <c r="L2" s="309">
        <f>'DOE25'!L203+'DOE25'!L221+'DOE25'!L239+'DOE25'!L282+'DOE25'!L301+'DOE25'!L320</f>
        <v>283162.54000000004</v>
      </c>
      <c r="M2" s="309">
        <f>'DOE25'!L204+'DOE25'!L222+'DOE25'!L240+'DOE25'!L283+'DOE25'!L302+'DOE25'!L321</f>
        <v>162822.01999999996</v>
      </c>
      <c r="N2" s="309">
        <f>'DOE25'!L206+'DOE25'!L224+'DOE25'!L242+'DOE25'!L285+'DOE25'!L304+'DOE25'!L323</f>
        <v>218303.52999999997</v>
      </c>
      <c r="O2" s="309">
        <f>'Salaries-Benefits'!B10+'Salaries-Benefits'!B12+'Salaries-Benefits'!B19+'Salaries-Benefits'!B21+'Salaries-Benefits'!B28+'Salaries-Benefits'!B30+'Salaries-Benefits'!B37+'Salaries-Benefits'!B39</f>
        <v>905236.98</v>
      </c>
      <c r="P2" s="309" t="e">
        <f>'Salaries-Benefits'!B11+'Salaries-Benefits'!B20+'Salaries-Benefits'!B29+'Salaries-Benefits'!B38</f>
        <v>#VALUE!</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-1663545.56</v>
      </c>
      <c r="L3" s="311">
        <f t="shared" ref="L3:P3" si="0">L21+L33+L43-L2</f>
        <v>-283162.54000000004</v>
      </c>
      <c r="M3" s="311">
        <f t="shared" si="0"/>
        <v>-162822.01999999996</v>
      </c>
      <c r="N3" s="311">
        <f t="shared" si="0"/>
        <v>-218303.52999999997</v>
      </c>
      <c r="O3" s="311">
        <f t="shared" si="0"/>
        <v>-905236.98</v>
      </c>
      <c r="P3" s="311" t="e">
        <f t="shared" si="0"/>
        <v>#VALUE!</v>
      </c>
      <c r="Q3" s="310"/>
      <c r="R3" s="306"/>
      <c r="S3" s="215"/>
      <c r="T3" s="215"/>
      <c r="U3" s="216"/>
    </row>
    <row r="4" spans="1:21" ht="55.5" customHeight="1" thickBot="1" x14ac:dyDescent="0.25">
      <c r="A4" s="224" t="s">
        <v>1522</v>
      </c>
      <c r="B4" s="224" t="s">
        <v>1523</v>
      </c>
      <c r="C4" s="224" t="s">
        <v>896</v>
      </c>
      <c r="D4" s="224" t="s">
        <v>786</v>
      </c>
      <c r="E4" s="224" t="s">
        <v>786</v>
      </c>
      <c r="F4" s="228">
        <f>SUM(F5:F20)</f>
        <v>2020552.22</v>
      </c>
      <c r="G4" s="229">
        <f>'DOE25'!L212+'DOE25'!L291</f>
        <v>2020552.2200000002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Pittsburg School (Elem)</v>
      </c>
      <c r="B6" s="230">
        <f>IFERROR(VLOOKUP(A6,'School Tables'!$C$3:$D$365,2,FALSE),"")</f>
        <v>20205</v>
      </c>
      <c r="C6" s="223" t="str">
        <f>IFERROR(INDEX('School Tables'!$B$3:$B$365,MATCH('School Level Expenditures'!B6,'School Tables'!$D$3:$D$365,0)),"")</f>
        <v>Pittsburg</v>
      </c>
      <c r="D6" s="220">
        <v>1806145.92</v>
      </c>
      <c r="E6" s="220">
        <f>38.17+214368.13</f>
        <v>214406.30000000002</v>
      </c>
      <c r="F6" s="232">
        <f t="shared" ref="F6:F20" si="1">D6+E6</f>
        <v>2020552.22</v>
      </c>
      <c r="G6" s="223"/>
      <c r="H6" s="223"/>
      <c r="J6" t="str">
        <f>A6</f>
        <v>Pittsburg School (Elem)</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1806145.92</v>
      </c>
      <c r="E21" s="262">
        <f>SUM(E5:E20)</f>
        <v>214406.30000000002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1356399.9</v>
      </c>
      <c r="G36" s="229">
        <f>'DOE25'!L248+'DOE25'!L329</f>
        <v>1356399.9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Pittsburg School (High)</v>
      </c>
      <c r="B38" s="230">
        <f>IFERROR(VLOOKUP(A38,'School Tables'!$Y$4:$Z$100,2,FALSE),"")</f>
        <v>26500</v>
      </c>
      <c r="C38" s="223" t="str">
        <f>IFERROR(INDEX('School Tables'!$X$4:$X$100,MATCH('School Level Expenditures'!A38,'School Tables'!$Y$4:$Y$100,0)),"")</f>
        <v>Pittsburg</v>
      </c>
      <c r="D38" s="220">
        <v>1295890.51</v>
      </c>
      <c r="E38" s="220">
        <f>25.44+60483.95</f>
        <v>60509.39</v>
      </c>
      <c r="F38" s="232">
        <f t="shared" si="7"/>
        <v>1356399.9</v>
      </c>
      <c r="G38" s="223"/>
      <c r="H38" s="223"/>
      <c r="J38" t="str">
        <f t="shared" ref="J38:J42" si="8">A38</f>
        <v>Pittsburg School (High)</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1295890.51</v>
      </c>
      <c r="E43" s="263">
        <f>SUM(E37:E42)</f>
        <v>60509.39</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topLeftCell="A31"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Pittsburg</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254087.1</v>
      </c>
      <c r="D8" s="73">
        <f>'DOE25'!G9</f>
        <v>118299.65</v>
      </c>
      <c r="E8" s="73">
        <f>'DOE25'!H9</f>
        <v>0</v>
      </c>
      <c r="F8" s="73">
        <f>'DOE25'!I9</f>
        <v>0</v>
      </c>
      <c r="G8" s="73">
        <f>'DOE25'!J9</f>
        <v>602212.74</v>
      </c>
      <c r="H8" s="13">
        <f>SUM(C8:G8)</f>
        <v>974599.49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125518.13</v>
      </c>
      <c r="D11" s="73">
        <f>'DOE25'!G12</f>
        <v>0</v>
      </c>
      <c r="E11" s="73">
        <f>'DOE25'!H12</f>
        <v>0</v>
      </c>
      <c r="F11" s="73">
        <f>'DOE25'!I12</f>
        <v>0</v>
      </c>
      <c r="G11" s="73">
        <f>'DOE25'!J12</f>
        <v>0</v>
      </c>
      <c r="H11" s="13">
        <f t="shared" si="0"/>
        <v>125518.13</v>
      </c>
      <c r="I11" s="90"/>
    </row>
    <row r="12" spans="1:9" x14ac:dyDescent="0.2">
      <c r="A12" s="1" t="s">
        <v>143</v>
      </c>
      <c r="B12" s="6">
        <v>140</v>
      </c>
      <c r="C12" s="73">
        <f>'DOE25'!F13</f>
        <v>193683.03</v>
      </c>
      <c r="D12" s="73">
        <f>'DOE25'!G13</f>
        <v>3719.32</v>
      </c>
      <c r="E12" s="73">
        <f>'DOE25'!H13</f>
        <v>79987.570000000007</v>
      </c>
      <c r="F12" s="73">
        <f>'DOE25'!I13</f>
        <v>0</v>
      </c>
      <c r="G12" s="73">
        <f>'DOE25'!J13</f>
        <v>0</v>
      </c>
      <c r="H12" s="13">
        <f t="shared" si="0"/>
        <v>277389.92000000004</v>
      </c>
      <c r="I12" s="90"/>
    </row>
    <row r="13" spans="1:9" x14ac:dyDescent="0.2">
      <c r="A13" s="1" t="s">
        <v>144</v>
      </c>
      <c r="B13" s="6">
        <v>150</v>
      </c>
      <c r="C13" s="73">
        <f>'DOE25'!F14</f>
        <v>1964.32</v>
      </c>
      <c r="D13" s="73">
        <f>'DOE25'!G14</f>
        <v>0</v>
      </c>
      <c r="E13" s="73">
        <f>'DOE25'!H14</f>
        <v>0</v>
      </c>
      <c r="F13" s="73">
        <f>'DOE25'!I14</f>
        <v>0</v>
      </c>
      <c r="G13" s="73">
        <f>'DOE25'!J14</f>
        <v>0</v>
      </c>
      <c r="H13" s="13">
        <f t="shared" si="0"/>
        <v>1964.32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1169.73</v>
      </c>
      <c r="E15" s="73">
        <f>'DOE25'!H16</f>
        <v>0</v>
      </c>
      <c r="F15" s="73">
        <f>'DOE25'!I16</f>
        <v>0</v>
      </c>
      <c r="G15" s="23" t="s">
        <v>288</v>
      </c>
      <c r="H15" s="13">
        <f t="shared" si="0"/>
        <v>1169.73</v>
      </c>
      <c r="I15" s="90"/>
    </row>
    <row r="16" spans="1:9" x14ac:dyDescent="0.2">
      <c r="A16" s="1" t="s">
        <v>147</v>
      </c>
      <c r="B16" s="6">
        <v>180</v>
      </c>
      <c r="C16" s="73">
        <f>'DOE25'!F17</f>
        <v>1356</v>
      </c>
      <c r="D16" s="73">
        <f>'DOE25'!G17</f>
        <v>0</v>
      </c>
      <c r="E16" s="73">
        <f>'DOE25'!H17</f>
        <v>0</v>
      </c>
      <c r="F16" s="73">
        <f>'DOE25'!I17</f>
        <v>0</v>
      </c>
      <c r="G16" s="73">
        <f>'DOE25'!J17</f>
        <v>0</v>
      </c>
      <c r="H16" s="13">
        <f t="shared" si="0"/>
        <v>1356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576608.57999999996</v>
      </c>
      <c r="D18" s="38">
        <f>SUM(D8:D17)</f>
        <v>123188.7</v>
      </c>
      <c r="E18" s="38">
        <f>SUM(E8:E17)</f>
        <v>79987.570000000007</v>
      </c>
      <c r="F18" s="38">
        <f>SUM(F8:F17)</f>
        <v>0</v>
      </c>
      <c r="G18" s="38">
        <f>SUM(G8:G17)</f>
        <v>602212.74</v>
      </c>
      <c r="H18" s="38">
        <f t="shared" si="0"/>
        <v>1381997.5899999999</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70403.39</v>
      </c>
      <c r="E21" s="73">
        <f>'DOE25'!H22</f>
        <v>55114.74</v>
      </c>
      <c r="F21" s="73">
        <f>'DOE25'!I22</f>
        <v>0</v>
      </c>
      <c r="G21" s="73">
        <f>'DOE25'!J22</f>
        <v>0</v>
      </c>
      <c r="H21" s="13">
        <f t="shared" ref="H21:H31" si="1">SUM(C21:G21)</f>
        <v>125518.13</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148064.64000000001</v>
      </c>
      <c r="D23" s="73">
        <f>'DOE25'!G24</f>
        <v>3862.4</v>
      </c>
      <c r="E23" s="73">
        <f>'DOE25'!H24</f>
        <v>19519.21</v>
      </c>
      <c r="F23" s="73">
        <f>'DOE25'!I24</f>
        <v>0</v>
      </c>
      <c r="G23" s="73">
        <f>'DOE25'!J24</f>
        <v>0</v>
      </c>
      <c r="H23" s="13">
        <f t="shared" si="1"/>
        <v>171446.25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4952.2299999999996</v>
      </c>
      <c r="D27" s="73">
        <f>'DOE25'!G28</f>
        <v>0</v>
      </c>
      <c r="E27" s="73">
        <f>'DOE25'!H28</f>
        <v>0</v>
      </c>
      <c r="F27" s="73">
        <f>'DOE25'!I28</f>
        <v>0</v>
      </c>
      <c r="G27" s="23" t="s">
        <v>288</v>
      </c>
      <c r="H27" s="13">
        <f t="shared" si="1"/>
        <v>4952.2299999999996</v>
      </c>
      <c r="I27" s="90"/>
    </row>
    <row r="28" spans="1:9" x14ac:dyDescent="0.2">
      <c r="A28" s="1" t="s">
        <v>157</v>
      </c>
      <c r="B28" s="6">
        <v>470</v>
      </c>
      <c r="C28" s="73" t="str">
        <f>'DOE25'!F29</f>
        <v xml:space="preserve"> </v>
      </c>
      <c r="D28" s="73">
        <f>'DOE25'!G29</f>
        <v>0</v>
      </c>
      <c r="E28" s="73">
        <f>'DOE25'!H29</f>
        <v>0</v>
      </c>
      <c r="F28" s="73">
        <f>'DOE25'!I29</f>
        <v>0</v>
      </c>
      <c r="G28" s="23" t="s">
        <v>288</v>
      </c>
      <c r="H28" s="13">
        <f t="shared" si="1"/>
        <v>0</v>
      </c>
      <c r="I28" s="90"/>
    </row>
    <row r="29" spans="1:9" x14ac:dyDescent="0.2">
      <c r="A29" s="1" t="s">
        <v>158</v>
      </c>
      <c r="B29" s="6">
        <v>480</v>
      </c>
      <c r="C29" s="73" t="str">
        <f>'DOE25'!F30</f>
        <v xml:space="preserve"> </v>
      </c>
      <c r="D29" s="73">
        <f>'DOE25'!G30</f>
        <v>8736.8799999999992</v>
      </c>
      <c r="E29" s="73">
        <f>'DOE25'!H30</f>
        <v>5353.62</v>
      </c>
      <c r="F29" s="73">
        <f>'DOE25'!I30</f>
        <v>0</v>
      </c>
      <c r="G29" s="23" t="s">
        <v>288</v>
      </c>
      <c r="H29" s="13">
        <f t="shared" si="1"/>
        <v>14090.5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153016.87000000002</v>
      </c>
      <c r="D31" s="38">
        <f>SUM(D21:D30)</f>
        <v>83002.67</v>
      </c>
      <c r="E31" s="38">
        <f>SUM(E21:E30)</f>
        <v>79987.569999999992</v>
      </c>
      <c r="F31" s="38">
        <f>SUM(F21:F30)</f>
        <v>0</v>
      </c>
      <c r="G31" s="38">
        <f>SUM(G21:G30)</f>
        <v>0</v>
      </c>
      <c r="H31" s="38">
        <f t="shared" si="1"/>
        <v>316007.11000000004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1169.73</v>
      </c>
      <c r="E34" s="73">
        <f>'DOE25'!H35</f>
        <v>0</v>
      </c>
      <c r="F34" s="73">
        <f>'DOE25'!I35</f>
        <v>0</v>
      </c>
      <c r="G34" s="23" t="s">
        <v>288</v>
      </c>
      <c r="H34" s="13">
        <f t="shared" ref="H34:H51" si="2">SUM(C34:G34)</f>
        <v>1169.73</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55508</v>
      </c>
      <c r="D45" s="23" t="s">
        <v>288</v>
      </c>
      <c r="E45" s="23" t="s">
        <v>288</v>
      </c>
      <c r="F45" s="23" t="s">
        <v>288</v>
      </c>
      <c r="G45" s="23" t="s">
        <v>288</v>
      </c>
      <c r="H45" s="13">
        <f t="shared" si="2"/>
        <v>55508</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39016.300000000003</v>
      </c>
      <c r="E47" s="73">
        <f>'DOE25'!H48</f>
        <v>0</v>
      </c>
      <c r="F47" s="73">
        <f>'DOE25'!I48</f>
        <v>0</v>
      </c>
      <c r="G47" s="73">
        <f>'DOE25'!J48</f>
        <v>602212.74</v>
      </c>
      <c r="H47" s="13">
        <f t="shared" si="2"/>
        <v>641229.04</v>
      </c>
      <c r="I47" s="90"/>
    </row>
    <row r="48" spans="1:9" x14ac:dyDescent="0.2">
      <c r="A48" s="1" t="s">
        <v>881</v>
      </c>
      <c r="B48" s="6">
        <v>753</v>
      </c>
      <c r="C48" s="73">
        <f>'DOE25'!F49</f>
        <v>716.7</v>
      </c>
      <c r="D48" s="73">
        <f>'DOE25'!G49</f>
        <v>0</v>
      </c>
      <c r="E48" s="73">
        <f>'DOE25'!H49</f>
        <v>0</v>
      </c>
      <c r="F48" s="73">
        <f>'DOE25'!I49</f>
        <v>0</v>
      </c>
      <c r="G48" s="73">
        <f>'DOE25'!J49</f>
        <v>0</v>
      </c>
      <c r="H48" s="13">
        <f t="shared" si="2"/>
        <v>716.7</v>
      </c>
      <c r="I48" s="90"/>
    </row>
    <row r="49" spans="1:9" ht="12" thickBot="1" x14ac:dyDescent="0.25">
      <c r="A49" s="28" t="s">
        <v>882</v>
      </c>
      <c r="B49" s="56">
        <v>770</v>
      </c>
      <c r="C49" s="73">
        <f>'DOE25'!F50</f>
        <v>367367.01</v>
      </c>
      <c r="D49" s="23" t="s">
        <v>288</v>
      </c>
      <c r="E49" s="23" t="s">
        <v>288</v>
      </c>
      <c r="F49" s="23" t="s">
        <v>288</v>
      </c>
      <c r="G49" s="23" t="s">
        <v>288</v>
      </c>
      <c r="H49" s="13">
        <f t="shared" si="2"/>
        <v>367367.01</v>
      </c>
      <c r="I49" s="90"/>
    </row>
    <row r="50" spans="1:9" ht="12.75" thickTop="1" thickBot="1" x14ac:dyDescent="0.25">
      <c r="A50" s="35" t="s">
        <v>883</v>
      </c>
      <c r="B50" s="44"/>
      <c r="C50" s="38">
        <f>SUM(C34:C49)</f>
        <v>423591.71</v>
      </c>
      <c r="D50" s="38">
        <f>SUM(D34:D49)</f>
        <v>40186.030000000006</v>
      </c>
      <c r="E50" s="38">
        <f>SUM(E34:E49)</f>
        <v>0</v>
      </c>
      <c r="F50" s="38">
        <f>SUM(F34:F49)</f>
        <v>0</v>
      </c>
      <c r="G50" s="38">
        <f>SUM(G34:G49)</f>
        <v>602212.74</v>
      </c>
      <c r="H50" s="38">
        <f t="shared" si="2"/>
        <v>1065990.48</v>
      </c>
      <c r="I50" s="90"/>
    </row>
    <row r="51" spans="1:9" ht="12" thickTop="1" x14ac:dyDescent="0.2">
      <c r="A51" s="35" t="s">
        <v>884</v>
      </c>
      <c r="B51" s="2"/>
      <c r="C51" s="38">
        <f>C50+C31</f>
        <v>576608.58000000007</v>
      </c>
      <c r="D51" s="38">
        <f>D50+D31</f>
        <v>123188.70000000001</v>
      </c>
      <c r="E51" s="38">
        <f>E50+E31</f>
        <v>79987.569999999992</v>
      </c>
      <c r="F51" s="38">
        <f>F50+F31</f>
        <v>0</v>
      </c>
      <c r="G51" s="38">
        <f>G50+G31</f>
        <v>602212.74</v>
      </c>
      <c r="H51" s="38">
        <f t="shared" si="2"/>
        <v>1381997.5899999999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1813525</v>
      </c>
      <c r="D56" s="73">
        <f>'DOE25'!G60</f>
        <v>0</v>
      </c>
      <c r="E56" s="73">
        <f>'DOE25'!H60</f>
        <v>0</v>
      </c>
      <c r="F56" s="73">
        <f>'DOE25'!I60</f>
        <v>0</v>
      </c>
      <c r="G56" s="73">
        <f>'DOE25'!J60</f>
        <v>0</v>
      </c>
      <c r="H56" s="13">
        <f t="shared" ref="H56:H63" si="3">SUM(C56:G56)</f>
        <v>1813525</v>
      </c>
      <c r="I56"/>
    </row>
    <row r="57" spans="1:9" x14ac:dyDescent="0.2">
      <c r="A57" s="1" t="s">
        <v>164</v>
      </c>
      <c r="B57" s="6" t="s">
        <v>165</v>
      </c>
      <c r="C57" s="73">
        <f>'DOE25'!F79</f>
        <v>628459.72</v>
      </c>
      <c r="D57" s="23" t="s">
        <v>288</v>
      </c>
      <c r="E57" s="73">
        <f>'DOE25'!H79</f>
        <v>0</v>
      </c>
      <c r="F57" s="23" t="s">
        <v>288</v>
      </c>
      <c r="G57" s="23" t="s">
        <v>288</v>
      </c>
      <c r="H57" s="13">
        <f t="shared" si="3"/>
        <v>628459.72</v>
      </c>
      <c r="I57"/>
    </row>
    <row r="58" spans="1:9" x14ac:dyDescent="0.2">
      <c r="A58" s="1" t="s">
        <v>166</v>
      </c>
      <c r="B58" s="6" t="s">
        <v>167</v>
      </c>
      <c r="C58" s="73">
        <f>'DOE25'!F94</f>
        <v>389.77</v>
      </c>
      <c r="D58" s="23" t="s">
        <v>288</v>
      </c>
      <c r="E58" s="73">
        <f>'DOE25'!H94</f>
        <v>0</v>
      </c>
      <c r="F58" s="23" t="s">
        <v>288</v>
      </c>
      <c r="G58" s="23" t="s">
        <v>288</v>
      </c>
      <c r="H58" s="13">
        <f t="shared" si="3"/>
        <v>389.77</v>
      </c>
      <c r="I58"/>
    </row>
    <row r="59" spans="1:9" x14ac:dyDescent="0.2">
      <c r="A59" s="1" t="s">
        <v>168</v>
      </c>
      <c r="B59" s="6" t="s">
        <v>169</v>
      </c>
      <c r="C59" s="73">
        <f>'DOE25'!F96</f>
        <v>0</v>
      </c>
      <c r="D59" s="73">
        <f>'DOE25'!G96</f>
        <v>0</v>
      </c>
      <c r="E59" s="73">
        <f>'DOE25'!H96</f>
        <v>0</v>
      </c>
      <c r="F59" s="73">
        <f>'DOE25'!I96</f>
        <v>0</v>
      </c>
      <c r="G59" s="73">
        <f>'DOE25'!J96</f>
        <v>21597.68</v>
      </c>
      <c r="H59" s="13">
        <f t="shared" si="3"/>
        <v>21597.68</v>
      </c>
      <c r="I59"/>
    </row>
    <row r="60" spans="1:9" x14ac:dyDescent="0.2">
      <c r="A60" s="1" t="s">
        <v>170</v>
      </c>
      <c r="B60" s="22" t="s">
        <v>171</v>
      </c>
      <c r="C60" s="23" t="s">
        <v>288</v>
      </c>
      <c r="D60" s="73">
        <f>'DOE25'!G97</f>
        <v>21086.68</v>
      </c>
      <c r="E60" s="23" t="s">
        <v>288</v>
      </c>
      <c r="F60" s="23" t="s">
        <v>288</v>
      </c>
      <c r="G60" s="23" t="s">
        <v>288</v>
      </c>
      <c r="H60" s="13">
        <f t="shared" si="3"/>
        <v>21086.68</v>
      </c>
      <c r="I60"/>
    </row>
    <row r="61" spans="1:9" ht="12" thickBot="1" x14ac:dyDescent="0.25">
      <c r="A61" s="1" t="s">
        <v>172</v>
      </c>
      <c r="B61" s="22" t="s">
        <v>173</v>
      </c>
      <c r="C61" s="73">
        <f>SUM('DOE25'!F98:F110)</f>
        <v>76998.39</v>
      </c>
      <c r="D61" s="73">
        <f>SUM('DOE25'!G98:G110)</f>
        <v>0</v>
      </c>
      <c r="E61" s="73">
        <f>SUM('DOE25'!H98:H110)</f>
        <v>839.21</v>
      </c>
      <c r="F61" s="73">
        <f>SUM('DOE25'!I98:I110)</f>
        <v>0</v>
      </c>
      <c r="G61" s="73">
        <f>SUM('DOE25'!J98:J110)</f>
        <v>0</v>
      </c>
      <c r="H61" s="13">
        <f t="shared" si="3"/>
        <v>77837.600000000006</v>
      </c>
      <c r="I61"/>
    </row>
    <row r="62" spans="1:9" ht="12.75" thickTop="1" thickBot="1" x14ac:dyDescent="0.25">
      <c r="A62" s="28" t="s">
        <v>174</v>
      </c>
      <c r="B62" s="6"/>
      <c r="C62" s="93">
        <f>SUM(C57:C61)</f>
        <v>705847.88</v>
      </c>
      <c r="D62" s="93">
        <f>SUM(D57:D61)</f>
        <v>21086.68</v>
      </c>
      <c r="E62" s="93">
        <f>SUM(E57:E61)</f>
        <v>839.21</v>
      </c>
      <c r="F62" s="93">
        <f>SUM(F57:F61)</f>
        <v>0</v>
      </c>
      <c r="G62" s="93">
        <f>SUM(G57:G61)</f>
        <v>21597.68</v>
      </c>
      <c r="H62" s="13">
        <f t="shared" si="3"/>
        <v>749371.45000000007</v>
      </c>
      <c r="I62"/>
    </row>
    <row r="63" spans="1:9" ht="12" thickTop="1" x14ac:dyDescent="0.2">
      <c r="A63" s="28" t="s">
        <v>175</v>
      </c>
      <c r="B63" s="6"/>
      <c r="C63" s="21">
        <f>C56+C62</f>
        <v>2519372.88</v>
      </c>
      <c r="D63" s="21">
        <f>D56+D62</f>
        <v>21086.68</v>
      </c>
      <c r="E63" s="21">
        <f>E56+E62</f>
        <v>839.21</v>
      </c>
      <c r="F63" s="21">
        <f>F56+F62</f>
        <v>0</v>
      </c>
      <c r="G63" s="21">
        <f>G56+G62</f>
        <v>21597.68</v>
      </c>
      <c r="H63" s="13">
        <f t="shared" si="3"/>
        <v>2562896.4500000002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155435</v>
      </c>
      <c r="D66" s="23" t="s">
        <v>288</v>
      </c>
      <c r="E66" s="23" t="s">
        <v>288</v>
      </c>
      <c r="F66" s="23" t="s">
        <v>288</v>
      </c>
      <c r="G66" s="23" t="s">
        <v>288</v>
      </c>
      <c r="H66" s="13">
        <f t="shared" ref="H66:H81" si="4">SUM(C66:G66)</f>
        <v>155435</v>
      </c>
      <c r="I66"/>
    </row>
    <row r="67" spans="1:9" x14ac:dyDescent="0.2">
      <c r="A67" s="1" t="s">
        <v>770</v>
      </c>
      <c r="B67" s="6">
        <v>3112</v>
      </c>
      <c r="C67" s="73">
        <f>'DOE25'!F118</f>
        <v>406777</v>
      </c>
      <c r="D67" s="23"/>
      <c r="E67" s="23"/>
      <c r="F67" s="23"/>
      <c r="G67" s="23"/>
      <c r="H67" s="13">
        <f t="shared" si="4"/>
        <v>406777</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14870.06</v>
      </c>
      <c r="D69" s="73">
        <f>'DOE25'!G120</f>
        <v>0</v>
      </c>
      <c r="E69" s="73">
        <f>'DOE25'!H120</f>
        <v>0</v>
      </c>
      <c r="F69" s="73">
        <f>'DOE25'!I120</f>
        <v>0</v>
      </c>
      <c r="G69" s="73">
        <f>'DOE25'!J120</f>
        <v>0</v>
      </c>
      <c r="H69" s="13">
        <f t="shared" si="4"/>
        <v>14870.06</v>
      </c>
      <c r="I69"/>
    </row>
    <row r="70" spans="1:9" ht="12" thickTop="1" x14ac:dyDescent="0.2">
      <c r="A70" s="28" t="s">
        <v>252</v>
      </c>
      <c r="B70" s="2"/>
      <c r="C70" s="97">
        <f>SUM(C66:C69)</f>
        <v>577082.06000000006</v>
      </c>
      <c r="D70" s="97">
        <f>D69</f>
        <v>0</v>
      </c>
      <c r="E70" s="97">
        <f>E69</f>
        <v>0</v>
      </c>
      <c r="F70" s="97">
        <f>F69</f>
        <v>0</v>
      </c>
      <c r="G70" s="97">
        <f>G69</f>
        <v>0</v>
      </c>
      <c r="H70" s="13">
        <f t="shared" si="4"/>
        <v>577082.06000000006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3676.68</v>
      </c>
      <c r="D76" s="23" t="s">
        <v>288</v>
      </c>
      <c r="E76" s="73">
        <f>SUM('DOE25'!H127:H130)</f>
        <v>0</v>
      </c>
      <c r="F76" s="73">
        <f>SUM('DOE25'!I127:I130)</f>
        <v>0</v>
      </c>
      <c r="G76" s="23" t="s">
        <v>288</v>
      </c>
      <c r="H76" s="13">
        <f t="shared" si="4"/>
        <v>3676.68</v>
      </c>
      <c r="I76"/>
    </row>
    <row r="77" spans="1:9" ht="12" thickBot="1" x14ac:dyDescent="0.25">
      <c r="A77" s="1" t="s">
        <v>258</v>
      </c>
      <c r="B77" s="6" t="s">
        <v>180</v>
      </c>
      <c r="C77" s="73">
        <f>SUM('DOE25'!F131:F135)</f>
        <v>0</v>
      </c>
      <c r="D77" s="73">
        <f>SUM('DOE25'!G131:G135)</f>
        <v>4878.29</v>
      </c>
      <c r="E77" s="73">
        <f>SUM('DOE25'!H131:H135)</f>
        <v>0</v>
      </c>
      <c r="F77" s="73">
        <f>SUM('DOE25'!I131:I135)</f>
        <v>0</v>
      </c>
      <c r="G77" s="73">
        <f>SUM('DOE25'!J131:J135)</f>
        <v>0</v>
      </c>
      <c r="H77" s="13">
        <f t="shared" si="4"/>
        <v>4878.29</v>
      </c>
      <c r="I77"/>
    </row>
    <row r="78" spans="1:9" ht="12.75" thickTop="1" thickBot="1" x14ac:dyDescent="0.25">
      <c r="A78" s="28" t="s">
        <v>259</v>
      </c>
      <c r="B78" s="6"/>
      <c r="C78" s="93">
        <f>SUM(C72:C77)</f>
        <v>3676.68</v>
      </c>
      <c r="D78" s="93">
        <f>SUM(D72:D77)</f>
        <v>4878.29</v>
      </c>
      <c r="E78" s="93">
        <f>SUM(E72:E77)</f>
        <v>0</v>
      </c>
      <c r="F78" s="93">
        <f>SUM(F72:F77)</f>
        <v>0</v>
      </c>
      <c r="G78" s="93">
        <f>SUM(G72:G77)</f>
        <v>0</v>
      </c>
      <c r="H78" s="13">
        <f t="shared" si="4"/>
        <v>8554.9699999999993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580758.74000000011</v>
      </c>
      <c r="D81" s="93">
        <f>SUM(D79:D80)+D78+D70</f>
        <v>4878.29</v>
      </c>
      <c r="E81" s="93">
        <f>SUM(E79:E80)+E78+E70</f>
        <v>0</v>
      </c>
      <c r="F81" s="93">
        <f>SUM(F79:F80)+F78+F70</f>
        <v>0</v>
      </c>
      <c r="G81" s="93">
        <f>SUM(G79:G80)+G78+G70</f>
        <v>0</v>
      </c>
      <c r="H81" s="93">
        <f t="shared" si="4"/>
        <v>585637.03000000014</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2546.25</v>
      </c>
      <c r="F85" s="73">
        <f>'DOE25'!I147</f>
        <v>0</v>
      </c>
      <c r="G85" s="23" t="s">
        <v>288</v>
      </c>
      <c r="H85" s="13">
        <f t="shared" ref="H85:H104" si="5">SUM(C85:G85)</f>
        <v>2546.25</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20996.2</v>
      </c>
      <c r="E88" s="253">
        <f>SUM('DOE25'!H153:H162)</f>
        <v>272369.44</v>
      </c>
      <c r="F88" s="253">
        <f>SUM('DOE25'!I153:I162)</f>
        <v>0</v>
      </c>
      <c r="G88" s="23" t="s">
        <v>288</v>
      </c>
      <c r="H88" s="13">
        <f t="shared" si="5"/>
        <v>293365.64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20996.2</v>
      </c>
      <c r="E91" s="94">
        <f>SUM(E85:E90)</f>
        <v>274915.69</v>
      </c>
      <c r="F91" s="94">
        <f>SUM(F85:F90)</f>
        <v>0</v>
      </c>
      <c r="G91" s="23" t="s">
        <v>288</v>
      </c>
      <c r="H91" s="13">
        <f t="shared" si="5"/>
        <v>295911.89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45000</v>
      </c>
      <c r="E96" s="73">
        <f>'DOE25'!H180</f>
        <v>0</v>
      </c>
      <c r="F96" s="73">
        <f>'DOE25'!I180</f>
        <v>0</v>
      </c>
      <c r="G96" s="73">
        <f>'DOE25'!J180</f>
        <v>30000</v>
      </c>
      <c r="H96" s="13">
        <f t="shared" si="5"/>
        <v>75000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45000</v>
      </c>
      <c r="E103" s="68">
        <f>SUM(E93:E102)</f>
        <v>0</v>
      </c>
      <c r="F103" s="68">
        <f>SUM(F93:F102)</f>
        <v>0</v>
      </c>
      <c r="G103" s="68">
        <f>SUM(G93:G102)</f>
        <v>30000</v>
      </c>
      <c r="H103" s="68">
        <f t="shared" si="5"/>
        <v>75000</v>
      </c>
    </row>
    <row r="104" spans="1:8" ht="12.75" thickTop="1" thickBot="1" x14ac:dyDescent="0.25">
      <c r="A104" s="32" t="s">
        <v>761</v>
      </c>
      <c r="C104" s="68">
        <f>C63+C81+C91+C103</f>
        <v>3100131.62</v>
      </c>
      <c r="D104" s="68">
        <f>D63+D81+D91+D103</f>
        <v>91961.17</v>
      </c>
      <c r="E104" s="68">
        <f>E63+E81+E91+E103</f>
        <v>275754.90000000002</v>
      </c>
      <c r="F104" s="68">
        <f>F63+F81+F91+F103</f>
        <v>0</v>
      </c>
      <c r="G104" s="68">
        <f>G63+G81+G103</f>
        <v>51597.68</v>
      </c>
      <c r="H104" s="68">
        <f t="shared" si="5"/>
        <v>3519445.37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1279490.58</v>
      </c>
      <c r="D109" s="23" t="s">
        <v>288</v>
      </c>
      <c r="E109" s="73">
        <f>('DOE25'!L277)+('DOE25'!L296)+('DOE25'!L315)</f>
        <v>86892.11</v>
      </c>
      <c r="F109" s="23" t="s">
        <v>288</v>
      </c>
      <c r="G109" s="23" t="s">
        <v>288</v>
      </c>
      <c r="H109" s="13">
        <f t="shared" ref="H109:H115" si="6">SUM(C109:G109)</f>
        <v>1366382.6900000002</v>
      </c>
    </row>
    <row r="110" spans="1:8" x14ac:dyDescent="0.2">
      <c r="A110" t="s">
        <v>198</v>
      </c>
      <c r="B110" s="31" t="s">
        <v>199</v>
      </c>
      <c r="C110" s="73">
        <f>('DOE25'!L199)+('DOE25'!L217)+('DOE25'!L235)</f>
        <v>170440.31</v>
      </c>
      <c r="D110" s="23" t="s">
        <v>288</v>
      </c>
      <c r="E110" s="73">
        <f>('DOE25'!L278)+('DOE25'!L297)+('DOE25'!L316)</f>
        <v>26675.809999999998</v>
      </c>
      <c r="F110" s="23" t="s">
        <v>288</v>
      </c>
      <c r="G110" s="23" t="s">
        <v>288</v>
      </c>
      <c r="H110" s="13">
        <f t="shared" si="6"/>
        <v>197116.12</v>
      </c>
    </row>
    <row r="111" spans="1:8" x14ac:dyDescent="0.2">
      <c r="A111" t="s">
        <v>200</v>
      </c>
      <c r="B111" s="31" t="s">
        <v>165</v>
      </c>
      <c r="C111" s="73">
        <f>('DOE25'!L200)+('DOE25'!L218)+('DOE25'!L236)</f>
        <v>899.79</v>
      </c>
      <c r="D111" s="23" t="s">
        <v>288</v>
      </c>
      <c r="E111" s="73">
        <f>('DOE25'!L279)+('DOE25'!L298)+('DOE25'!L317)</f>
        <v>0</v>
      </c>
      <c r="F111" s="23" t="s">
        <v>288</v>
      </c>
      <c r="G111" s="23" t="s">
        <v>288</v>
      </c>
      <c r="H111" s="13">
        <f t="shared" si="6"/>
        <v>899.79</v>
      </c>
    </row>
    <row r="112" spans="1:8" x14ac:dyDescent="0.2">
      <c r="A112" t="s">
        <v>201</v>
      </c>
      <c r="B112" s="31" t="s">
        <v>167</v>
      </c>
      <c r="C112" s="73">
        <f>('DOE25'!L201)+('DOE25'!L219)+('DOE25'!L237)</f>
        <v>93143.44</v>
      </c>
      <c r="D112" s="23" t="s">
        <v>288</v>
      </c>
      <c r="E112" s="73">
        <f>+('DOE25'!L280)+('DOE25'!L299)+('DOE25'!L318)</f>
        <v>6003.52</v>
      </c>
      <c r="F112" s="23" t="s">
        <v>288</v>
      </c>
      <c r="G112" s="23" t="s">
        <v>288</v>
      </c>
      <c r="H112" s="13">
        <f t="shared" si="6"/>
        <v>99146.96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1543974.12</v>
      </c>
      <c r="D115" s="68">
        <f>SUM(D109:D114)</f>
        <v>0</v>
      </c>
      <c r="E115" s="68">
        <f>SUM(E109:E114)</f>
        <v>119571.44</v>
      </c>
      <c r="F115" s="68">
        <f>SUM(F109:F114)</f>
        <v>0</v>
      </c>
      <c r="G115" s="68">
        <f>SUM(G109:G114)</f>
        <v>0</v>
      </c>
      <c r="H115" s="68">
        <f t="shared" si="6"/>
        <v>1663545.56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268891.53000000003</v>
      </c>
      <c r="D118" s="23" t="s">
        <v>288</v>
      </c>
      <c r="E118" s="73">
        <f>+('DOE25'!L282)+('DOE25'!L301)+('DOE25'!L320)</f>
        <v>14271.01</v>
      </c>
      <c r="F118" s="23" t="s">
        <v>288</v>
      </c>
      <c r="G118" s="23" t="s">
        <v>288</v>
      </c>
      <c r="H118" s="13">
        <f t="shared" ref="H118:H145" si="7">SUM(C118:G118)</f>
        <v>283162.54000000004</v>
      </c>
    </row>
    <row r="119" spans="1:8" x14ac:dyDescent="0.2">
      <c r="A119" t="s">
        <v>208</v>
      </c>
      <c r="B119" s="31" t="s">
        <v>209</v>
      </c>
      <c r="C119" s="73">
        <f>('DOE25'!L204)+('DOE25'!L222)+('DOE25'!L240)</f>
        <v>69038.829999999987</v>
      </c>
      <c r="D119" s="23" t="s">
        <v>288</v>
      </c>
      <c r="E119" s="73">
        <f>+('DOE25'!L283)+('DOE25'!L302)+('DOE25'!L321)</f>
        <v>93783.19</v>
      </c>
      <c r="F119" s="23" t="s">
        <v>288</v>
      </c>
      <c r="G119" s="23" t="s">
        <v>288</v>
      </c>
      <c r="H119" s="13">
        <f t="shared" si="7"/>
        <v>162822.01999999999</v>
      </c>
    </row>
    <row r="120" spans="1:8" x14ac:dyDescent="0.2">
      <c r="A120" t="s">
        <v>210</v>
      </c>
      <c r="B120" s="31" t="s">
        <v>211</v>
      </c>
      <c r="C120" s="73">
        <f>('DOE25'!L205)+('DOE25'!L223)+('DOE25'!L241)</f>
        <v>433524.80999999994</v>
      </c>
      <c r="D120" s="23" t="s">
        <v>288</v>
      </c>
      <c r="E120" s="73">
        <f>+('DOE25'!L284)+('DOE25'!L303)+('DOE25'!L322)</f>
        <v>1477.81</v>
      </c>
      <c r="F120" s="23" t="s">
        <v>288</v>
      </c>
      <c r="G120" s="23" t="s">
        <v>288</v>
      </c>
      <c r="H120" s="13">
        <f t="shared" si="7"/>
        <v>435002.61999999994</v>
      </c>
    </row>
    <row r="121" spans="1:8" x14ac:dyDescent="0.2">
      <c r="A121" t="s">
        <v>212</v>
      </c>
      <c r="B121" s="31" t="s">
        <v>213</v>
      </c>
      <c r="C121" s="73">
        <f>('DOE25'!L206)+('DOE25'!L224)+('DOE25'!L242)</f>
        <v>216164.28999999998</v>
      </c>
      <c r="D121" s="23" t="s">
        <v>288</v>
      </c>
      <c r="E121" s="73">
        <f>+('DOE25'!L285)+('DOE25'!L304)+('DOE25'!L323)</f>
        <v>2139.2399999999998</v>
      </c>
      <c r="F121" s="23" t="s">
        <v>288</v>
      </c>
      <c r="G121" s="23" t="s">
        <v>288</v>
      </c>
      <c r="H121" s="13">
        <f t="shared" si="7"/>
        <v>218303.52999999997</v>
      </c>
    </row>
    <row r="122" spans="1:8" x14ac:dyDescent="0.2">
      <c r="A122" t="s">
        <v>214</v>
      </c>
      <c r="B122" s="31" t="s">
        <v>215</v>
      </c>
      <c r="C122" s="73">
        <f>('DOE25'!L207)+('DOE25'!L225)+('DOE25'!L243)</f>
        <v>0</v>
      </c>
      <c r="D122" s="23" t="s">
        <v>288</v>
      </c>
      <c r="E122" s="73">
        <f>+('DOE25'!L286)+('DOE25'!L305)+('DOE25'!L324)</f>
        <v>7176.0999999999995</v>
      </c>
      <c r="F122" s="23" t="s">
        <v>288</v>
      </c>
      <c r="G122" s="23" t="s">
        <v>288</v>
      </c>
      <c r="H122" s="13">
        <f t="shared" si="7"/>
        <v>7176.0999999999995</v>
      </c>
    </row>
    <row r="123" spans="1:8" x14ac:dyDescent="0.2">
      <c r="A123" t="s">
        <v>216</v>
      </c>
      <c r="B123" s="31" t="s">
        <v>217</v>
      </c>
      <c r="C123" s="73">
        <f>('DOE25'!L208)+('DOE25'!L226)+('DOE25'!L244)</f>
        <v>376326.86</v>
      </c>
      <c r="D123" s="23" t="s">
        <v>288</v>
      </c>
      <c r="E123" s="73">
        <f>+('DOE25'!L287)+('DOE25'!L306)+('DOE25'!L325)</f>
        <v>35276.11</v>
      </c>
      <c r="F123" s="23" t="s">
        <v>288</v>
      </c>
      <c r="G123" s="23" t="s">
        <v>288</v>
      </c>
      <c r="H123" s="13">
        <f t="shared" si="7"/>
        <v>411602.97</v>
      </c>
    </row>
    <row r="124" spans="1:8" x14ac:dyDescent="0.2">
      <c r="A124" t="s">
        <v>218</v>
      </c>
      <c r="B124" s="31" t="s">
        <v>219</v>
      </c>
      <c r="C124" s="73">
        <f>('DOE25'!L209)+('DOE25'!L227)+('DOE25'!L245+'DOE25'!L255)</f>
        <v>188186.72</v>
      </c>
      <c r="D124" s="23" t="s">
        <v>288</v>
      </c>
      <c r="E124" s="73">
        <f>+('DOE25'!L288)+('DOE25'!L307)+('DOE25'!L326)</f>
        <v>0</v>
      </c>
      <c r="F124" s="23" t="s">
        <v>288</v>
      </c>
      <c r="G124" s="23" t="s">
        <v>288</v>
      </c>
      <c r="H124" s="13">
        <f t="shared" si="7"/>
        <v>188186.72</v>
      </c>
    </row>
    <row r="125" spans="1:8" x14ac:dyDescent="0.2">
      <c r="A125" t="s">
        <v>220</v>
      </c>
      <c r="B125" s="31" t="s">
        <v>221</v>
      </c>
      <c r="C125" s="73">
        <f>('DOE25'!L210)+('DOE25'!L228)+('DOE25'!L246)</f>
        <v>7150.06</v>
      </c>
      <c r="D125" s="23" t="s">
        <v>288</v>
      </c>
      <c r="E125" s="73">
        <f>+('DOE25'!L289)+('DOE25'!L308)+('DOE25'!L327)</f>
        <v>0</v>
      </c>
      <c r="F125" s="23" t="s">
        <v>288</v>
      </c>
      <c r="G125" s="23" t="s">
        <v>288</v>
      </c>
      <c r="H125" s="13">
        <f t="shared" si="7"/>
        <v>7150.06</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78066.510000000009</v>
      </c>
      <c r="E127" s="23" t="s">
        <v>288</v>
      </c>
      <c r="F127" s="23" t="s">
        <v>288</v>
      </c>
      <c r="G127" s="23" t="s">
        <v>288</v>
      </c>
      <c r="H127" s="13">
        <f t="shared" si="7"/>
        <v>78066.510000000009</v>
      </c>
    </row>
    <row r="128" spans="1:8" ht="12.75" thickTop="1" thickBot="1" x14ac:dyDescent="0.25">
      <c r="A128" s="32" t="s">
        <v>226</v>
      </c>
      <c r="C128" s="68">
        <f>SUM(C118:C127)</f>
        <v>1559283.0999999999</v>
      </c>
      <c r="D128" s="68">
        <f>SUM(D118:D127)</f>
        <v>78066.510000000009</v>
      </c>
      <c r="E128" s="68">
        <f>SUM(E118:E127)</f>
        <v>154123.46000000002</v>
      </c>
      <c r="F128" s="68">
        <f>SUM(F118:F127)</f>
        <v>0</v>
      </c>
      <c r="G128" s="68">
        <f>SUM(G118:G127)</f>
        <v>0</v>
      </c>
      <c r="H128" s="68">
        <f t="shared" si="7"/>
        <v>1791473.0699999998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2060</v>
      </c>
      <c r="F130" s="92">
        <f>SUM('DOE25'!L375:'DOE25'!L381)</f>
        <v>0</v>
      </c>
      <c r="G130" s="23" t="s">
        <v>288</v>
      </c>
      <c r="H130" s="13">
        <f t="shared" si="7"/>
        <v>2060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45000</v>
      </c>
      <c r="D135" s="23" t="s">
        <v>288</v>
      </c>
      <c r="E135" s="92">
        <f>'DOE25'!L346</f>
        <v>0</v>
      </c>
      <c r="F135" s="23" t="s">
        <v>288</v>
      </c>
      <c r="G135" s="23" t="s">
        <v>288</v>
      </c>
      <c r="H135" s="13">
        <f t="shared" si="7"/>
        <v>45000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51597.679999999993</v>
      </c>
      <c r="D139" s="23" t="s">
        <v>288</v>
      </c>
      <c r="E139" s="23" t="s">
        <v>288</v>
      </c>
      <c r="F139" s="23" t="s">
        <v>288</v>
      </c>
      <c r="G139" s="23" t="s">
        <v>288</v>
      </c>
      <c r="H139" s="13">
        <f t="shared" si="7"/>
        <v>51597.679999999993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-21597.679999999993</v>
      </c>
      <c r="D141" s="23" t="s">
        <v>288</v>
      </c>
      <c r="E141" s="23" t="s">
        <v>288</v>
      </c>
      <c r="F141" s="23" t="s">
        <v>288</v>
      </c>
      <c r="G141" s="23" t="s">
        <v>288</v>
      </c>
      <c r="H141" s="13">
        <f t="shared" si="7"/>
        <v>-21597.679999999993</v>
      </c>
    </row>
    <row r="142" spans="1:8" x14ac:dyDescent="0.2">
      <c r="A142" t="s">
        <v>241</v>
      </c>
      <c r="B142" s="31">
        <v>5310</v>
      </c>
      <c r="C142" s="92">
        <f>'DOE25'!L269</f>
        <v>1963.92</v>
      </c>
      <c r="D142" s="23" t="s">
        <v>288</v>
      </c>
      <c r="E142" s="92">
        <f>'DOE25'!L350</f>
        <v>0</v>
      </c>
      <c r="F142" s="23" t="s">
        <v>288</v>
      </c>
      <c r="G142" s="23" t="s">
        <v>288</v>
      </c>
      <c r="H142" s="13">
        <f t="shared" si="7"/>
        <v>1963.92</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76963.92</v>
      </c>
      <c r="D144" s="98">
        <f>SUM(D130:D143)</f>
        <v>0</v>
      </c>
      <c r="E144" s="98">
        <f>SUM(E130:E143)</f>
        <v>2060</v>
      </c>
      <c r="F144" s="98">
        <f>SUM(F130:F143)</f>
        <v>0</v>
      </c>
      <c r="G144" s="98">
        <f>SUM(G130:G143)</f>
        <v>0</v>
      </c>
      <c r="H144" s="98">
        <f t="shared" si="7"/>
        <v>79023.92</v>
      </c>
    </row>
    <row r="145" spans="1:9" ht="12.75" thickTop="1" thickBot="1" x14ac:dyDescent="0.25">
      <c r="A145" s="32" t="s">
        <v>244</v>
      </c>
      <c r="C145" s="68">
        <f>(C115+C128+C144)</f>
        <v>3180221.1399999997</v>
      </c>
      <c r="D145" s="68">
        <f>(D115+D128+D144)</f>
        <v>78066.510000000009</v>
      </c>
      <c r="E145" s="68">
        <f>(E115+E128+E144)</f>
        <v>275754.90000000002</v>
      </c>
      <c r="F145" s="68">
        <f>(F115+F128+F144)</f>
        <v>0</v>
      </c>
      <c r="G145" s="68">
        <f>(G115+G128+G144)</f>
        <v>0</v>
      </c>
      <c r="H145" s="68">
        <f t="shared" si="7"/>
        <v>3534042.5499999993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Pittsburg</v>
      </c>
    </row>
    <row r="3" spans="1:4" x14ac:dyDescent="0.2">
      <c r="B3" s="137" t="s">
        <v>1799</v>
      </c>
    </row>
    <row r="4" spans="1:4" x14ac:dyDescent="0.2">
      <c r="B4" t="s">
        <v>61</v>
      </c>
      <c r="C4" s="129">
        <f>IF('DOE25'!F666+'DOE25'!F671=0,0,ROUND('DOE25'!F673,0))</f>
        <v>41612</v>
      </c>
    </row>
    <row r="5" spans="1:4" x14ac:dyDescent="0.2">
      <c r="B5" t="s">
        <v>700</v>
      </c>
      <c r="C5" s="129">
        <f>IF('DOE25'!G666+'DOE25'!G671=0,0,ROUND('DOE25'!G673,0))</f>
        <v>0</v>
      </c>
    </row>
    <row r="6" spans="1:4" x14ac:dyDescent="0.2">
      <c r="B6" t="s">
        <v>62</v>
      </c>
      <c r="C6" s="129">
        <f>IF('DOE25'!H666+'DOE25'!H671=0,0,ROUND('DOE25'!H673,0))</f>
        <v>35741</v>
      </c>
    </row>
    <row r="7" spans="1:4" x14ac:dyDescent="0.2">
      <c r="B7" t="s">
        <v>701</v>
      </c>
      <c r="C7" s="129">
        <f>IF('DOE25'!I666+'DOE25'!I671=0,0,ROUND('DOE25'!I673,0))</f>
        <v>39033</v>
      </c>
    </row>
    <row r="9" spans="1:4" x14ac:dyDescent="0.2">
      <c r="A9" s="136" t="s">
        <v>94</v>
      </c>
      <c r="B9" s="137" t="s">
        <v>1800</v>
      </c>
      <c r="C9" s="131" t="s">
        <v>720</v>
      </c>
      <c r="D9" s="131" t="s">
        <v>721</v>
      </c>
    </row>
    <row r="10" spans="1:4" x14ac:dyDescent="0.2">
      <c r="A10">
        <v>1100</v>
      </c>
      <c r="B10" t="s">
        <v>702</v>
      </c>
      <c r="C10" s="129">
        <f>ROUND('DOE25'!L198+'DOE25'!L216+'DOE25'!L234+'DOE25'!L277+'DOE25'!L296+'DOE25'!L315,0)</f>
        <v>1366383</v>
      </c>
      <c r="D10" s="132">
        <f>ROUND((C10/$C$28)*100,1)</f>
        <v>39.799999999999997</v>
      </c>
    </row>
    <row r="11" spans="1:4" x14ac:dyDescent="0.2">
      <c r="A11">
        <v>1200</v>
      </c>
      <c r="B11" t="s">
        <v>703</v>
      </c>
      <c r="C11" s="129">
        <f>ROUND('DOE25'!L199+'DOE25'!L217+'DOE25'!L235+'DOE25'!L278+'DOE25'!L297+'DOE25'!L316,0)</f>
        <v>197116</v>
      </c>
      <c r="D11" s="132">
        <f>ROUND((C11/$C$28)*100,1)</f>
        <v>5.7</v>
      </c>
    </row>
    <row r="12" spans="1:4" x14ac:dyDescent="0.2">
      <c r="A12">
        <v>1300</v>
      </c>
      <c r="B12" t="s">
        <v>704</v>
      </c>
      <c r="C12" s="129">
        <f>ROUND('DOE25'!L200+'DOE25'!L218+'DOE25'!L236+'DOE25'!L279+'DOE25'!L298+'DOE25'!L317,0)</f>
        <v>900</v>
      </c>
      <c r="D12" s="132">
        <f>ROUND((C12/$C$28)*100,1)</f>
        <v>0</v>
      </c>
    </row>
    <row r="13" spans="1:4" x14ac:dyDescent="0.2">
      <c r="A13">
        <v>1400</v>
      </c>
      <c r="B13" t="s">
        <v>705</v>
      </c>
      <c r="C13" s="129">
        <f>ROUND('DOE25'!L201+'DOE25'!L219+'DOE25'!L237+'DOE25'!L280+'DOE25'!L299+'DOE25'!L318,0)</f>
        <v>99147</v>
      </c>
      <c r="D13" s="132">
        <f>ROUND((C13/$C$28)*100,1)</f>
        <v>2.9</v>
      </c>
    </row>
    <row r="14" spans="1:4" x14ac:dyDescent="0.2">
      <c r="D14" s="132"/>
    </row>
    <row r="15" spans="1:4" x14ac:dyDescent="0.2">
      <c r="A15">
        <v>2100</v>
      </c>
      <c r="B15" t="s">
        <v>706</v>
      </c>
      <c r="C15" s="129">
        <f>ROUND('DOE25'!L203+'DOE25'!L221+'DOE25'!L239+'DOE25'!L282+'DOE25'!L301+'DOE25'!L320,0)</f>
        <v>283163</v>
      </c>
      <c r="D15" s="132">
        <f t="shared" ref="D15:D27" si="0">ROUND((C15/$C$28)*100,1)</f>
        <v>8.1999999999999993</v>
      </c>
    </row>
    <row r="16" spans="1:4" x14ac:dyDescent="0.2">
      <c r="A16">
        <v>2200</v>
      </c>
      <c r="B16" t="s">
        <v>707</v>
      </c>
      <c r="C16" s="129">
        <f>ROUND('DOE25'!L204+'DOE25'!L222+'DOE25'!L240+'DOE25'!L283+'DOE25'!L302+'DOE25'!L321,0)</f>
        <v>162822</v>
      </c>
      <c r="D16" s="132">
        <f t="shared" si="0"/>
        <v>4.7</v>
      </c>
    </row>
    <row r="17" spans="1:4" x14ac:dyDescent="0.2">
      <c r="A17" s="133" t="s">
        <v>723</v>
      </c>
      <c r="B17" t="s">
        <v>738</v>
      </c>
      <c r="C17" s="129">
        <f>ROUND('DOE25'!L205+'DOE25'!L210+'DOE25'!L223+'DOE25'!L228+'DOE25'!L241+'DOE25'!L246+'DOE25'!L284+'DOE25'!L289+'DOE25'!L303+'DOE25'!L308+'DOE25'!L322+'DOE25'!L327,0)</f>
        <v>442153</v>
      </c>
      <c r="D17" s="132">
        <f t="shared" si="0"/>
        <v>12.9</v>
      </c>
    </row>
    <row r="18" spans="1:4" x14ac:dyDescent="0.2">
      <c r="A18">
        <v>2400</v>
      </c>
      <c r="B18" t="s">
        <v>711</v>
      </c>
      <c r="C18" s="129">
        <f>ROUND('DOE25'!L206+'DOE25'!L224+'DOE25'!L242+'DOE25'!L285+'DOE25'!L304+'DOE25'!L323,0)</f>
        <v>218304</v>
      </c>
      <c r="D18" s="132">
        <f t="shared" si="0"/>
        <v>6.4</v>
      </c>
    </row>
    <row r="19" spans="1:4" x14ac:dyDescent="0.2">
      <c r="A19">
        <v>2500</v>
      </c>
      <c r="B19" t="s">
        <v>708</v>
      </c>
      <c r="C19" s="129">
        <f>ROUND('DOE25'!L207+'DOE25'!L225+'DOE25'!L243+'DOE25'!L286+'DOE25'!L305+'DOE25'!L324,0)</f>
        <v>7176</v>
      </c>
      <c r="D19" s="132">
        <f t="shared" si="0"/>
        <v>0.2</v>
      </c>
    </row>
    <row r="20" spans="1:4" x14ac:dyDescent="0.2">
      <c r="A20">
        <v>2600</v>
      </c>
      <c r="B20" t="s">
        <v>709</v>
      </c>
      <c r="C20" s="129">
        <f>ROUND('DOE25'!L208+'DOE25'!L226+'DOE25'!L244+'DOE25'!L287+'DOE25'!L306+'DOE25'!L325,0)</f>
        <v>411603</v>
      </c>
      <c r="D20" s="132">
        <f t="shared" si="0"/>
        <v>12</v>
      </c>
    </row>
    <row r="21" spans="1:4" x14ac:dyDescent="0.2">
      <c r="A21">
        <v>2700</v>
      </c>
      <c r="B21" t="s">
        <v>710</v>
      </c>
      <c r="C21" s="129">
        <f>ROUND('DOE25'!L209+'DOE25'!L227+'DOE25'!L245+'DOE25'!L288+'DOE25'!L307+'DOE25'!L326,0)</f>
        <v>188187</v>
      </c>
      <c r="D21" s="132">
        <f t="shared" si="0"/>
        <v>5.5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1963.92</v>
      </c>
      <c r="D26" s="132">
        <f t="shared" si="0"/>
        <v>0.1</v>
      </c>
    </row>
    <row r="27" spans="1:4" x14ac:dyDescent="0.2">
      <c r="A27">
        <v>3100</v>
      </c>
      <c r="B27" t="s">
        <v>11</v>
      </c>
      <c r="C27" s="129">
        <f>ROUND('DOE25'!L363-'DOE25'!L362,0)-SUM('DOE25'!G97:G110)</f>
        <v>56980.32</v>
      </c>
      <c r="D27" s="132">
        <f t="shared" si="0"/>
        <v>1.7</v>
      </c>
    </row>
    <row r="28" spans="1:4" x14ac:dyDescent="0.2">
      <c r="B28" s="136" t="s">
        <v>719</v>
      </c>
      <c r="C28" s="130">
        <f>SUM(C10:C27)</f>
        <v>3435898.2399999998</v>
      </c>
      <c r="D28" s="134">
        <f>ROUND(SUM(D10:D27),0)</f>
        <v>100</v>
      </c>
    </row>
    <row r="29" spans="1:4" x14ac:dyDescent="0.2">
      <c r="A29">
        <v>4000</v>
      </c>
      <c r="B29" t="s">
        <v>724</v>
      </c>
      <c r="C29" s="129">
        <f>ROUND('DOE25'!L256+'DOE25'!L337+'DOE25'!L375+'DOE25'!L376+'DOE25'!L377+'DOE25'!L378+'DOE25'!L379+'DOE25'!L380+'DOE25'!L381,0)</f>
        <v>2060</v>
      </c>
    </row>
    <row r="30" spans="1:4" x14ac:dyDescent="0.2">
      <c r="B30" s="136" t="s">
        <v>725</v>
      </c>
      <c r="C30" s="130">
        <f>SUM(C28:C29)</f>
        <v>3437958.2399999998</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1813525</v>
      </c>
      <c r="D35" s="132">
        <f t="shared" ref="D35:D40" si="1">ROUND((C35/$C$41)*100,1)</f>
        <v>53</v>
      </c>
    </row>
    <row r="36" spans="1:4" x14ac:dyDescent="0.2">
      <c r="B36" s="71" t="s">
        <v>739</v>
      </c>
      <c r="C36" s="129">
        <f>SUM('DOE25'!F112:J112)-SUM('DOE25'!G97:G110)+('DOE25'!F175+'DOE25'!F176+'DOE25'!I175+'DOE25'!I176)-C35</f>
        <v>728284.77</v>
      </c>
      <c r="D36" s="132">
        <f t="shared" si="1"/>
        <v>21.3</v>
      </c>
    </row>
    <row r="37" spans="1:4" x14ac:dyDescent="0.2">
      <c r="A37" s="133" t="s">
        <v>834</v>
      </c>
      <c r="B37" s="71" t="s">
        <v>728</v>
      </c>
      <c r="C37" s="129">
        <f>ROUND('DOE25'!F117+'DOE25'!F118,0)</f>
        <v>562212</v>
      </c>
      <c r="D37" s="132">
        <f t="shared" si="1"/>
        <v>16.399999999999999</v>
      </c>
    </row>
    <row r="38" spans="1:4" x14ac:dyDescent="0.2">
      <c r="A38" s="133" t="s">
        <v>734</v>
      </c>
      <c r="B38" s="71" t="s">
        <v>729</v>
      </c>
      <c r="C38" s="129">
        <f>ROUND(SUM('DOE25'!F140:J140)-SUM('DOE25'!F117:F119),0)</f>
        <v>23425</v>
      </c>
      <c r="D38" s="132">
        <f t="shared" si="1"/>
        <v>0.7</v>
      </c>
    </row>
    <row r="39" spans="1:4" x14ac:dyDescent="0.2">
      <c r="A39">
        <v>4000</v>
      </c>
      <c r="B39" s="71" t="s">
        <v>730</v>
      </c>
      <c r="C39" s="129">
        <f>ROUND('DOE25'!F170+'DOE25'!G170+'DOE25'!H170+'DOE25'!I170,0)</f>
        <v>295912</v>
      </c>
      <c r="D39" s="132">
        <f t="shared" si="1"/>
        <v>8.6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3423358.77</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Pittsburg</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240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73</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f>IF('School Level Expenditures'!$B$2='School Tables'!W76,'School Tables'!AD76,"")</f>
        <v>73</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f>IF('School Level Expenditures'!$B$2=A243,'School Tables'!H243,"")</f>
        <v>240</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2023-09-25T14:03:20Z</cp:lastPrinted>
  <dcterms:created xsi:type="dcterms:W3CDTF">1997-12-04T19:04:30Z</dcterms:created>
  <dcterms:modified xsi:type="dcterms:W3CDTF">2023-12-29T14:06:49Z</dcterms:modified>
</cp:coreProperties>
</file>