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33E49EB8-E79B-4F95-A1E0-CB7F3ECBDEFA}"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H13" i="2" s="1"/>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H76" i="2" s="1"/>
  <c r="E76" i="2"/>
  <c r="F76" i="2"/>
  <c r="C77" i="2"/>
  <c r="D77" i="2"/>
  <c r="E77" i="2"/>
  <c r="F77" i="2"/>
  <c r="G77" i="2"/>
  <c r="G78" i="2" s="1"/>
  <c r="C79" i="2"/>
  <c r="H79" i="2" s="1"/>
  <c r="D79" i="2"/>
  <c r="E79" i="2"/>
  <c r="C80" i="2"/>
  <c r="E80" i="2"/>
  <c r="C85" i="2"/>
  <c r="F85" i="2"/>
  <c r="C87" i="2"/>
  <c r="H87" i="2" s="1"/>
  <c r="E87" i="2"/>
  <c r="F87" i="2"/>
  <c r="C89" i="2"/>
  <c r="D89" i="2"/>
  <c r="E89" i="2"/>
  <c r="F89" i="2"/>
  <c r="C90" i="2"/>
  <c r="H90" i="2" s="1"/>
  <c r="C93" i="2"/>
  <c r="H93" i="2" s="1"/>
  <c r="F93" i="2"/>
  <c r="C94" i="2"/>
  <c r="F94" i="2"/>
  <c r="D96" i="2"/>
  <c r="E96" i="2"/>
  <c r="F96" i="2"/>
  <c r="G96" i="2"/>
  <c r="H96" i="2" s="1"/>
  <c r="C97" i="2"/>
  <c r="H97" i="2" s="1"/>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D115" i="2"/>
  <c r="F115" i="2"/>
  <c r="G115" i="2"/>
  <c r="E120" i="2"/>
  <c r="E124" i="2"/>
  <c r="C125" i="2"/>
  <c r="E125"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31" i="1"/>
  <c r="H637" i="1"/>
  <c r="G641" i="1"/>
  <c r="G644" i="1"/>
  <c r="G645" i="1"/>
  <c r="G646" i="1"/>
  <c r="H653" i="1"/>
  <c r="G654" i="1"/>
  <c r="H654" i="1"/>
  <c r="H655" i="1"/>
  <c r="H656" i="1"/>
  <c r="I170" i="1"/>
  <c r="H35" i="2" l="1"/>
  <c r="H69" i="2"/>
  <c r="H30" i="2"/>
  <c r="H28" i="2"/>
  <c r="H25" i="2"/>
  <c r="H17" i="2"/>
  <c r="H15" i="2"/>
  <c r="H143" i="2"/>
  <c r="H100" i="2"/>
  <c r="G651" i="1"/>
  <c r="H80" i="2"/>
  <c r="H59" i="2"/>
  <c r="H34" i="2"/>
  <c r="H29" i="2"/>
  <c r="J140" i="1"/>
  <c r="D18" i="13"/>
  <c r="C18" i="13" s="1"/>
  <c r="H102" i="2"/>
  <c r="H137" i="2"/>
  <c r="H89" i="2"/>
  <c r="H72" i="2"/>
  <c r="H9" i="2"/>
  <c r="H8" i="2"/>
  <c r="H132" i="2"/>
  <c r="H44" i="2"/>
  <c r="H48" i="2"/>
  <c r="H73" i="2"/>
  <c r="H23" i="2"/>
  <c r="H94" i="2"/>
  <c r="H27" i="2"/>
  <c r="H24" i="2"/>
  <c r="H113" i="2"/>
  <c r="J112" i="1"/>
  <c r="E121" i="2"/>
  <c r="H125" i="2"/>
  <c r="H98" i="2"/>
  <c r="H36" i="2"/>
  <c r="H135" i="2"/>
  <c r="H58" i="2"/>
  <c r="H11" i="2"/>
  <c r="I409" i="1"/>
  <c r="E112" i="2"/>
  <c r="H47" i="2"/>
  <c r="H12" i="2"/>
  <c r="G409" i="1"/>
  <c r="H646" i="1" s="1"/>
  <c r="C119" i="2"/>
  <c r="C12" i="10"/>
  <c r="N2" i="14"/>
  <c r="N3" i="14" s="1"/>
  <c r="M2" i="14"/>
  <c r="M3" i="14" s="1"/>
  <c r="C110" i="2"/>
  <c r="C121" i="2"/>
  <c r="D6" i="13"/>
  <c r="C6" i="13" s="1"/>
  <c r="L2" i="14"/>
  <c r="L3" i="14" s="1"/>
  <c r="C112" i="2"/>
  <c r="C13" i="10"/>
  <c r="A40" i="12"/>
  <c r="K2" i="14"/>
  <c r="K3" i="14" s="1"/>
  <c r="J652" i="1"/>
  <c r="D15" i="13"/>
  <c r="C15" i="13" s="1"/>
  <c r="C120" i="2"/>
  <c r="H120" i="2" s="1"/>
  <c r="H61" i="2"/>
  <c r="D29" i="13"/>
  <c r="C29" i="13" s="1"/>
  <c r="G662" i="1"/>
  <c r="D78" i="2"/>
  <c r="H77"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140" i="1"/>
  <c r="B11" i="16" s="1"/>
  <c r="F140" i="1"/>
  <c r="G63" i="2"/>
  <c r="J619" i="1"/>
  <c r="G42" i="2"/>
  <c r="G50" i="2" s="1"/>
  <c r="J51" i="1"/>
  <c r="G16" i="2"/>
  <c r="G18" i="2" s="1"/>
  <c r="J19" i="1"/>
  <c r="G622" i="1" s="1"/>
  <c r="F546" i="1"/>
  <c r="H435" i="1"/>
  <c r="D103" i="2"/>
  <c r="I140" i="1"/>
  <c r="A22" i="12"/>
  <c r="J653" i="1"/>
  <c r="G572" i="1"/>
  <c r="I435" i="1"/>
  <c r="G435" i="1"/>
  <c r="I664" i="1"/>
  <c r="H103" i="2" l="1"/>
  <c r="H21" i="2"/>
  <c r="H57" i="2"/>
  <c r="H16" i="2"/>
  <c r="E51" i="2"/>
  <c r="L572" i="1"/>
  <c r="H42" i="2"/>
  <c r="H85" i="2"/>
  <c r="B17" i="16"/>
  <c r="B19" i="16" s="1"/>
  <c r="G473" i="1"/>
  <c r="H121" i="2"/>
  <c r="G647" i="1"/>
  <c r="J469" i="1"/>
  <c r="H118" i="2"/>
  <c r="I663" i="1"/>
  <c r="G24" i="14"/>
  <c r="H24" i="14" s="1"/>
  <c r="I24" i="14" s="1"/>
  <c r="H112" i="2"/>
  <c r="E128" i="2"/>
  <c r="H119" i="2"/>
  <c r="H110" i="2"/>
  <c r="H91" i="2"/>
  <c r="H50" i="2"/>
  <c r="H18" i="2"/>
  <c r="G144" i="2"/>
  <c r="G145" i="2" s="1"/>
  <c r="H134" i="2"/>
  <c r="H78" i="2"/>
  <c r="C81" i="2"/>
  <c r="H81" i="2" s="1"/>
  <c r="F194" i="1"/>
  <c r="I662" i="1"/>
  <c r="D128" i="2"/>
  <c r="H127" i="2"/>
  <c r="D63" i="2"/>
  <c r="D104" i="2" s="1"/>
  <c r="H62" i="2"/>
  <c r="D51" i="2"/>
  <c r="H31" i="2"/>
  <c r="F661" i="1"/>
  <c r="F665" i="1" s="1"/>
  <c r="F670" i="1" s="1"/>
  <c r="E115" i="2"/>
  <c r="H109" i="2"/>
  <c r="F144" i="2"/>
  <c r="H130" i="2"/>
  <c r="H661" i="1"/>
  <c r="H665" i="1" s="1"/>
  <c r="H194" i="1"/>
  <c r="H649" i="1"/>
  <c r="J649" i="1" s="1"/>
  <c r="C141" i="2"/>
  <c r="F51" i="2"/>
  <c r="G36" i="14"/>
  <c r="H36" i="14" s="1"/>
  <c r="E104" i="2"/>
  <c r="C36" i="10"/>
  <c r="L435" i="1"/>
  <c r="G104" i="2"/>
  <c r="L339" i="1"/>
  <c r="L353" i="1" s="1"/>
  <c r="I194" i="1"/>
  <c r="G631" i="1" s="1"/>
  <c r="J631" i="1" s="1"/>
  <c r="G636" i="1"/>
  <c r="G51" i="2"/>
  <c r="L409" i="1"/>
  <c r="C27" i="10"/>
  <c r="C28" i="10" s="1"/>
  <c r="D23" i="10" s="1"/>
  <c r="G4" i="14"/>
  <c r="H4" i="14" s="1"/>
  <c r="I4" i="14" s="1"/>
  <c r="L546" i="1"/>
  <c r="J626" i="1"/>
  <c r="F104" i="2"/>
  <c r="B14" i="16"/>
  <c r="B22" i="16" s="1"/>
  <c r="E33" i="13"/>
  <c r="D35" i="13" s="1"/>
  <c r="J648" i="1"/>
  <c r="L258" i="1"/>
  <c r="L272" i="1" s="1"/>
  <c r="C115" i="2"/>
  <c r="C63" i="2"/>
  <c r="C104" i="2" s="1"/>
  <c r="C39" i="10"/>
  <c r="G33" i="13"/>
  <c r="C128" i="2"/>
  <c r="D31" i="13"/>
  <c r="C31" i="13" s="1"/>
  <c r="I462" i="1"/>
  <c r="H643" i="1" s="1"/>
  <c r="J643" i="1" s="1"/>
  <c r="G661" i="1"/>
  <c r="G665" i="1" s="1"/>
  <c r="C25" i="13"/>
  <c r="I33" i="13"/>
  <c r="K553" i="1"/>
  <c r="C51" i="2"/>
  <c r="G632" i="1"/>
  <c r="G194" i="1"/>
  <c r="G627" i="1"/>
  <c r="J52" i="1"/>
  <c r="H622" i="1" s="1"/>
  <c r="J622" i="1" s="1"/>
  <c r="C38" i="10"/>
  <c r="G629" i="1" l="1"/>
  <c r="G469" i="1"/>
  <c r="G628" i="1"/>
  <c r="F469" i="1"/>
  <c r="J636" i="1"/>
  <c r="G630" i="1"/>
  <c r="H469" i="1"/>
  <c r="H636" i="1"/>
  <c r="G475" i="1"/>
  <c r="G633" i="1"/>
  <c r="F473" i="1"/>
  <c r="G639" i="1"/>
  <c r="J473" i="1"/>
  <c r="H638" i="1"/>
  <c r="J471" i="1"/>
  <c r="H632" i="1"/>
  <c r="J632" i="1" s="1"/>
  <c r="H51" i="2"/>
  <c r="M24" i="14"/>
  <c r="G634" i="1"/>
  <c r="H473" i="1"/>
  <c r="C144" i="2"/>
  <c r="C145" i="2" s="1"/>
  <c r="H141" i="2"/>
  <c r="H104" i="2"/>
  <c r="H63" i="2"/>
  <c r="D145" i="2"/>
  <c r="H128"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471" i="1" l="1"/>
  <c r="H630" i="1"/>
  <c r="J630" i="1" s="1"/>
  <c r="H628" i="1"/>
  <c r="F471" i="1"/>
  <c r="F477" i="1" s="1"/>
  <c r="H623" i="1" s="1"/>
  <c r="J623" i="1" s="1"/>
  <c r="F475" i="1"/>
  <c r="H633" i="1"/>
  <c r="J633" i="1" s="1"/>
  <c r="J628" i="1"/>
  <c r="G471" i="1"/>
  <c r="G477" i="1" s="1"/>
  <c r="H629" i="1"/>
  <c r="J629" i="1"/>
  <c r="H639" i="1"/>
  <c r="J639" i="1" s="1"/>
  <c r="J475" i="1"/>
  <c r="J477" i="1" s="1"/>
  <c r="H627" i="1" s="1"/>
  <c r="J627" i="1" s="1"/>
  <c r="H634" i="1"/>
  <c r="J634" i="1" s="1"/>
  <c r="H475" i="1"/>
  <c r="H477" i="1" s="1"/>
  <c r="H625" i="1" s="1"/>
  <c r="H144" i="2"/>
  <c r="H145" i="2"/>
  <c r="I670" i="1"/>
  <c r="I673" i="1" s="1"/>
  <c r="C7" i="10" s="1"/>
  <c r="F673" i="1"/>
  <c r="C4" i="10" s="1"/>
  <c r="I668" i="1"/>
  <c r="D28" i="10"/>
  <c r="D37" i="10"/>
  <c r="D36" i="10"/>
  <c r="D35" i="10"/>
  <c r="D40" i="10"/>
  <c r="D39" i="10"/>
  <c r="H624" i="1" l="1"/>
  <c r="J624" i="1" s="1"/>
  <c r="B33" i="16"/>
  <c r="J625" i="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<sst xmlns="http://schemas.openxmlformats.org/spreadsheetml/2006/main" count="6560" uniqueCount="1814">
  <si>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</si>
  <si>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</si>
  <si>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</si>
  <si>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</si>
  <si>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</si>
  <si>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</si>
  <si>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</si>
  <si>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</si>
  <si>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</si>
  <si>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</si>
  <si>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</si>
  <si>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</si>
  <si>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</si>
  <si>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</si>
  <si>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</si>
  <si>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</si>
  <si>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</si>
  <si>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</si>
  <si>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</si>
  <si>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</si>
  <si>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</si>
  <si>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</si>
  <si>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</si>
  <si>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</si>
  <si>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</si>
  <si>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</si>
  <si>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</si>
  <si>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</si>
  <si>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</si>
  <si>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</si>
  <si>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</si>
  <si>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</si>
  <si>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</si>
  <si>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</si>
  <si>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</si>
  <si>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</si>
  <si>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</si>
  <si>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</si>
  <si>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</si>
  <si>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</si>
  <si>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</si>
  <si>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</si>
  <si>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</si>
  <si>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</si>
  <si>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</si>
  <si>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</si>
  <si>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</si>
  <si>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</si>
  <si>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</si>
  <si>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</si>
  <si>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</si>
  <si>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</si>
  <si>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</si>
  <si>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</si>
  <si>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</si>
  <si>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</si>
  <si>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</si>
  <si>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</si>
  <si>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</si>
  <si>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</si>
  <si>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</si>
  <si>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</si>
  <si>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</si>
  <si>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</si>
  <si>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</si>
  <si>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</si>
  <si>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</si>
  <si>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</si>
  <si>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</si>
  <si>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</si>
  <si>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</si>
  <si>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</si>
  <si>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</si>
  <si>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</si>
  <si>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</si>
  <si>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</si>
  <si>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</si>
  <si>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</si>
  <si>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</si>
  <si>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</si>
  <si>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</si>
  <si>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</si>
  <si>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</si>
  <si>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</si>
  <si>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</si>
  <si>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</si>
  <si>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</si>
  <si>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</si>
  <si>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</si>
  <si>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</si>
  <si>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</si>
  <si>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</si>
  <si>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</si>
  <si>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</si>
  <si>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</si>
  <si>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</si>
  <si>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</si>
  <si>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</si>
  <si>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</si>
  <si>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</si>
  <si>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</si>
  <si>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</si>
  <si>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</si>
  <si>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</si>
  <si>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</si>
  <si>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</si>
  <si>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</si>
  <si>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</si>
  <si>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</si>
  <si>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</si>
  <si>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</si>
  <si>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</si>
  <si>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</si>
  <si>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</si>
  <si>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</si>
  <si>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</si>
  <si>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</si>
  <si>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</si>
  <si>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</si>
  <si>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</si>
  <si>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</si>
  <si>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</si>
  <si>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</si>
  <si>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</si>
  <si>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</si>
  <si>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</si>
  <si>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</si>
  <si>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</si>
  <si>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</si>
  <si>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</si>
  <si>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</si>
  <si>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</si>
  <si>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</si>
  <si>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</si>
  <si>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</si>
  <si>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</si>
  <si>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</si>
  <si>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</si>
  <si>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</si>
  <si>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</si>
  <si>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</si>
  <si>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</si>
  <si>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</si>
  <si>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</si>
  <si>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</si>
  <si>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</si>
  <si>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</si>
  <si>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</si>
  <si>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</si>
  <si>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</si>
  <si>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</si>
  <si>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</si>
  <si>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</si>
  <si>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</si>
  <si>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</si>
  <si>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</si>
  <si>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</si>
  <si>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</si>
  <si>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</si>
  <si>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</si>
  <si>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</si>
  <si>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</si>
  <si>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</si>
  <si>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</si>
  <si>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</si>
  <si>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</si>
  <si>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</si>
  <si>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</si>
  <si>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</si>
  <si>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</si>
  <si>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</si>
  <si>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</si>
  <si>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</si>
  <si>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</si>
  <si>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</si>
  <si>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</si>
  <si>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</si>
  <si>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</si>
  <si>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</si>
  <si>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</si>
  <si>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</si>
  <si>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</si>
  <si>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</si>
  <si>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</si>
  <si>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</si>
  <si>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</si>
  <si>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</si>
  <si>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</si>
  <si>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</si>
  <si>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</si>
  <si>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</si>
  <si>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</si>
  <si>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</si>
  <si>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</si>
  <si>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</si>
  <si>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</si>
  <si>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</si>
  <si>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</si>
  <si>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</si>
  <si>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</si>
  <si>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</si>
  <si>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</si>
  <si>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</si>
  <si>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</si>
  <si>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</si>
  <si>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</si>
  <si>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</si>
  <si>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</si>
  <si>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</si>
  <si>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</si>
  <si>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</si>
  <si>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</si>
  <si>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</si>
  <si>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</si>
  <si>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</si>
  <si>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</si>
  <si>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</si>
  <si>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</si>
  <si>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</si>
  <si>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</si>
  <si>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</si>
  <si>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</si>
  <si>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</si>
  <si>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</si>
  <si>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</si>
  <si>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</si>
  <si>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</si>
  <si>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</si>
  <si>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</si>
  <si>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</si>
  <si>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</si>
  <si>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</si>
  <si>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</si>
  <si>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</si>
  <si>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</si>
  <si>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</si>
  <si>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</si>
  <si>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</si>
  <si>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</si>
  <si>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</si>
  <si>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</si>
  <si>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</si>
  <si>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</si>
  <si>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</si>
  <si>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</si>
  <si>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</si>
  <si>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</si>
  <si>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</si>
  <si>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</si>
  <si>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</si>
  <si>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</si>
  <si>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</si>
  <si>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</si>
  <si>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</si>
  <si>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</si>
  <si>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</si>
  <si>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</si>
  <si>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</si>
  <si>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</si>
  <si>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</si>
  <si>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</si>
  <si>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</si>
  <si>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</si>
  <si>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</si>
  <si>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</si>
  <si>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</si>
  <si>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</si>
  <si>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</si>
  <si>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</si>
  <si>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</si>
  <si>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</si>
  <si>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</si>
  <si>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</si>
  <si>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</si>
  <si>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</si>
  <si>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</si>
  <si>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</si>
  <si>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</si>
  <si>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</si>
  <si>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</si>
  <si>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</si>
  <si>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</si>
  <si>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</si>
  <si>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</si>
  <si>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</si>
  <si>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</si>
  <si>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</si>
  <si>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</si>
  <si>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</si>
  <si>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</si>
  <si>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</si>
  <si>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</si>
  <si>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</si>
  <si>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</si>
  <si>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</si>
  <si>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</si>
  <si>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</si>
  <si>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</si>
  <si>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</si>
  <si>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</si>
  <si>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</si>
  <si>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</si>
  <si>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</si>
  <si>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</si>
  <si>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</si>
  <si>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</si>
  <si>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</si>
  <si>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</si>
  <si>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</si>
  <si>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</si>
  <si>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</si>
  <si>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</si>
  <si>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</si>
  <si>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</si>
  <si>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</si>
  <si>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</si>
  <si>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</si>
  <si>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</si>
  <si>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</si>
  <si>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</si>
  <si>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</si>
  <si>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</si>
  <si>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</si>
  <si>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</si>
  <si>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</si>
  <si>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</si>
  <si>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</si>
  <si>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</si>
  <si>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</si>
  <si>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</si>
  <si>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</si>
  <si>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</si>
  <si>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</si>
  <si>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</si>
  <si>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</si>
  <si>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</si>
  <si>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</si>
  <si>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</si>
  <si>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</si>
  <si>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</si>
  <si>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</si>
  <si>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</si>
  <si>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</si>
  <si>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</si>
  <si>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</si>
  <si>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</si>
  <si>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</si>
  <si>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</si>
  <si>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</si>
  <si>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</si>
  <si>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</si>
  <si>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</si>
  <si>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</si>
  <si>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</si>
  <si>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</si>
  <si>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</si>
  <si>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</si>
  <si>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</si>
  <si>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</si>
  <si>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</si>
  <si>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</si>
  <si>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</si>
  <si>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</si>
  <si>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</si>
  <si>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</si>
  <si>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</si>
  <si>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</si>
  <si>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</si>
  <si>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</si>
  <si>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</si>
  <si>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</si>
  <si>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</si>
  <si>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</si>
  <si>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</si>
  <si>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</si>
  <si>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</si>
  <si>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</si>
  <si>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</si>
  <si>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</si>
  <si>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</si>
  <si>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</si>
  <si>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</si>
  <si>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</si>
  <si>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</si>
  <si>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</si>
  <si>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</si>
  <si>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</si>
  <si>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</si>
  <si>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</si>
  <si>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</si>
  <si>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</si>
  <si>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</si>
  <si>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</si>
  <si>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</si>
  <si>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</si>
  <si>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</si>
  <si>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</si>
  <si>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</si>
  <si>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</si>
  <si>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</si>
  <si>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</si>
  <si>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</si>
  <si>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</si>
  <si>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</si>
  <si>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</si>
  <si>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</si>
  <si>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</si>
  <si>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</si>
  <si>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</si>
  <si>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</si>
  <si>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</si>
  <si>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</si>
  <si>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</si>
  <si>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</si>
  <si>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</si>
  <si>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</si>
  <si>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</si>
  <si>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</si>
  <si>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</si>
  <si>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</si>
  <si>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</si>
  <si>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</si>
  <si>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</si>
  <si>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</si>
  <si>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</si>
  <si>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</si>
  <si>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</si>
  <si>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</si>
  <si>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</si>
  <si>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</si>
  <si>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</si>
  <si>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</si>
  <si>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</si>
  <si>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</si>
  <si>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</si>
  <si>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</si>
  <si>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</si>
  <si>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</si>
  <si>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</si>
  <si>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</si>
  <si>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</si>
  <si>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</si>
  <si>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</si>
  <si>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</si>
  <si>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</si>
  <si>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</si>
  <si>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</si>
  <si>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</si>
  <si>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</si>
  <si>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</si>
  <si>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</si>
  <si>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</si>
  <si>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</si>
  <si>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</si>
  <si>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</si>
  <si>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</si>
  <si>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</si>
  <si>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</si>
  <si>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</si>
  <si>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</si>
  <si>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</si>
  <si>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</si>
  <si>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</si>
  <si>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</si>
  <si>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</si>
  <si>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</si>
  <si>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</si>
  <si>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</si>
  <si>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</si>
  <si>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</si>
  <si>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</si>
  <si>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</si>
  <si>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</si>
  <si>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</si>
  <si>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</si>
  <si>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</si>
  <si>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</si>
  <si>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</si>
  <si>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</si>
  <si>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</si>
  <si>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</si>
  <si>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</si>
  <si>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</si>
  <si>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</si>
  <si>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</si>
  <si>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</si>
  <si>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</si>
  <si>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</si>
  <si>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</si>
  <si>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</si>
  <si>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</si>
  <si>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</si>
  <si>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</si>
  <si>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</si>
  <si>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</si>
  <si>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</si>
  <si>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</si>
  <si>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</si>
  <si>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</si>
  <si>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</si>
  <si>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</si>
  <si>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</si>
  <si>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</si>
  <si>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</si>
  <si>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</si>
  <si>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</si>
  <si>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</si>
  <si>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</si>
  <si>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</si>
  <si>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</si>
  <si>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</si>
  <si>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</si>
  <si>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</si>
  <si>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</si>
  <si>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</si>
  <si>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</si>
  <si>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</si>
  <si>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</si>
  <si>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</si>
  <si>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</si>
  <si>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</si>
  <si>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</si>
  <si>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</si>
  <si>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</si>
  <si>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</si>
  <si>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</si>
  <si>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</si>
  <si>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</si>
  <si>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</si>
  <si>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</si>
  <si>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</si>
  <si>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</si>
  <si>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</si>
  <si>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</si>
  <si>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</si>
  <si>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</si>
  <si>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</si>
  <si>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</si>
  <si>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</si>
  <si>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</si>
  <si>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</si>
  <si>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</si>
  <si>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</si>
  <si>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</si>
  <si>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</si>
  <si>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</si>
  <si>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</si>
  <si>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</si>
  <si>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</si>
  <si>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</si>
  <si>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</si>
  <si>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</si>
  <si>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</si>
  <si>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</si>
  <si>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</si>
  <si>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</si>
  <si>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</si>
  <si>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</si>
  <si>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</si>
  <si>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</si>
  <si>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</si>
  <si>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</si>
  <si>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</si>
  <si>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</si>
  <si>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</si>
  <si>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</si>
  <si>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</si>
  <si>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</si>
  <si>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</si>
  <si>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</si>
  <si>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</si>
  <si>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</si>
  <si>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</si>
  <si>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</si>
  <si>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</si>
  <si>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</si>
  <si>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</si>
  <si>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</si>
  <si>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</si>
  <si>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</si>
  <si>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</si>
  <si>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</si>
  <si>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</si>
  <si>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</si>
  <si>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</si>
  <si>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</si>
  <si>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</si>
  <si>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</si>
  <si>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</si>
  <si>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</si>
  <si>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</si>
  <si>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</si>
  <si>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</si>
  <si>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</si>
  <si>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</si>
  <si>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</si>
  <si>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</si>
  <si>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</si>
  <si>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</si>
  <si>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</si>
  <si>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</si>
  <si>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</si>
  <si>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</si>
  <si>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</si>
  <si>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</si>
  <si>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</si>
  <si>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</si>
  <si>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</si>
  <si>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</si>
  <si>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</si>
  <si>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</si>
  <si>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</si>
  <si>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</si>
  <si>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</si>
  <si>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</si>
  <si>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</si>
  <si>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</si>
  <si>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</si>
  <si>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</si>
  <si>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</si>
  <si>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</si>
  <si>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</si>
  <si>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</si>
  <si>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</si>
  <si>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</si>
  <si>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</si>
  <si>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</si>
  <si>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</si>
  <si>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</si>
  <si>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</si>
  <si>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</si>
  <si>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</si>
  <si>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</si>
  <si>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</si>
  <si>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</si>
  <si>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</si>
  <si>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</si>
  <si>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</si>
  <si>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</si>
  <si>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</si>
  <si>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</si>
  <si>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</si>
  <si>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</si>
  <si>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</si>
  <si>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</si>
  <si>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</si>
  <si>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</si>
  <si>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</si>
  <si>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</si>
  <si>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</si>
  <si>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</si>
  <si>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</si>
  <si>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</si>
  <si>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</si>
  <si>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</si>
  <si>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</si>
  <si>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</si>
  <si>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</si>
  <si>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</si>
  <si>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</si>
  <si>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</si>
  <si>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</si>
  <si>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</si>
  <si>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</si>
  <si>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</si>
  <si>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</si>
  <si>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</si>
  <si>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</si>
  <si>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</si>
  <si>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</si>
  <si>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</si>
  <si>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</si>
  <si>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</si>
  <si>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</si>
  <si>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</si>
  <si>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</si>
  <si>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</si>
  <si>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</si>
  <si>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</si>
  <si>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</si>
  <si>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</si>
  <si>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</si>
  <si>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</si>
  <si>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</si>
  <si>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</si>
  <si>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</si>
  <si>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</si>
  <si>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</si>
  <si>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</si>
  <si>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</si>
  <si>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</si>
  <si>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</si>
  <si>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</si>
  <si>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</si>
  <si>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</si>
  <si>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</si>
  <si>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</si>
  <si>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</si>
  <si>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</si>
  <si>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</si>
  <si>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</si>
  <si>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</si>
  <si>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</si>
  <si>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</si>
  <si>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</si>
  <si>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</si>
  <si>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</si>
  <si>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</si>
  <si>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</si>
  <si>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</si>
  <si>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</si>
  <si>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</si>
  <si>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</si>
  <si>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</si>
  <si>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</si>
  <si>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</si>
  <si>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</si>
  <si>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</si>
  <si>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</si>
  <si>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</si>
  <si>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</si>
  <si>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</si>
  <si>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</si>
  <si>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</si>
  <si>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</si>
  <si>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</si>
  <si>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</si>
  <si>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</si>
  <si>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</si>
  <si>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</si>
  <si>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</si>
  <si>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</si>
  <si>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</si>
  <si>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</si>
  <si>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</si>
  <si>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</si>
  <si>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</si>
  <si>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</si>
  <si>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</si>
  <si>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</si>
  <si>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</si>
  <si>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</si>
  <si>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</si>
  <si>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</si>
  <si>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</si>
  <si>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</si>
  <si>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</si>
  <si>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</si>
  <si>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</si>
  <si>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</si>
  <si>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</si>
  <si>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</si>
  <si>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</si>
  <si>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</si>
  <si>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</si>
  <si>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</si>
  <si>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</si>
  <si>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</si>
  <si>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</si>
  <si>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</si>
  <si>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</si>
  <si>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</si>
  <si>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</si>
  <si>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</si>
  <si>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</si>
  <si>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</si>
  <si>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</si>
  <si>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</si>
  <si>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</si>
  <si>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</si>
  <si>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</si>
  <si>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</si>
  <si>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</si>
  <si>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</si>
  <si>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</si>
  <si>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</si>
  <si>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</si>
  <si>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</si>
  <si>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</si>
  <si>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</si>
  <si>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</si>
  <si>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</si>
  <si>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</si>
  <si>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</si>
  <si>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</si>
  <si>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</si>
  <si>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</si>
  <si>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</si>
  <si>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</si>
  <si>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</si>
  <si>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</si>
  <si>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</si>
  <si>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</si>
  <si>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</si>
  <si>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</si>
  <si>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</si>
  <si>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</si>
  <si>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</si>
  <si>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</si>
  <si>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</si>
  <si>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</si>
  <si>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</si>
  <si>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</si>
  <si>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</si>
  <si>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</si>
  <si>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</si>
  <si>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</si>
  <si>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</si>
  <si>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</si>
  <si>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</si>
  <si>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</si>
  <si>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</si>
  <si>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</si>
  <si>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</si>
  <si>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</si>
  <si>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</si>
  <si>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</si>
  <si>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</si>
  <si>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</si>
  <si>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</si>
  <si>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</si>
  <si>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</si>
  <si>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</si>
  <si>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</si>
  <si>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</si>
  <si>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</si>
  <si>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</si>
  <si>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</si>
  <si>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</si>
  <si>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</si>
  <si>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</si>
  <si>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</si>
  <si>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</si>
  <si>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</si>
  <si>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</si>
  <si>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</si>
  <si>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</si>
  <si>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</si>
  <si>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</si>
  <si>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</si>
  <si>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</si>
  <si>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</si>
  <si>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</si>
  <si>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</si>
  <si>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</si>
  <si>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</si>
  <si>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</si>
  <si>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</si>
  <si>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</si>
  <si>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</si>
  <si>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</si>
  <si>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</si>
  <si>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</si>
  <si>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</si>
  <si>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</si>
  <si>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</si>
  <si>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</si>
  <si>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</si>
  <si>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</si>
  <si>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</si>
  <si>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</si>
  <si>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</si>
  <si>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</si>
  <si>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</si>
  <si>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</si>
  <si>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</si>
  <si>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</si>
  <si>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</si>
  <si>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</si>
  <si>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</si>
  <si>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</si>
  <si>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</si>
  <si>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</si>
  <si>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</si>
  <si>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</si>
  <si>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</si>
  <si>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</si>
  <si>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</si>
  <si>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</si>
  <si>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</si>
  <si>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</si>
  <si>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</si>
  <si>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</si>
  <si>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</si>
  <si>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</si>
  <si>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</si>
  <si>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</si>
  <si>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</si>
  <si>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</si>
  <si>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</si>
  <si>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</si>
  <si>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</si>
  <si>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</si>
  <si>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</si>
  <si>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</si>
  <si>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</si>
  <si>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</si>
  <si>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</si>
  <si>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</si>
  <si>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</si>
  <si>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</si>
  <si>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</si>
  <si>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</si>
  <si>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</si>
  <si>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</si>
  <si>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</si>
  <si>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</si>
  <si>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</si>
  <si>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</si>
  <si>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</si>
  <si>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</si>
  <si>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</si>
  <si>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</si>
  <si>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</si>
  <si>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</si>
  <si>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</si>
  <si>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</si>
  <si>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</si>
  <si>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</si>
  <si>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</si>
  <si>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</si>
  <si>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</si>
  <si>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</si>
  <si>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</si>
  <si>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</si>
  <si>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</si>
  <si>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</si>
  <si>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</si>
  <si>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</si>
  <si>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</si>
  <si>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</si>
  <si>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</si>
  <si>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</si>
  <si>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</si>
  <si>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</si>
  <si>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</si>
  <si>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</si>
  <si>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</si>
  <si>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</si>
  <si>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</si>
  <si>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</si>
  <si>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</si>
  <si>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</si>
  <si>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</si>
  <si>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</si>
  <si>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</si>
  <si>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</si>
  <si>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</si>
  <si>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</si>
  <si>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</si>
  <si>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</si>
  <si>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</si>
  <si>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</si>
  <si>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</si>
  <si>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</si>
  <si>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</si>
  <si>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</si>
  <si>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</si>
  <si>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</si>
  <si>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</si>
  <si>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</si>
  <si>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</si>
  <si>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</si>
  <si>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</si>
  <si>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</si>
  <si>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</si>
  <si>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</si>
  <si>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</si>
  <si>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</si>
  <si>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</si>
  <si>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</si>
  <si>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</si>
  <si>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</si>
  <si>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</si>
  <si>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</si>
  <si>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</si>
  <si>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</si>
  <si>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</si>
  <si>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</si>
  <si>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</si>
  <si>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</si>
  <si>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</si>
  <si>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</si>
  <si>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</si>
  <si>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</si>
  <si>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</si>
  <si>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</si>
  <si>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</si>
  <si>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</si>
  <si>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</si>
  <si>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</si>
  <si>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</si>
  <si>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</si>
  <si>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</si>
  <si>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</si>
  <si>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</si>
  <si>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</si>
  <si>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</si>
  <si>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</si>
  <si>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</si>
  <si>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</si>
  <si>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</si>
  <si>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</si>
  <si>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</si>
  <si>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</si>
  <si>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</si>
  <si>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</si>
  <si>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</si>
  <si>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</si>
  <si>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</si>
  <si>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</si>
  <si>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</si>
  <si>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</si>
  <si>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</si>
  <si>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</si>
  <si>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</si>
  <si>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</si>
  <si>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</si>
  <si>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</si>
  <si>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</si>
  <si>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</si>
  <si>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</si>
  <si>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</si>
  <si>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</si>
  <si>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</si>
  <si>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</si>
  <si>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</si>
  <si>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</si>
  <si>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</si>
  <si>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</si>
  <si>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</si>
  <si>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</si>
  <si>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</si>
  <si>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</si>
  <si>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</si>
  <si>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</si>
  <si>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</si>
  <si>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</si>
  <si>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</si>
  <si>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</si>
  <si>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</si>
  <si>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</si>
  <si>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</si>
  <si>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</si>
  <si>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</si>
  <si>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</si>
  <si>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</si>
  <si>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</si>
  <si>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</si>
  <si>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</si>
  <si>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</si>
  <si>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</si>
  <si>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</si>
  <si>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</si>
  <si>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</si>
  <si>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</si>
  <si>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</si>
  <si>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</si>
  <si>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</si>
  <si>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</si>
  <si>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</si>
  <si>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</si>
  <si>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</si>
  <si>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</si>
  <si>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</si>
  <si>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</si>
  <si>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</si>
  <si>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</si>
  <si>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</si>
  <si>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</si>
  <si>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</si>
  <si>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</si>
  <si>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</si>
  <si>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</si>
  <si>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</si>
  <si>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</si>
  <si>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</si>
  <si>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</si>
  <si>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</si>
  <si>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</si>
  <si>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</si>
  <si>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</si>
  <si>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</si>
  <si>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</si>
  <si>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</si>
  <si>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</si>
  <si>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</si>
  <si>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</si>
  <si>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</si>
  <si>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</si>
  <si>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</si>
  <si>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</si>
  <si>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</si>
  <si>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</si>
  <si>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</si>
  <si>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</si>
  <si>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</si>
  <si>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</si>
  <si>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</si>
  <si>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</si>
  <si>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</si>
  <si>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</si>
  <si>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</si>
  <si>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</si>
  <si>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</si>
  <si>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</si>
  <si>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</si>
  <si>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</si>
  <si>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</si>
  <si>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</si>
  <si>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</si>
  <si>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</si>
  <si>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</si>
  <si>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</si>
  <si>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</si>
  <si>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</si>
  <si>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</si>
  <si>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</si>
  <si>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</si>
  <si>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</si>
  <si>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</si>
  <si>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</si>
  <si>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</si>
  <si>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</si>
  <si>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</si>
  <si>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</si>
  <si>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</si>
  <si>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</si>
  <si>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</si>
  <si>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</si>
  <si>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</si>
  <si>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</si>
  <si>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</si>
  <si>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</si>
  <si>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</si>
  <si>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</si>
  <si>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</si>
  <si>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</si>
  <si>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</si>
  <si>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</si>
  <si>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</si>
  <si>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</si>
  <si>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</si>
  <si>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</si>
  <si>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</si>
  <si>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</si>
  <si>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</si>
  <si>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</si>
  <si>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</si>
  <si>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</si>
  <si>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</si>
  <si>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</si>
  <si>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</si>
  <si>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</si>
  <si>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</si>
  <si>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</si>
  <si>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</si>
  <si>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</si>
  <si>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</si>
  <si>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</si>
  <si>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</si>
  <si>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</si>
  <si>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</si>
  <si>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</si>
  <si>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</si>
  <si>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</si>
  <si>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</si>
  <si>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</si>
  <si>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</si>
  <si>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</si>
  <si>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</si>
  <si>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</si>
  <si>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</si>
  <si>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</si>
  <si>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</si>
  <si>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</si>
  <si>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</si>
  <si>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</si>
  <si>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</si>
  <si>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</si>
  <si>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</si>
  <si>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</si>
  <si>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</si>
  <si>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</si>
  <si>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</si>
  <si>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</si>
  <si>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</si>
  <si>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</si>
  <si>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</si>
  <si>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</si>
  <si>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</si>
  <si>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</si>
  <si>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</si>
  <si>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</si>
  <si>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</si>
  <si>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</si>
  <si>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</si>
  <si>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</si>
  <si>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</si>
  <si>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</si>
  <si>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</si>
  <si>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</si>
  <si>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</si>
  <si>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</si>
  <si>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</si>
  <si>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</si>
  <si>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</si>
  <si>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</si>
  <si>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</si>
  <si>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</si>
  <si>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</si>
  <si>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</si>
  <si>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</si>
  <si>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</si>
  <si>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</si>
  <si>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</si>
  <si>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</si>
  <si>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</si>
  <si>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</si>
  <si>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</si>
  <si>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</si>
  <si>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</si>
  <si>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</si>
  <si>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</si>
  <si>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</si>
  <si>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</si>
  <si>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</si>
  <si>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</si>
  <si>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</si>
  <si>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</si>
  <si>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</si>
  <si>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</si>
  <si>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</si>
  <si>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</si>
  <si>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</si>
  <si>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</si>
  <si>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</si>
  <si>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</si>
  <si>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</si>
  <si>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</si>
  <si>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</si>
  <si>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</si>
  <si>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</si>
  <si>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</si>
  <si>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</si>
  <si>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</si>
  <si>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</si>
  <si>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</si>
  <si>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</si>
  <si>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</si>
  <si>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</si>
  <si>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</si>
  <si>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</si>
  <si>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</si>
  <si>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</si>
  <si>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</si>
  <si>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</si>
  <si>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</si>
  <si>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</si>
  <si>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</si>
  <si>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</si>
  <si>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</si>
  <si>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</si>
  <si>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</si>
  <si>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</si>
  <si>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</si>
  <si>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</si>
  <si>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</si>
  <si>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</si>
  <si>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</si>
  <si>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</si>
  <si>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</si>
  <si>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</si>
  <si>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</si>
  <si>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</si>
  <si>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</si>
  <si>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</si>
  <si>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</si>
  <si>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</si>
  <si>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</si>
  <si>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</si>
  <si>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</si>
  <si>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</si>
  <si>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</si>
  <si>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</si>
  <si>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</si>
  <si>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</si>
  <si>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</si>
  <si>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</si>
  <si>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</si>
  <si>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</si>
  <si>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</si>
  <si>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</si>
  <si>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</si>
  <si>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</si>
  <si>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</si>
  <si>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</si>
  <si>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</si>
  <si>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</si>
  <si>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</si>
  <si>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</si>
  <si>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</si>
  <si>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</si>
  <si>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</si>
  <si>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</si>
  <si>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</si>
  <si>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</si>
  <si>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</si>
  <si>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</si>
  <si>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</si>
  <si>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</si>
  <si>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</si>
  <si>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</si>
  <si>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</si>
  <si>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</si>
  <si>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</si>
  <si>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</si>
  <si>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</si>
  <si>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</si>
  <si>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</si>
  <si>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</si>
  <si>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</si>
  <si>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</si>
  <si>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</si>
  <si>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</si>
  <si>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</si>
  <si>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</si>
  <si>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</si>
  <si>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</si>
  <si>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</si>
  <si>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</si>
  <si>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</si>
  <si>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</si>
  <si>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</si>
  <si>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</si>
  <si>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</si>
  <si>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</si>
  <si>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</si>
  <si>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</si>
  <si>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</si>
  <si>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</si>
  <si>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</si>
  <si>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</si>
  <si>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</si>
  <si>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</si>
  <si>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</si>
  <si>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</si>
  <si>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</si>
  <si>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</si>
  <si>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</si>
  <si>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</si>
  <si>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</si>
  <si>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</si>
  <si>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</si>
  <si>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</si>
  <si>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</si>
  <si>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</si>
  <si>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</si>
  <si>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</si>
  <si>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</si>
  <si>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</si>
  <si>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</si>
  <si>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</si>
  <si>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</si>
  <si>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</si>
  <si>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</si>
  <si>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</si>
  <si>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</si>
  <si>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</si>
  <si>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</si>
  <si>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</si>
  <si>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</si>
  <si>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</si>
  <si>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</si>
  <si>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</si>
  <si>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</si>
  <si>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</si>
  <si>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</si>
  <si>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</si>
  <si>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</si>
  <si>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</si>
  <si>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</si>
  <si>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</si>
  <si>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</si>
  <si>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</si>
  <si>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</si>
  <si>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</si>
  <si>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</si>
  <si>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</si>
  <si>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</si>
  <si>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</si>
  <si>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</si>
  <si>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</si>
  <si>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</si>
  <si>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</si>
  <si>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</si>
  <si>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</si>
  <si>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</si>
  <si>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</si>
  <si>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</si>
  <si>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</si>
  <si>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</si>
  <si>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</si>
  <si>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</si>
  <si>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</si>
  <si>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</si>
  <si>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</si>
  <si>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</si>
  <si>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</si>
  <si>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</si>
  <si>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</si>
  <si>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</si>
  <si>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</si>
  <si>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</si>
  <si>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</si>
  <si>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</si>
  <si>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</si>
  <si>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</si>
  <si>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</si>
  <si>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</si>
  <si>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</si>
  <si>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</si>
  <si>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</si>
  <si>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</si>
  <si>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</si>
  <si>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</si>
  <si>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</si>
  <si>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</si>
  <si>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</si>
  <si>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</si>
  <si>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</si>
  <si>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</si>
  <si>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</si>
  <si>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</si>
  <si>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</si>
  <si>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</si>
  <si>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</si>
  <si>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</si>
  <si>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</si>
  <si>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</si>
  <si>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</si>
  <si>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</si>
  <si>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</si>
  <si>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</si>
  <si>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</si>
  <si>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</si>
  <si>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</si>
  <si>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</si>
  <si>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</si>
  <si>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</si>
  <si>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</si>
  <si>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</si>
  <si>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</si>
  <si>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</si>
  <si>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</si>
  <si>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</si>
  <si>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</si>
  <si>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</si>
  <si>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</si>
  <si>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</si>
  <si>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</si>
  <si>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</si>
  <si>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</si>
  <si>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</si>
  <si>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</si>
  <si>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</si>
  <si>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</si>
  <si>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</si>
  <si>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</si>
  <si>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</si>
  <si>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</si>
  <si>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</si>
  <si>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</si>
  <si>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</si>
  <si>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</si>
  <si>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</si>
  <si>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</si>
  <si>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</si>
  <si>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</si>
  <si>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</si>
  <si>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</si>
  <si>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</si>
  <si>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</si>
  <si>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</si>
  <si>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</si>
  <si>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</si>
  <si>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</si>
  <si>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</si>
  <si>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</si>
  <si>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</si>
  <si>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</si>
  <si>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</si>
  <si>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</si>
  <si>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</si>
  <si>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</si>
  <si>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</si>
  <si>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</si>
  <si>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</si>
  <si>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</si>
  <si>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</si>
  <si>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</si>
  <si>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</si>
  <si>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</si>
  <si>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</si>
  <si>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</si>
  <si>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</si>
  <si>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</si>
  <si>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</si>
  <si>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</si>
  <si>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</si>
  <si>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</si>
  <si>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</si>
  <si>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</si>
  <si>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</si>
  <si>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</si>
  <si>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</si>
  <si>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</si>
  <si>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</si>
  <si>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</si>
  <si>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</si>
  <si>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</si>
  <si>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</si>
  <si>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</si>
  <si>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</si>
  <si>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</si>
  <si>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</si>
  <si>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</si>
  <si>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</si>
  <si>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</si>
  <si>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</si>
  <si>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</si>
  <si>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</si>
  <si>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</si>
  <si>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</si>
  <si>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</si>
  <si>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</si>
  <si>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</si>
  <si>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</si>
  <si>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</si>
  <si>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</si>
  <si>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</si>
  <si>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</si>
  <si>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</si>
  <si>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</si>
  <si>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</si>
  <si>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</si>
  <si>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</si>
  <si>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</si>
  <si>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</si>
  <si>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</si>
  <si>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</si>
  <si>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</si>
  <si>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</si>
  <si>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</si>
  <si>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</si>
  <si>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</si>
  <si>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</si>
  <si>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</si>
  <si>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</si>
  <si>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</si>
  <si>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</si>
  <si>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</si>
  <si>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</si>
  <si>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</si>
  <si>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</si>
  <si>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</si>
  <si>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</si>
  <si>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</si>
  <si>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</si>
  <si>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</si>
  <si>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</si>
  <si>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</si>
  <si>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</si>
  <si>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</si>
  <si>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</si>
  <si>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</si>
  <si>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</si>
  <si>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</si>
  <si>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</si>
  <si>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</si>
  <si>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</si>
  <si>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</si>
  <si>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</si>
  <si>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</si>
  <si>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</si>
  <si>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</si>
  <si>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</si>
  <si>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</si>
  <si>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</si>
  <si>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</si>
  <si>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</si>
  <si>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</si>
  <si>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</si>
  <si>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</si>
  <si>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</si>
  <si>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</si>
  <si>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</si>
  <si>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</si>
  <si>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</si>
  <si>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</si>
  <si>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</si>
  <si>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</si>
  <si>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</si>
  <si>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</si>
  <si>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</si>
  <si>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</si>
  <si>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</si>
  <si>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</si>
  <si>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</si>
  <si>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</si>
  <si>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</si>
  <si>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</si>
  <si>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</si>
  <si>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</si>
  <si>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</si>
  <si>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</si>
  <si>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</si>
  <si>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</si>
  <si>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</si>
  <si>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</si>
  <si>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</si>
  <si>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</si>
  <si>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</si>
  <si>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</si>
  <si>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</si>
  <si>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</si>
  <si>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</si>
  <si>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</si>
  <si>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</si>
  <si>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</si>
  <si>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</si>
  <si>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</si>
  <si>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</si>
  <si>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</si>
  <si>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</si>
  <si>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</si>
  <si>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</si>
  <si>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</si>
  <si>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</si>
  <si>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</si>
  <si>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</si>
  <si>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</si>
  <si>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</si>
  <si>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</si>
  <si>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</si>
  <si>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</si>
  <si>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</si>
  <si>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</si>
  <si>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</si>
  <si>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</si>
  <si>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</si>
  <si>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</si>
  <si>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</si>
  <si>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</si>
  <si>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</si>
  <si>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</si>
  <si>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</si>
  <si>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</si>
  <si>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</si>
  <si>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</si>
  <si>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</si>
  <si>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</si>
  <si>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</si>
  <si>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</si>
  <si>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</si>
  <si>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</si>
  <si>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</si>
  <si>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</si>
  <si>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</si>
  <si>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</si>
  <si>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</si>
  <si>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</si>
  <si>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</si>
  <si>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</si>
  <si>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</si>
  <si>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</si>
  <si>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</si>
  <si>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</si>
  <si>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</si>
  <si>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</si>
  <si>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</si>
  <si>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</si>
  <si>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</si>
  <si>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</si>
  <si>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</si>
  <si>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</si>
  <si>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</si>
  <si>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</si>
  <si>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</si>
  <si>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</si>
  <si>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</si>
  <si>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</si>
  <si>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</si>
  <si>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</si>
  <si>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</si>
  <si>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</si>
  <si>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</si>
  <si>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</si>
  <si>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</si>
  <si>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</si>
  <si>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</si>
  <si>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</si>
  <si>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</si>
  <si>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</si>
  <si>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</si>
  <si>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</si>
  <si>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</si>
  <si>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</si>
  <si>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</si>
  <si>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</si>
  <si>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</si>
  <si>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</si>
  <si>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</si>
  <si>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</si>
  <si>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</si>
  <si>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</si>
  <si>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</si>
  <si>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</si>
  <si>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</si>
  <si>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</si>
  <si>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</si>
  <si>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</si>
  <si>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</si>
  <si>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</si>
  <si>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</si>
  <si>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</si>
  <si>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</si>
  <si>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</si>
  <si>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</si>
  <si>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</si>
  <si>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</si>
  <si>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</si>
  <si>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</si>
  <si>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</si>
  <si>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</si>
  <si>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</si>
  <si>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</si>
  <si>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</si>
  <si>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</si>
  <si>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</si>
  <si>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</si>
  <si>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</si>
  <si>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</si>
  <si>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</si>
  <si>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</si>
  <si>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</si>
  <si>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</si>
  <si>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</si>
  <si>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</si>
  <si>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</si>
  <si>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</si>
  <si>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</si>
  <si>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</si>
  <si>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</si>
  <si>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</si>
  <si>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</si>
  <si>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</si>
  <si>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</si>
  <si>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</si>
  <si>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</si>
  <si>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</si>
  <si>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</si>
  <si>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</si>
  <si>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</si>
  <si>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</si>
  <si>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</si>
  <si>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</si>
  <si>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</si>
  <si>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</si>
  <si>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</si>
  <si>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</si>
  <si>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</si>
  <si>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</si>
  <si>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</si>
  <si>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</si>
  <si>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</si>
  <si>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</si>
  <si>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</si>
  <si>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</si>
  <si>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</si>
  <si>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</si>
  <si>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</si>
  <si>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</si>
  <si>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</si>
  <si>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</si>
  <si>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</si>
  <si>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</si>
  <si>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</si>
  <si>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</si>
  <si>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</si>
  <si>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</si>
  <si>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</si>
  <si>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</si>
  <si>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</si>
  <si>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</si>
  <si>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</si>
  <si>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</si>
  <si>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</si>
  <si>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</si>
  <si>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</si>
  <si>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</si>
  <si>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</si>
  <si>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</si>
  <si>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</si>
  <si>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</si>
  <si>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</si>
  <si>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</si>
  <si>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</si>
  <si>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</si>
  <si>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</si>
  <si>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</si>
  <si>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</si>
  <si>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Carpenter Trust</t>
  </si>
  <si>
    <t xml:space="preserve">RECEIVABLES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</si>
</sst>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7" zoomScale="125" zoomScaleNormal="125"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1347</v>
      </c>
      <c r="B2">
        <f>INDEX('School Tables'!$AH$3:$AH$209,MATCH('DOE25'!A2,'School Tables'!$AJ$3:$AJ$209,0))</f>
        <v>439</v>
      </c>
      <c r="C2">
        <f>INDEX('School Tables'!$AI$3:$AI$209,MATCH('DOE25'!A2,'School Tables'!$AJ$3:$AJ$209,0))</f>
        <v>439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24771.360000000001</v>
      </c>
      <c r="G9" s="18">
        <v>109658.68</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195085.95</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731388.68</v>
      </c>
      <c r="G12" s="18">
        <v>8032.33</v>
      </c>
      <c r="H12" s="18"/>
      <c r="I12" s="18"/>
      <c r="J12" s="13">
        <f>SUM(I442)</f>
        <v>2333.36</v>
      </c>
      <c r="K12" s="23" t="s">
        <v>288</v>
      </c>
      <c r="L12" s="23" t="s">
        <v>288</v>
      </c>
      <c r="M12" s="8"/>
      <c r="N12" s="165"/>
    </row>
    <row r="13" spans="1:14" s="3" customFormat="1" ht="12.2" customHeight="1" x14ac:dyDescent="0.15">
      <c r="A13" s="1" t="s">
        <v>604</v>
      </c>
      <c r="B13" s="2" t="s">
        <v>289</v>
      </c>
      <c r="C13" s="6">
        <v>5</v>
      </c>
      <c r="D13" s="2" t="s">
        <v>428</v>
      </c>
      <c r="E13" s="6">
        <v>140</v>
      </c>
      <c r="F13" s="18"/>
      <c r="G13" s="18">
        <v>43984.89</v>
      </c>
      <c r="H13" s="18">
        <v>609483.23</v>
      </c>
      <c r="I13" s="18"/>
      <c r="J13" s="13">
        <f>SUM(I443)</f>
        <v>646171.87</v>
      </c>
      <c r="K13" s="23" t="s">
        <v>288</v>
      </c>
      <c r="L13" s="23" t="s">
        <v>288</v>
      </c>
      <c r="M13" s="8"/>
      <c r="N13" s="165"/>
    </row>
    <row r="14" spans="1:14" s="3" customFormat="1" ht="12.2" customHeight="1" x14ac:dyDescent="0.15">
      <c r="A14" s="1" t="s">
        <v>565</v>
      </c>
      <c r="B14" s="2" t="s">
        <v>289</v>
      </c>
      <c r="C14" s="6">
        <v>6</v>
      </c>
      <c r="D14" s="2" t="s">
        <v>428</v>
      </c>
      <c r="E14" s="6">
        <v>150</v>
      </c>
      <c r="F14" s="18">
        <v>53535.03</v>
      </c>
      <c r="G14" s="18">
        <v>12508.15</v>
      </c>
      <c r="H14" s="18">
        <v>15622.89</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15632.96</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809695.07000000007</v>
      </c>
      <c r="G19" s="38">
        <f>SUM(G9:G18)</f>
        <v>189817.00999999998</v>
      </c>
      <c r="H19" s="38">
        <f>SUM(H9:H18)</f>
        <v>625106.12</v>
      </c>
      <c r="I19" s="38">
        <f>SUM(I9:I18)</f>
        <v>0</v>
      </c>
      <c r="J19" s="38">
        <f>SUM(J9:J18)</f>
        <v>843591.17999999993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2333.36</v>
      </c>
      <c r="G22" s="18">
        <v>133294.42000000001</v>
      </c>
      <c r="H22" s="18">
        <v>606126.59</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125213.02</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488150.46</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v>18979.53</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615696.84000000008</v>
      </c>
      <c r="G32" s="38">
        <f>SUM(G22:G31)</f>
        <v>133294.42000000001</v>
      </c>
      <c r="H32" s="38">
        <f>SUM(H22:H31)</f>
        <v>625106.12</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15632.96</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195085.95</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150000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40889.629999999997</v>
      </c>
      <c r="H48" s="18"/>
      <c r="I48" s="18"/>
      <c r="J48" s="13">
        <f>SUM(I460)</f>
        <v>648505.23</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43998.23</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193998.23</v>
      </c>
      <c r="G51" s="38">
        <f>SUM(G35:G50)</f>
        <v>56522.59</v>
      </c>
      <c r="H51" s="38">
        <f>SUM(H35:H50)</f>
        <v>0</v>
      </c>
      <c r="I51" s="38">
        <f>SUM(I35:I50)</f>
        <v>0</v>
      </c>
      <c r="J51" s="38">
        <f>SUM(J35:J50)</f>
        <v>843591.17999999993</v>
      </c>
      <c r="K51" s="42" t="s">
        <v>288</v>
      </c>
      <c r="L51" s="42" t="s">
        <v>288</v>
      </c>
      <c r="N51" s="131"/>
    </row>
    <row r="52" spans="1:14" s="3" customFormat="1" ht="12.2" customHeight="1" thickTop="1" x14ac:dyDescent="0.15">
      <c r="A52" s="35" t="s">
        <v>455</v>
      </c>
      <c r="B52" s="36" t="s">
        <v>289</v>
      </c>
      <c r="C52" s="6">
        <v>37</v>
      </c>
      <c r="D52" s="36" t="s">
        <v>653</v>
      </c>
      <c r="E52" s="36"/>
      <c r="F52" s="38">
        <f>F51+F32</f>
        <v>809695.07000000007</v>
      </c>
      <c r="G52" s="38">
        <f>G51+G32</f>
        <v>189817.01</v>
      </c>
      <c r="H52" s="38">
        <f>H51+H32</f>
        <v>625106.12</v>
      </c>
      <c r="I52" s="38">
        <f>I51+I32</f>
        <v>0</v>
      </c>
      <c r="J52" s="38">
        <f>J51+J32</f>
        <v>843591.17999999993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4054460</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4054460</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132.75</v>
      </c>
      <c r="G96" s="18">
        <v>6.18</v>
      </c>
      <c r="H96" s="18"/>
      <c r="I96" s="18"/>
      <c r="J96" s="18">
        <v>7072.16</v>
      </c>
      <c r="K96" s="23" t="s">
        <v>288</v>
      </c>
      <c r="L96" s="23" t="s">
        <v>288</v>
      </c>
      <c r="M96" s="8"/>
      <c r="N96" s="165"/>
    </row>
    <row r="97" spans="1:14" s="3" customFormat="1" ht="12.2" customHeight="1" x14ac:dyDescent="0.15">
      <c r="A97" s="1" t="s">
        <v>503</v>
      </c>
      <c r="B97" s="2" t="s">
        <v>315</v>
      </c>
      <c r="C97" s="6">
        <v>12</v>
      </c>
      <c r="D97" s="2" t="s">
        <v>430</v>
      </c>
      <c r="E97" s="6">
        <v>1600</v>
      </c>
      <c r="F97" s="23" t="s">
        <v>288</v>
      </c>
      <c r="G97" s="18">
        <v>84814.94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14400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47300.76</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v>-17991.490000000002</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14532.75</v>
      </c>
      <c r="G111" s="38">
        <f>SUM(G96:G110)</f>
        <v>84821.119999999995</v>
      </c>
      <c r="H111" s="38">
        <f>SUM(H96:H110)</f>
        <v>47300.76</v>
      </c>
      <c r="I111" s="38">
        <f>SUM(I96:I110)</f>
        <v>0</v>
      </c>
      <c r="J111" s="38">
        <f>SUM(J96:J110)</f>
        <v>-10919.330000000002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4068992.75</v>
      </c>
      <c r="G112" s="38">
        <f>G60+G111</f>
        <v>84821.119999999995</v>
      </c>
      <c r="H112" s="38">
        <f>H60+H79+H94+H111</f>
        <v>47300.76</v>
      </c>
      <c r="I112" s="38">
        <f>I60+I111</f>
        <v>0</v>
      </c>
      <c r="J112" s="38">
        <f>J60+J111</f>
        <v>-10919.330000000002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4877322.83</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410305</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67253.47</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5354881.3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168748.74</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10575</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3841.01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14240.88</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179323.74</v>
      </c>
      <c r="G136" s="38">
        <f>SUM(G123:G135)</f>
        <v>3841.01</v>
      </c>
      <c r="H136" s="38">
        <f>SUM(H123:H135)</f>
        <v>14240.88</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5534205.04</v>
      </c>
      <c r="G140" s="38">
        <f>G121+SUM(G136:G137)</f>
        <v>3841.01</v>
      </c>
      <c r="H140" s="38">
        <f>H121+SUM(H136:H139)</f>
        <v>14240.88</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238887.65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36719.06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218790.17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153687.69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77664.55</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690043.02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77664.55</v>
      </c>
      <c r="G163" s="38">
        <f>SUM(G150:G162)</f>
        <v>218790.17</v>
      </c>
      <c r="H163" s="38">
        <f>SUM(H150:H162)</f>
        <v>1119337.42</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77664.55</v>
      </c>
      <c r="G170" s="38">
        <f>G147+G163+SUM(G164:G169)</f>
        <v>218790.17</v>
      </c>
      <c r="H170" s="38">
        <f>H147+H163+SUM(H164:H169)</f>
        <v>1119337.42</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3000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3000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3000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9680862.3399999999</v>
      </c>
      <c r="G194" s="38">
        <f>G112+G140+G170+G193</f>
        <v>307452.3</v>
      </c>
      <c r="H194" s="38">
        <f>H112+H140+H170+H193</f>
        <v>1180879.0599999998</v>
      </c>
      <c r="I194" s="38">
        <f>I112+I140+I170+I193</f>
        <v>0</v>
      </c>
      <c r="J194" s="38">
        <f>J112+J140+J193</f>
        <v>-7919.3300000000017</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878091.58</v>
      </c>
      <c r="G198" s="18">
        <v>456218.7</v>
      </c>
      <c r="H198" s="18">
        <v>1213.2</v>
      </c>
      <c r="I198" s="18">
        <v>31950.03</v>
      </c>
      <c r="J198" s="18">
        <v>10983.11</v>
      </c>
      <c r="K198" s="18">
        <v>4640.2</v>
      </c>
      <c r="L198" s="13">
        <f>SUM(F198:K198)</f>
        <v>1383096.82</v>
      </c>
      <c r="M198" s="8"/>
      <c r="N198" s="165"/>
    </row>
    <row r="199" spans="1:14" s="3" customFormat="1" ht="12.2" customHeight="1" x14ac:dyDescent="0.15">
      <c r="A199" s="1" t="s">
        <v>439</v>
      </c>
      <c r="B199" s="2" t="s">
        <v>341</v>
      </c>
      <c r="C199" s="2" t="s">
        <v>291</v>
      </c>
      <c r="D199" s="2" t="s">
        <v>431</v>
      </c>
      <c r="E199" s="6">
        <v>1200</v>
      </c>
      <c r="F199" s="18">
        <v>743831.46</v>
      </c>
      <c r="G199" s="18">
        <v>280172.61</v>
      </c>
      <c r="H199" s="18">
        <v>38815.42</v>
      </c>
      <c r="I199" s="18">
        <v>157.47</v>
      </c>
      <c r="J199" s="18"/>
      <c r="K199" s="18">
        <v>135</v>
      </c>
      <c r="L199" s="13">
        <f>SUM(F199:K199)</f>
        <v>1063111.96</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3000</v>
      </c>
      <c r="G201" s="18">
        <v>845.53</v>
      </c>
      <c r="H201" s="18"/>
      <c r="I201" s="18"/>
      <c r="J201" s="18"/>
      <c r="K201" s="18"/>
      <c r="L201" s="13">
        <f>SUM(F201:K201)</f>
        <v>3845.5299999999997</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179589.28</v>
      </c>
      <c r="G203" s="18">
        <v>87603.82</v>
      </c>
      <c r="H203" s="18">
        <v>308784.11</v>
      </c>
      <c r="I203" s="18">
        <v>2263.5100000000002</v>
      </c>
      <c r="J203" s="18"/>
      <c r="K203" s="18"/>
      <c r="L203" s="13">
        <f t="shared" ref="L203:L209" si="0">SUM(F203:K203)</f>
        <v>578240.72</v>
      </c>
      <c r="M203" s="8"/>
      <c r="N203" s="165"/>
    </row>
    <row r="204" spans="1:14" s="3" customFormat="1" ht="12.2" customHeight="1" x14ac:dyDescent="0.15">
      <c r="A204" s="1" t="s">
        <v>443</v>
      </c>
      <c r="B204" s="2" t="s">
        <v>341</v>
      </c>
      <c r="C204" s="2" t="s">
        <v>295</v>
      </c>
      <c r="D204" s="2" t="s">
        <v>431</v>
      </c>
      <c r="E204" s="6">
        <v>2200</v>
      </c>
      <c r="F204" s="18">
        <v>80434.990000000005</v>
      </c>
      <c r="G204" s="18">
        <v>59371.85</v>
      </c>
      <c r="H204" s="18">
        <v>54972.85</v>
      </c>
      <c r="I204" s="18">
        <v>34290.26</v>
      </c>
      <c r="J204" s="18">
        <v>23503.27</v>
      </c>
      <c r="K204" s="18"/>
      <c r="L204" s="13">
        <f t="shared" si="0"/>
        <v>252573.22</v>
      </c>
      <c r="M204" s="8"/>
      <c r="N204" s="165"/>
    </row>
    <row r="205" spans="1:14" s="3" customFormat="1" ht="12.2" customHeight="1" x14ac:dyDescent="0.15">
      <c r="A205" s="1" t="s">
        <v>444</v>
      </c>
      <c r="B205" s="2" t="s">
        <v>341</v>
      </c>
      <c r="C205" s="2" t="s">
        <v>296</v>
      </c>
      <c r="D205" s="2" t="s">
        <v>431</v>
      </c>
      <c r="E205" s="6">
        <v>2300</v>
      </c>
      <c r="F205" s="18">
        <v>102768.39</v>
      </c>
      <c r="G205" s="18">
        <v>25936</v>
      </c>
      <c r="H205" s="18">
        <v>18283.900000000001</v>
      </c>
      <c r="I205" s="18">
        <v>2255.13</v>
      </c>
      <c r="J205" s="18"/>
      <c r="K205" s="18">
        <v>2961.39</v>
      </c>
      <c r="L205" s="13">
        <f t="shared" si="0"/>
        <v>152204.81000000003</v>
      </c>
      <c r="M205" s="8"/>
      <c r="N205" s="165"/>
    </row>
    <row r="206" spans="1:14" s="3" customFormat="1" ht="12.2" customHeight="1" x14ac:dyDescent="0.15">
      <c r="A206" s="1" t="s">
        <v>445</v>
      </c>
      <c r="B206" s="2" t="s">
        <v>341</v>
      </c>
      <c r="C206" s="2" t="s">
        <v>297</v>
      </c>
      <c r="D206" s="2" t="s">
        <v>431</v>
      </c>
      <c r="E206" s="6">
        <v>2400</v>
      </c>
      <c r="F206" s="18">
        <v>310938.64</v>
      </c>
      <c r="G206" s="18">
        <v>181029.42</v>
      </c>
      <c r="H206" s="18">
        <v>11627.24</v>
      </c>
      <c r="I206" s="18">
        <v>3442.86</v>
      </c>
      <c r="J206" s="18"/>
      <c r="K206" s="18">
        <v>1187.45</v>
      </c>
      <c r="L206" s="13">
        <f t="shared" si="0"/>
        <v>508225.61000000004</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118053.68</v>
      </c>
      <c r="G208" s="18">
        <v>82028.100000000006</v>
      </c>
      <c r="H208" s="18">
        <v>93152.49</v>
      </c>
      <c r="I208" s="18">
        <v>79420.75</v>
      </c>
      <c r="J208" s="18">
        <v>200</v>
      </c>
      <c r="K208" s="18"/>
      <c r="L208" s="13">
        <f t="shared" si="0"/>
        <v>372855.02</v>
      </c>
      <c r="M208" s="8"/>
      <c r="N208" s="165"/>
    </row>
    <row r="209" spans="1:14" s="3" customFormat="1" ht="12.2" customHeight="1" x14ac:dyDescent="0.15">
      <c r="A209" s="1" t="s">
        <v>448</v>
      </c>
      <c r="B209" s="2" t="s">
        <v>341</v>
      </c>
      <c r="C209" s="2" t="s">
        <v>300</v>
      </c>
      <c r="D209" s="2" t="s">
        <v>431</v>
      </c>
      <c r="E209" s="6">
        <v>2700</v>
      </c>
      <c r="F209" s="18"/>
      <c r="G209" s="18"/>
      <c r="H209" s="18">
        <v>215022.22</v>
      </c>
      <c r="I209" s="18"/>
      <c r="J209" s="18"/>
      <c r="K209" s="18"/>
      <c r="L209" s="13">
        <f t="shared" si="0"/>
        <v>215022.22</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2416708.02</v>
      </c>
      <c r="G212" s="38">
        <f t="shared" si="1"/>
        <v>1173206.0300000003</v>
      </c>
      <c r="H212" s="38">
        <f t="shared" si="1"/>
        <v>741871.42999999993</v>
      </c>
      <c r="I212" s="38">
        <f t="shared" si="1"/>
        <v>153780.01</v>
      </c>
      <c r="J212" s="38">
        <f t="shared" si="1"/>
        <v>34686.380000000005</v>
      </c>
      <c r="K212" s="38">
        <f t="shared" si="1"/>
        <v>8924.0400000000009</v>
      </c>
      <c r="L212" s="38">
        <f t="shared" si="1"/>
        <v>4529175.91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450903.13</v>
      </c>
      <c r="G216" s="18">
        <v>247658.95</v>
      </c>
      <c r="H216" s="18">
        <v>672.69</v>
      </c>
      <c r="I216" s="18">
        <v>20106.939999999999</v>
      </c>
      <c r="J216" s="18">
        <v>144.27000000000001</v>
      </c>
      <c r="K216" s="18">
        <v>1510.71</v>
      </c>
      <c r="L216" s="13">
        <f>SUM(F216:K216)</f>
        <v>720996.69</v>
      </c>
      <c r="M216" s="8"/>
      <c r="N216" s="165"/>
    </row>
    <row r="217" spans="1:14" s="3" customFormat="1" ht="12.2" customHeight="1" x14ac:dyDescent="0.15">
      <c r="A217" s="1" t="s">
        <v>439</v>
      </c>
      <c r="B217" s="2" t="s">
        <v>346</v>
      </c>
      <c r="C217" s="2" t="s">
        <v>291</v>
      </c>
      <c r="D217" s="2" t="s">
        <v>431</v>
      </c>
      <c r="E217" s="6">
        <v>1200</v>
      </c>
      <c r="F217" s="18">
        <v>288110.92</v>
      </c>
      <c r="G217" s="18">
        <v>97021.18</v>
      </c>
      <c r="H217" s="18">
        <v>302289.90000000002</v>
      </c>
      <c r="I217" s="18">
        <v>12.48</v>
      </c>
      <c r="J217" s="18"/>
      <c r="K217" s="18">
        <v>99.4</v>
      </c>
      <c r="L217" s="13">
        <f>SUM(F217:K217)</f>
        <v>687533.88</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16750.05</v>
      </c>
      <c r="G219" s="18">
        <v>1281.44</v>
      </c>
      <c r="H219" s="18">
        <v>7597.86</v>
      </c>
      <c r="I219" s="18">
        <v>507.6</v>
      </c>
      <c r="J219" s="18"/>
      <c r="K219" s="18">
        <v>550</v>
      </c>
      <c r="L219" s="13">
        <f>SUM(F219:K219)</f>
        <v>26686.949999999997</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70891.63</v>
      </c>
      <c r="G221" s="18">
        <v>50299.35</v>
      </c>
      <c r="H221" s="18">
        <v>34983.839999999997</v>
      </c>
      <c r="I221" s="18">
        <v>992.01</v>
      </c>
      <c r="J221" s="18"/>
      <c r="K221" s="18">
        <v>64.5</v>
      </c>
      <c r="L221" s="13">
        <f t="shared" ref="L221:L227" si="2">SUM(F221:K221)</f>
        <v>157231.33000000002</v>
      </c>
      <c r="M221" s="8"/>
      <c r="N221" s="165"/>
    </row>
    <row r="222" spans="1:14" s="3" customFormat="1" ht="12.2" customHeight="1" x14ac:dyDescent="0.15">
      <c r="A222" s="1" t="s">
        <v>443</v>
      </c>
      <c r="B222" s="2" t="s">
        <v>346</v>
      </c>
      <c r="C222" s="2" t="s">
        <v>295</v>
      </c>
      <c r="D222" s="2" t="s">
        <v>431</v>
      </c>
      <c r="E222" s="6">
        <v>2200</v>
      </c>
      <c r="F222" s="18">
        <v>43102.51</v>
      </c>
      <c r="G222" s="18">
        <v>17793.740000000002</v>
      </c>
      <c r="H222" s="18">
        <v>22736.01</v>
      </c>
      <c r="I222" s="18">
        <v>13165.22</v>
      </c>
      <c r="J222" s="18">
        <v>217.36</v>
      </c>
      <c r="K222" s="18"/>
      <c r="L222" s="13">
        <f t="shared" si="2"/>
        <v>97014.84</v>
      </c>
      <c r="M222" s="8"/>
      <c r="N222" s="165"/>
    </row>
    <row r="223" spans="1:14" s="3" customFormat="1" ht="12.2" customHeight="1" x14ac:dyDescent="0.15">
      <c r="A223" s="1" t="s">
        <v>444</v>
      </c>
      <c r="B223" s="2" t="s">
        <v>346</v>
      </c>
      <c r="C223" s="2" t="s">
        <v>296</v>
      </c>
      <c r="D223" s="2" t="s">
        <v>431</v>
      </c>
      <c r="E223" s="6">
        <v>2300</v>
      </c>
      <c r="F223" s="18">
        <v>62139.02</v>
      </c>
      <c r="G223" s="18">
        <v>15682.23</v>
      </c>
      <c r="H223" s="18">
        <v>11055.38</v>
      </c>
      <c r="I223" s="18">
        <v>1363.57</v>
      </c>
      <c r="J223" s="18"/>
      <c r="K223" s="18">
        <v>1790.61</v>
      </c>
      <c r="L223" s="13">
        <f t="shared" si="2"/>
        <v>92030.810000000012</v>
      </c>
      <c r="M223" s="8"/>
      <c r="N223" s="165"/>
    </row>
    <row r="224" spans="1:14" s="3" customFormat="1" ht="12.2" customHeight="1" x14ac:dyDescent="0.15">
      <c r="A224" s="1" t="s">
        <v>445</v>
      </c>
      <c r="B224" s="2" t="s">
        <v>346</v>
      </c>
      <c r="C224" s="2" t="s">
        <v>297</v>
      </c>
      <c r="D224" s="2" t="s">
        <v>431</v>
      </c>
      <c r="E224" s="6">
        <v>2400</v>
      </c>
      <c r="F224" s="18">
        <v>120468.97</v>
      </c>
      <c r="G224" s="18">
        <v>60183.77</v>
      </c>
      <c r="H224" s="18">
        <v>6378.53</v>
      </c>
      <c r="I224" s="18">
        <v>3196.71</v>
      </c>
      <c r="J224" s="18"/>
      <c r="K224" s="18">
        <v>2932.6</v>
      </c>
      <c r="L224" s="13">
        <f t="shared" si="2"/>
        <v>193160.58</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v>64084.99</v>
      </c>
      <c r="G226" s="18">
        <v>51934.2</v>
      </c>
      <c r="H226" s="18">
        <v>47063.9</v>
      </c>
      <c r="I226" s="18">
        <v>74093.91</v>
      </c>
      <c r="J226" s="18">
        <v>1329.01</v>
      </c>
      <c r="K226" s="18"/>
      <c r="L226" s="13">
        <f t="shared" si="2"/>
        <v>238506.01</v>
      </c>
      <c r="M226" s="8"/>
      <c r="N226" s="165"/>
    </row>
    <row r="227" spans="1:14" s="3" customFormat="1" ht="12.2" customHeight="1" x14ac:dyDescent="0.15">
      <c r="A227" s="1" t="s">
        <v>448</v>
      </c>
      <c r="B227" s="2" t="s">
        <v>346</v>
      </c>
      <c r="C227" s="2" t="s">
        <v>300</v>
      </c>
      <c r="D227" s="2" t="s">
        <v>431</v>
      </c>
      <c r="E227" s="6">
        <v>2700</v>
      </c>
      <c r="F227" s="18"/>
      <c r="G227" s="18"/>
      <c r="H227" s="18">
        <v>197433.99</v>
      </c>
      <c r="I227" s="18"/>
      <c r="J227" s="18"/>
      <c r="K227" s="18"/>
      <c r="L227" s="13">
        <f t="shared" si="2"/>
        <v>197433.99</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1116451.2200000002</v>
      </c>
      <c r="G230" s="38">
        <f>SUM(G216:G229)</f>
        <v>541854.86</v>
      </c>
      <c r="H230" s="38">
        <f>SUM(H216:H229)</f>
        <v>630212.10000000009</v>
      </c>
      <c r="I230" s="38">
        <f>SUM(I216:I229)</f>
        <v>113438.44</v>
      </c>
      <c r="J230" s="38">
        <f>SUM(J216:J229)</f>
        <v>1690.6399999999999</v>
      </c>
      <c r="K230" s="38">
        <f t="shared" si="3"/>
        <v>6947.82</v>
      </c>
      <c r="L230" s="38">
        <f t="shared" si="3"/>
        <v>2410595.08</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679545.54</v>
      </c>
      <c r="G234" s="18">
        <v>356224.71</v>
      </c>
      <c r="H234" s="18">
        <v>672.69</v>
      </c>
      <c r="I234" s="18">
        <v>34532.47</v>
      </c>
      <c r="J234" s="18">
        <v>191.23</v>
      </c>
      <c r="K234" s="18">
        <v>2108.5100000000002</v>
      </c>
      <c r="L234" s="13">
        <f>SUM(F234:K234)</f>
        <v>1073275.1499999999</v>
      </c>
      <c r="M234" s="8"/>
      <c r="N234" s="165"/>
    </row>
    <row r="235" spans="1:14" s="3" customFormat="1" ht="12.2" customHeight="1" x14ac:dyDescent="0.15">
      <c r="A235" s="1" t="s">
        <v>439</v>
      </c>
      <c r="B235" s="2" t="s">
        <v>350</v>
      </c>
      <c r="C235" s="2" t="s">
        <v>291</v>
      </c>
      <c r="D235" s="2" t="s">
        <v>431</v>
      </c>
      <c r="E235" s="6">
        <v>1200</v>
      </c>
      <c r="F235" s="18">
        <v>380193.84</v>
      </c>
      <c r="G235" s="18">
        <v>132970.76</v>
      </c>
      <c r="H235" s="18">
        <v>285107.84999999998</v>
      </c>
      <c r="I235" s="18">
        <v>187.47</v>
      </c>
      <c r="J235" s="18"/>
      <c r="K235" s="18">
        <v>128.6</v>
      </c>
      <c r="L235" s="13">
        <f>SUM(F235:K235)</f>
        <v>798588.5199999999</v>
      </c>
      <c r="M235" s="8"/>
      <c r="N235" s="165"/>
    </row>
    <row r="236" spans="1:14" s="3" customFormat="1" ht="12.2" customHeight="1" x14ac:dyDescent="0.15">
      <c r="A236" s="1" t="s">
        <v>440</v>
      </c>
      <c r="B236" s="2" t="s">
        <v>350</v>
      </c>
      <c r="C236" s="2" t="s">
        <v>292</v>
      </c>
      <c r="D236" s="2" t="s">
        <v>431</v>
      </c>
      <c r="E236" s="6">
        <v>1300</v>
      </c>
      <c r="F236" s="18"/>
      <c r="G236" s="18"/>
      <c r="H236" s="18">
        <v>63633.78</v>
      </c>
      <c r="I236" s="18"/>
      <c r="J236" s="18"/>
      <c r="K236" s="18"/>
      <c r="L236" s="13">
        <f>SUM(F236:K236)</f>
        <v>63633.78</v>
      </c>
      <c r="M236" s="8"/>
      <c r="N236" s="165"/>
    </row>
    <row r="237" spans="1:14" s="3" customFormat="1" ht="12.2" customHeight="1" x14ac:dyDescent="0.15">
      <c r="A237" s="1" t="s">
        <v>441</v>
      </c>
      <c r="B237" s="2" t="s">
        <v>350</v>
      </c>
      <c r="C237" s="2" t="s">
        <v>293</v>
      </c>
      <c r="D237" s="2" t="s">
        <v>431</v>
      </c>
      <c r="E237" s="6">
        <v>1400</v>
      </c>
      <c r="F237" s="18">
        <v>39524.81</v>
      </c>
      <c r="G237" s="18">
        <v>5496.36</v>
      </c>
      <c r="H237" s="18">
        <v>11042.14</v>
      </c>
      <c r="I237" s="18">
        <v>7855.72</v>
      </c>
      <c r="J237" s="18"/>
      <c r="K237" s="18">
        <v>3920</v>
      </c>
      <c r="L237" s="13">
        <f>SUM(F237:K237)</f>
        <v>67839.03</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93454.09</v>
      </c>
      <c r="G239" s="18">
        <v>68195.81</v>
      </c>
      <c r="H239" s="18">
        <v>16813.48</v>
      </c>
      <c r="I239" s="18">
        <v>3862.15</v>
      </c>
      <c r="J239" s="18"/>
      <c r="K239" s="18">
        <v>220.96</v>
      </c>
      <c r="L239" s="13">
        <f t="shared" ref="L239:L245" si="4">SUM(F239:K239)</f>
        <v>182546.49</v>
      </c>
      <c r="M239" s="8"/>
      <c r="N239" s="165"/>
    </row>
    <row r="240" spans="1:14" s="3" customFormat="1" ht="12.2" customHeight="1" x14ac:dyDescent="0.15">
      <c r="A240" s="1" t="s">
        <v>443</v>
      </c>
      <c r="B240" s="2" t="s">
        <v>350</v>
      </c>
      <c r="C240" s="2" t="s">
        <v>295</v>
      </c>
      <c r="D240" s="2" t="s">
        <v>431</v>
      </c>
      <c r="E240" s="6">
        <v>2200</v>
      </c>
      <c r="F240" s="18">
        <v>67548.160000000003</v>
      </c>
      <c r="G240" s="18">
        <v>25110.89</v>
      </c>
      <c r="H240" s="18">
        <v>27962.25</v>
      </c>
      <c r="I240" s="18">
        <v>16850.34</v>
      </c>
      <c r="J240" s="18">
        <v>217.36</v>
      </c>
      <c r="K240" s="18"/>
      <c r="L240" s="13">
        <f t="shared" si="4"/>
        <v>137689</v>
      </c>
      <c r="M240" s="8"/>
      <c r="N240" s="165"/>
    </row>
    <row r="241" spans="1:14" s="3" customFormat="1" ht="12.2" customHeight="1" x14ac:dyDescent="0.15">
      <c r="A241" s="1" t="s">
        <v>444</v>
      </c>
      <c r="B241" s="2" t="s">
        <v>350</v>
      </c>
      <c r="C241" s="2" t="s">
        <v>296</v>
      </c>
      <c r="D241" s="2" t="s">
        <v>431</v>
      </c>
      <c r="E241" s="6">
        <v>2300</v>
      </c>
      <c r="F241" s="18">
        <v>74088.84</v>
      </c>
      <c r="G241" s="18">
        <v>18698.05</v>
      </c>
      <c r="H241" s="18">
        <v>13181.42</v>
      </c>
      <c r="I241" s="18">
        <v>1625.79</v>
      </c>
      <c r="J241" s="18"/>
      <c r="K241" s="18">
        <v>2134.9499999999998</v>
      </c>
      <c r="L241" s="13">
        <f t="shared" si="4"/>
        <v>109729.04999999999</v>
      </c>
      <c r="M241" s="8"/>
      <c r="N241" s="165"/>
    </row>
    <row r="242" spans="1:14" s="3" customFormat="1" ht="12.2" customHeight="1" x14ac:dyDescent="0.15">
      <c r="A242" s="1" t="s">
        <v>445</v>
      </c>
      <c r="B242" s="2" t="s">
        <v>350</v>
      </c>
      <c r="C242" s="2" t="s">
        <v>297</v>
      </c>
      <c r="D242" s="2" t="s">
        <v>431</v>
      </c>
      <c r="E242" s="6">
        <v>2400</v>
      </c>
      <c r="F242" s="18">
        <v>185167.99</v>
      </c>
      <c r="G242" s="18">
        <v>86519.25</v>
      </c>
      <c r="H242" s="18">
        <v>8186.97</v>
      </c>
      <c r="I242" s="18">
        <v>4225.53</v>
      </c>
      <c r="J242" s="18"/>
      <c r="K242" s="18">
        <v>4617.3999999999996</v>
      </c>
      <c r="L242" s="13">
        <f t="shared" si="4"/>
        <v>288717.14</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91212.9</v>
      </c>
      <c r="G244" s="18">
        <v>69941.009999999995</v>
      </c>
      <c r="H244" s="18">
        <v>67294.97</v>
      </c>
      <c r="I244" s="18">
        <v>98419.839999999997</v>
      </c>
      <c r="J244" s="18">
        <v>1993.02</v>
      </c>
      <c r="K244" s="18"/>
      <c r="L244" s="13">
        <f t="shared" si="4"/>
        <v>328861.74</v>
      </c>
      <c r="M244" s="8"/>
      <c r="N244" s="165"/>
    </row>
    <row r="245" spans="1:14" s="3" customFormat="1" ht="12.2" customHeight="1" x14ac:dyDescent="0.15">
      <c r="A245" s="1" t="s">
        <v>448</v>
      </c>
      <c r="B245" s="2" t="s">
        <v>350</v>
      </c>
      <c r="C245" s="2" t="s">
        <v>300</v>
      </c>
      <c r="D245" s="2" t="s">
        <v>431</v>
      </c>
      <c r="E245" s="6">
        <v>2700</v>
      </c>
      <c r="F245" s="18"/>
      <c r="G245" s="18"/>
      <c r="H245" s="18">
        <v>282845.40999999997</v>
      </c>
      <c r="I245" s="18"/>
      <c r="J245" s="18"/>
      <c r="K245" s="18"/>
      <c r="L245" s="13">
        <f t="shared" si="4"/>
        <v>282845.40999999997</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1610736.1700000002</v>
      </c>
      <c r="G248" s="38">
        <f t="shared" si="5"/>
        <v>763156.84000000008</v>
      </c>
      <c r="H248" s="38">
        <f t="shared" si="5"/>
        <v>776740.96</v>
      </c>
      <c r="I248" s="38">
        <f t="shared" si="5"/>
        <v>167559.31</v>
      </c>
      <c r="J248" s="38">
        <f t="shared" si="5"/>
        <v>2401.61</v>
      </c>
      <c r="K248" s="38">
        <f t="shared" si="5"/>
        <v>13130.42</v>
      </c>
      <c r="L248" s="38">
        <f t="shared" si="5"/>
        <v>3333725.3099999996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5143895.41</v>
      </c>
      <c r="G258" s="38">
        <f t="shared" si="8"/>
        <v>2478217.7300000004</v>
      </c>
      <c r="H258" s="38">
        <f t="shared" si="8"/>
        <v>2148824.4900000002</v>
      </c>
      <c r="I258" s="38">
        <f t="shared" si="8"/>
        <v>434777.76</v>
      </c>
      <c r="J258" s="38">
        <f t="shared" si="8"/>
        <v>38778.630000000005</v>
      </c>
      <c r="K258" s="38">
        <f t="shared" si="8"/>
        <v>29002.28</v>
      </c>
      <c r="L258" s="38">
        <f t="shared" si="8"/>
        <v>10273496.300000001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3000</v>
      </c>
      <c r="L267" s="13">
        <f t="shared" si="9"/>
        <v>3000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3000</v>
      </c>
      <c r="L271" s="38">
        <f t="shared" si="9"/>
        <v>3000</v>
      </c>
      <c r="M271" s="8"/>
      <c r="N271" s="165"/>
    </row>
    <row r="272" spans="1:14" s="33" customFormat="1" ht="12.2" customHeight="1" thickTop="1" x14ac:dyDescent="0.2">
      <c r="A272" s="40" t="s">
        <v>464</v>
      </c>
      <c r="B272" s="37">
        <v>10</v>
      </c>
      <c r="C272" s="37">
        <v>18</v>
      </c>
      <c r="D272" s="36" t="s">
        <v>431</v>
      </c>
      <c r="E272" s="37"/>
      <c r="F272" s="39">
        <f t="shared" ref="F272:L272" si="11">F258+F271</f>
        <v>5143895.41</v>
      </c>
      <c r="G272" s="39">
        <f t="shared" si="11"/>
        <v>2478217.7300000004</v>
      </c>
      <c r="H272" s="39">
        <f t="shared" si="11"/>
        <v>2148824.4900000002</v>
      </c>
      <c r="I272" s="39">
        <f t="shared" si="11"/>
        <v>434777.76</v>
      </c>
      <c r="J272" s="39">
        <f t="shared" si="11"/>
        <v>38778.630000000005</v>
      </c>
      <c r="K272" s="39">
        <f t="shared" si="11"/>
        <v>32002.28</v>
      </c>
      <c r="L272" s="39">
        <f t="shared" si="11"/>
        <v>10276496.300000001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339824.52</v>
      </c>
      <c r="G277" s="18">
        <v>101720.02</v>
      </c>
      <c r="H277" s="18">
        <v>3923.4</v>
      </c>
      <c r="I277" s="18">
        <v>26310.86</v>
      </c>
      <c r="J277" s="18"/>
      <c r="K277" s="18"/>
      <c r="L277" s="13">
        <f>SUM(F277:K277)</f>
        <v>471778.80000000005</v>
      </c>
      <c r="M277" s="8"/>
      <c r="N277" s="165"/>
    </row>
    <row r="278" spans="1:14" s="3" customFormat="1" ht="12.2" customHeight="1" x14ac:dyDescent="0.15">
      <c r="A278" s="1" t="s">
        <v>439</v>
      </c>
      <c r="B278" s="2" t="s">
        <v>357</v>
      </c>
      <c r="C278" s="2" t="s">
        <v>291</v>
      </c>
      <c r="D278" s="2" t="s">
        <v>431</v>
      </c>
      <c r="E278" s="6">
        <v>1200</v>
      </c>
      <c r="F278" s="18">
        <v>30950.59</v>
      </c>
      <c r="G278" s="18">
        <v>6719.43</v>
      </c>
      <c r="H278" s="18">
        <v>23445.53</v>
      </c>
      <c r="I278" s="18">
        <v>2587.4</v>
      </c>
      <c r="J278" s="18"/>
      <c r="K278" s="18"/>
      <c r="L278" s="13">
        <f>SUM(F278:K278)</f>
        <v>63702.950000000004</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11725</v>
      </c>
      <c r="G280" s="18">
        <v>896.98</v>
      </c>
      <c r="H280" s="18"/>
      <c r="I280" s="18"/>
      <c r="J280" s="18"/>
      <c r="K280" s="18"/>
      <c r="L280" s="13">
        <f>SUM(F280:K280)</f>
        <v>12621.98</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39282.42</v>
      </c>
      <c r="G282" s="18">
        <v>26708.91</v>
      </c>
      <c r="H282" s="18">
        <v>15840.38</v>
      </c>
      <c r="I282" s="18"/>
      <c r="J282" s="18"/>
      <c r="K282" s="18"/>
      <c r="L282" s="13">
        <f t="shared" ref="L282:L288" si="12">SUM(F282:K282)</f>
        <v>81831.710000000006</v>
      </c>
      <c r="M282" s="8"/>
      <c r="N282" s="165"/>
    </row>
    <row r="283" spans="1:14" s="3" customFormat="1" ht="12.2" customHeight="1" x14ac:dyDescent="0.15">
      <c r="A283" s="1" t="s">
        <v>443</v>
      </c>
      <c r="B283" s="2" t="s">
        <v>357</v>
      </c>
      <c r="C283" s="2" t="s">
        <v>295</v>
      </c>
      <c r="D283" s="2" t="s">
        <v>431</v>
      </c>
      <c r="E283" s="6">
        <v>2200</v>
      </c>
      <c r="F283" s="18">
        <v>30800</v>
      </c>
      <c r="G283" s="18">
        <v>6392.8</v>
      </c>
      <c r="H283" s="18">
        <v>171578.84</v>
      </c>
      <c r="I283" s="18">
        <v>2811.75</v>
      </c>
      <c r="J283" s="18"/>
      <c r="K283" s="18"/>
      <c r="L283" s="13">
        <f t="shared" si="12"/>
        <v>211583.39</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v>5599.92</v>
      </c>
      <c r="J287" s="18"/>
      <c r="K287" s="18"/>
      <c r="L287" s="13">
        <f t="shared" si="12"/>
        <v>5599.92</v>
      </c>
      <c r="M287" s="8"/>
      <c r="N287" s="165"/>
    </row>
    <row r="288" spans="1:14" s="3" customFormat="1" ht="12.2" customHeight="1" x14ac:dyDescent="0.15">
      <c r="A288" s="1" t="s">
        <v>448</v>
      </c>
      <c r="B288" s="2" t="s">
        <v>357</v>
      </c>
      <c r="C288" s="2" t="s">
        <v>300</v>
      </c>
      <c r="D288" s="2" t="s">
        <v>431</v>
      </c>
      <c r="E288" s="6">
        <v>2700</v>
      </c>
      <c r="F288" s="18"/>
      <c r="G288" s="18"/>
      <c r="H288" s="18">
        <v>470</v>
      </c>
      <c r="I288" s="18"/>
      <c r="J288" s="18"/>
      <c r="K288" s="18"/>
      <c r="L288" s="13">
        <f t="shared" si="12"/>
        <v>470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452582.53</v>
      </c>
      <c r="G291" s="39">
        <f t="shared" si="13"/>
        <v>142438.13999999998</v>
      </c>
      <c r="H291" s="39">
        <f t="shared" si="13"/>
        <v>215258.15</v>
      </c>
      <c r="I291" s="39">
        <f t="shared" si="13"/>
        <v>37309.93</v>
      </c>
      <c r="J291" s="39">
        <f t="shared" si="13"/>
        <v>0</v>
      </c>
      <c r="K291" s="39">
        <f t="shared" si="13"/>
        <v>0</v>
      </c>
      <c r="L291" s="38">
        <f t="shared" si="13"/>
        <v>847588.75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18061.57</v>
      </c>
      <c r="G296" s="18">
        <v>7356.21</v>
      </c>
      <c r="H296" s="18"/>
      <c r="I296" s="18"/>
      <c r="J296" s="18"/>
      <c r="K296" s="18"/>
      <c r="L296" s="13">
        <f>SUM(F296:K296)</f>
        <v>25417.78</v>
      </c>
      <c r="M296" s="8"/>
      <c r="N296" s="165"/>
    </row>
    <row r="297" spans="1:14" s="3" customFormat="1" ht="12.2" customHeight="1" x14ac:dyDescent="0.15">
      <c r="A297" s="1" t="s">
        <v>439</v>
      </c>
      <c r="B297" s="2" t="s">
        <v>358</v>
      </c>
      <c r="C297" s="2" t="s">
        <v>291</v>
      </c>
      <c r="D297" s="2" t="s">
        <v>431</v>
      </c>
      <c r="E297" s="6">
        <v>1200</v>
      </c>
      <c r="F297" s="18"/>
      <c r="G297" s="18"/>
      <c r="H297" s="18">
        <v>2954.97</v>
      </c>
      <c r="I297" s="18"/>
      <c r="J297" s="18"/>
      <c r="K297" s="18"/>
      <c r="L297" s="13">
        <f>SUM(F297:K297)</f>
        <v>2954.97</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1857</v>
      </c>
      <c r="G299" s="18">
        <v>142.05000000000001</v>
      </c>
      <c r="H299" s="18"/>
      <c r="I299" s="18">
        <v>3893.83</v>
      </c>
      <c r="J299" s="18"/>
      <c r="K299" s="18">
        <v>8348</v>
      </c>
      <c r="L299" s="13">
        <f>SUM(F299:K299)</f>
        <v>14240.880000000001</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7503.03</v>
      </c>
      <c r="G301" s="18">
        <v>5091.1499999999996</v>
      </c>
      <c r="H301" s="18">
        <v>5544.13</v>
      </c>
      <c r="I301" s="18"/>
      <c r="J301" s="18"/>
      <c r="K301" s="18"/>
      <c r="L301" s="13">
        <f t="shared" ref="L301:L307" si="14">SUM(F301:K301)</f>
        <v>18138.310000000001</v>
      </c>
      <c r="M301" s="8"/>
      <c r="N301" s="165"/>
    </row>
    <row r="302" spans="1:14" s="3" customFormat="1" ht="12.2" customHeight="1" x14ac:dyDescent="0.15">
      <c r="A302" s="1" t="s">
        <v>443</v>
      </c>
      <c r="B302" s="2" t="s">
        <v>358</v>
      </c>
      <c r="C302" s="2" t="s">
        <v>295</v>
      </c>
      <c r="D302" s="2" t="s">
        <v>431</v>
      </c>
      <c r="E302" s="6">
        <v>2200</v>
      </c>
      <c r="F302" s="18"/>
      <c r="G302" s="18"/>
      <c r="H302" s="18">
        <v>1169.6400000000001</v>
      </c>
      <c r="I302" s="18">
        <v>881.21</v>
      </c>
      <c r="J302" s="18"/>
      <c r="K302" s="18"/>
      <c r="L302" s="13">
        <f t="shared" si="14"/>
        <v>2050.8500000000004</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27421.599999999999</v>
      </c>
      <c r="G310" s="39">
        <f t="shared" si="15"/>
        <v>12589.41</v>
      </c>
      <c r="H310" s="39">
        <f t="shared" si="15"/>
        <v>9668.74</v>
      </c>
      <c r="I310" s="39">
        <f t="shared" si="15"/>
        <v>4775.04</v>
      </c>
      <c r="J310" s="39">
        <f t="shared" si="15"/>
        <v>0</v>
      </c>
      <c r="K310" s="39">
        <f t="shared" si="15"/>
        <v>8348</v>
      </c>
      <c r="L310" s="38">
        <f t="shared" si="15"/>
        <v>62802.79</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v>1589.24</v>
      </c>
      <c r="L315" s="13">
        <f>SUM(F315:K315)</f>
        <v>1589.24</v>
      </c>
      <c r="M315" s="8"/>
      <c r="N315" s="165"/>
    </row>
    <row r="316" spans="1:14" s="3" customFormat="1" ht="12.2" customHeight="1" x14ac:dyDescent="0.15">
      <c r="A316" s="1" t="s">
        <v>439</v>
      </c>
      <c r="B316" s="2" t="s">
        <v>359</v>
      </c>
      <c r="C316" s="2" t="s">
        <v>291</v>
      </c>
      <c r="D316" s="2" t="s">
        <v>431</v>
      </c>
      <c r="E316" s="6">
        <v>1200</v>
      </c>
      <c r="F316" s="18">
        <v>96</v>
      </c>
      <c r="G316" s="18">
        <v>20.84</v>
      </c>
      <c r="H316" s="18">
        <v>3120</v>
      </c>
      <c r="I316" s="18"/>
      <c r="J316" s="18"/>
      <c r="K316" s="18"/>
      <c r="L316" s="13">
        <f>SUM(F316:K316)</f>
        <v>3236.84</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10460</v>
      </c>
      <c r="G318" s="18">
        <v>2664.56</v>
      </c>
      <c r="H318" s="18"/>
      <c r="I318" s="18">
        <v>59.85</v>
      </c>
      <c r="J318" s="18"/>
      <c r="K318" s="18"/>
      <c r="L318" s="13">
        <f>SUM(F318:K318)</f>
        <v>13184.41</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15621.05</v>
      </c>
      <c r="G320" s="18">
        <v>10604.7</v>
      </c>
      <c r="H320" s="18">
        <v>10296.24</v>
      </c>
      <c r="I320" s="18"/>
      <c r="J320" s="18"/>
      <c r="K320" s="18"/>
      <c r="L320" s="13">
        <f t="shared" ref="L320:L326" si="16">SUM(F320:K320)</f>
        <v>36521.99</v>
      </c>
      <c r="M320" s="8"/>
      <c r="N320" s="165"/>
    </row>
    <row r="321" spans="1:14" s="3" customFormat="1" ht="12.2" customHeight="1" x14ac:dyDescent="0.15">
      <c r="A321" s="1" t="s">
        <v>443</v>
      </c>
      <c r="B321" s="2" t="s">
        <v>359</v>
      </c>
      <c r="C321" s="2" t="s">
        <v>295</v>
      </c>
      <c r="D321" s="2" t="s">
        <v>431</v>
      </c>
      <c r="E321" s="6">
        <v>2200</v>
      </c>
      <c r="F321" s="18">
        <v>2712.5</v>
      </c>
      <c r="G321" s="18">
        <v>771.02</v>
      </c>
      <c r="H321" s="18">
        <v>12077.2</v>
      </c>
      <c r="I321" s="18">
        <v>1636.54</v>
      </c>
      <c r="J321" s="18"/>
      <c r="K321" s="18"/>
      <c r="L321" s="13">
        <f t="shared" si="16"/>
        <v>17197.260000000002</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v>12469.5</v>
      </c>
      <c r="I326" s="18"/>
      <c r="J326" s="18"/>
      <c r="K326" s="18"/>
      <c r="L326" s="13">
        <f t="shared" si="16"/>
        <v>12469.5</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28889.55</v>
      </c>
      <c r="G329" s="39">
        <f t="shared" si="17"/>
        <v>14061.12</v>
      </c>
      <c r="H329" s="39">
        <f t="shared" si="17"/>
        <v>37962.94</v>
      </c>
      <c r="I329" s="39">
        <f t="shared" si="17"/>
        <v>1696.3899999999999</v>
      </c>
      <c r="J329" s="39">
        <f t="shared" si="17"/>
        <v>0</v>
      </c>
      <c r="K329" s="39">
        <f t="shared" si="17"/>
        <v>1589.24</v>
      </c>
      <c r="L329" s="38">
        <f t="shared" si="17"/>
        <v>84199.239999999991</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757910</v>
      </c>
      <c r="I337" s="18"/>
      <c r="J337" s="18"/>
      <c r="K337" s="18"/>
      <c r="L337" s="13">
        <f t="shared" si="18"/>
        <v>757910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757910</v>
      </c>
      <c r="I338" s="38">
        <f t="shared" si="19"/>
        <v>0</v>
      </c>
      <c r="J338" s="38">
        <f t="shared" si="19"/>
        <v>0</v>
      </c>
      <c r="K338" s="38">
        <f t="shared" si="19"/>
        <v>0</v>
      </c>
      <c r="L338" s="38">
        <f t="shared" si="18"/>
        <v>757910</v>
      </c>
      <c r="M338" s="8"/>
      <c r="N338" s="165"/>
    </row>
    <row r="339" spans="1:43" s="3" customFormat="1" ht="12.2" customHeight="1" thickTop="1" x14ac:dyDescent="0.15">
      <c r="A339" s="35" t="s">
        <v>468</v>
      </c>
      <c r="B339" s="37">
        <v>14</v>
      </c>
      <c r="C339" s="37">
        <v>7</v>
      </c>
      <c r="D339" s="36" t="s">
        <v>431</v>
      </c>
      <c r="E339" s="37"/>
      <c r="F339" s="38">
        <f t="shared" ref="F339:L339" si="20">F291+F310+F329+F338</f>
        <v>508893.68</v>
      </c>
      <c r="G339" s="38">
        <f t="shared" si="20"/>
        <v>169088.66999999998</v>
      </c>
      <c r="H339" s="38">
        <f t="shared" si="20"/>
        <v>1020799.83</v>
      </c>
      <c r="I339" s="38">
        <f t="shared" si="20"/>
        <v>43781.36</v>
      </c>
      <c r="J339" s="38">
        <f t="shared" si="20"/>
        <v>0</v>
      </c>
      <c r="K339" s="38">
        <f t="shared" si="20"/>
        <v>9937.24</v>
      </c>
      <c r="L339" s="38">
        <f t="shared" si="20"/>
        <v>1752500.78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508893.68</v>
      </c>
      <c r="G353" s="38">
        <f>G339</f>
        <v>169088.66999999998</v>
      </c>
      <c r="H353" s="38">
        <f>H339</f>
        <v>1020799.83</v>
      </c>
      <c r="I353" s="38">
        <f>I339</f>
        <v>43781.36</v>
      </c>
      <c r="J353" s="38">
        <f>J339</f>
        <v>0</v>
      </c>
      <c r="K353" s="38">
        <f>K339+K352</f>
        <v>9937.24</v>
      </c>
      <c r="L353" s="38">
        <f>L339+L352</f>
        <v>1752500.78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158450</v>
      </c>
      <c r="I359" s="18">
        <v>13751.84</v>
      </c>
      <c r="J359" s="18"/>
      <c r="K359" s="18"/>
      <c r="L359" s="13">
        <f>SUM(F359:K359)</f>
        <v>172201.84</v>
      </c>
      <c r="M359" s="8"/>
      <c r="N359" s="165"/>
    </row>
    <row r="360" spans="1:22" s="3" customFormat="1" ht="12.2" customHeight="1" x14ac:dyDescent="0.15">
      <c r="A360" s="1" t="s">
        <v>542</v>
      </c>
      <c r="B360" s="2" t="s">
        <v>366</v>
      </c>
      <c r="C360" s="6">
        <v>2</v>
      </c>
      <c r="D360" s="2" t="s">
        <v>431</v>
      </c>
      <c r="E360" s="6"/>
      <c r="F360" s="18"/>
      <c r="G360" s="18"/>
      <c r="H360" s="18">
        <v>68133.5</v>
      </c>
      <c r="I360" s="18">
        <v>5913.29</v>
      </c>
      <c r="J360" s="18"/>
      <c r="K360" s="18"/>
      <c r="L360" s="13">
        <f>SUM(F360:K360)</f>
        <v>74046.789999999994</v>
      </c>
      <c r="M360" s="8"/>
      <c r="N360" s="165"/>
    </row>
    <row r="361" spans="1:22" s="3" customFormat="1" ht="12.2" customHeight="1" x14ac:dyDescent="0.15">
      <c r="A361" s="3" t="s">
        <v>543</v>
      </c>
      <c r="B361" s="2" t="s">
        <v>366</v>
      </c>
      <c r="C361" s="6">
        <v>3</v>
      </c>
      <c r="D361" s="2" t="s">
        <v>431</v>
      </c>
      <c r="E361" s="6"/>
      <c r="F361" s="18"/>
      <c r="G361" s="18"/>
      <c r="H361" s="18">
        <v>90316.5</v>
      </c>
      <c r="I361" s="18">
        <v>7838.55</v>
      </c>
      <c r="J361" s="18"/>
      <c r="K361" s="18"/>
      <c r="L361" s="13">
        <f>SUM(F361:K361)</f>
        <v>98155.05</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316900</v>
      </c>
      <c r="I363" s="38">
        <f t="shared" si="22"/>
        <v>27503.68</v>
      </c>
      <c r="J363" s="38">
        <f t="shared" si="22"/>
        <v>0</v>
      </c>
      <c r="K363" s="38">
        <f t="shared" si="22"/>
        <v>0</v>
      </c>
      <c r="L363" s="38">
        <f t="shared" si="22"/>
        <v>344403.68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13688.37</v>
      </c>
      <c r="G368" s="18">
        <v>5886</v>
      </c>
      <c r="H368" s="18">
        <v>7802.36</v>
      </c>
      <c r="I368" s="13">
        <f>SUM(F368:H368)</f>
        <v>27376.730000000003</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63.48</v>
      </c>
      <c r="G369" s="53">
        <v>27.29</v>
      </c>
      <c r="H369" s="53">
        <v>36.18</v>
      </c>
      <c r="I369" s="13">
        <f>SUM(F369:H369)</f>
        <v>126.94999999999999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13751.85</v>
      </c>
      <c r="G370" s="38">
        <f>SUM(G368:G369)</f>
        <v>5913.29</v>
      </c>
      <c r="H370" s="38">
        <f>SUM(H368:H369)</f>
        <v>7838.54</v>
      </c>
      <c r="I370" s="38">
        <f>SUM(I368:I369)</f>
        <v>27503.680000000004</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v>16.940000000000001</v>
      </c>
      <c r="I392" s="18"/>
      <c r="J392" s="23" t="s">
        <v>288</v>
      </c>
      <c r="K392" s="23" t="s">
        <v>288</v>
      </c>
      <c r="L392" s="13">
        <f t="shared" si="25"/>
        <v>16.940000000000001</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16.940000000000001</v>
      </c>
      <c r="I394" s="54">
        <f>SUM(I388:I393)</f>
        <v>0</v>
      </c>
      <c r="J394" s="42" t="s">
        <v>288</v>
      </c>
      <c r="K394" s="42" t="s">
        <v>288</v>
      </c>
      <c r="L394" s="38">
        <f>SUM(L388:L393)</f>
        <v>16.940000000000001</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300.68</v>
      </c>
      <c r="I397" s="18"/>
      <c r="J397" s="23" t="s">
        <v>288</v>
      </c>
      <c r="K397" s="23" t="s">
        <v>288</v>
      </c>
      <c r="L397" s="13">
        <f t="shared" si="26"/>
        <v>300.68</v>
      </c>
      <c r="M397" s="8"/>
      <c r="N397" s="165"/>
    </row>
    <row r="398" spans="1:14" s="3" customFormat="1" ht="12.2" customHeight="1" x14ac:dyDescent="0.15">
      <c r="A398" s="62" t="s">
        <v>515</v>
      </c>
      <c r="B398" s="2" t="s">
        <v>381</v>
      </c>
      <c r="C398" s="6">
        <v>10</v>
      </c>
      <c r="D398" s="2" t="s">
        <v>432</v>
      </c>
      <c r="E398" s="6"/>
      <c r="F398" s="18"/>
      <c r="G398" s="18"/>
      <c r="H398" s="18">
        <v>328.25</v>
      </c>
      <c r="I398" s="18"/>
      <c r="J398" s="23" t="s">
        <v>288</v>
      </c>
      <c r="K398" s="23" t="s">
        <v>288</v>
      </c>
      <c r="L398" s="13">
        <f t="shared" si="26"/>
        <v>328.25</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3000</v>
      </c>
      <c r="H401" s="18">
        <v>7.14</v>
      </c>
      <c r="I401" s="18">
        <v>7630.23</v>
      </c>
      <c r="J401" s="23" t="s">
        <v>288</v>
      </c>
      <c r="K401" s="23" t="s">
        <v>288</v>
      </c>
      <c r="L401" s="13">
        <f t="shared" si="26"/>
        <v>10637.369999999999</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3000</v>
      </c>
      <c r="H402" s="38">
        <f>SUM(H396:H401)</f>
        <v>636.07000000000005</v>
      </c>
      <c r="I402" s="38">
        <f>SUM(I396:I401)</f>
        <v>7630.23</v>
      </c>
      <c r="J402" s="42" t="s">
        <v>288</v>
      </c>
      <c r="K402" s="42" t="s">
        <v>288</v>
      </c>
      <c r="L402" s="38">
        <f>SUM(L396:L401)</f>
        <v>11266.3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t="s">
        <v>1812</v>
      </c>
      <c r="B404" s="2" t="s">
        <v>381</v>
      </c>
      <c r="C404" s="6">
        <v>15</v>
      </c>
      <c r="D404" s="2" t="s">
        <v>432</v>
      </c>
      <c r="E404" s="6"/>
      <c r="F404" s="18"/>
      <c r="G404" s="18"/>
      <c r="H404" s="18">
        <v>6419.15</v>
      </c>
      <c r="I404" s="18">
        <v>-25621.72</v>
      </c>
      <c r="J404" s="23" t="s">
        <v>288</v>
      </c>
      <c r="K404" s="23" t="s">
        <v>288</v>
      </c>
      <c r="L404" s="13">
        <f>SUM(F404:K404)</f>
        <v>-19202.57</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6419.15</v>
      </c>
      <c r="I408" s="38">
        <f>SUM(I404:I407)</f>
        <v>-25621.72</v>
      </c>
      <c r="J408" s="45" t="s">
        <v>288</v>
      </c>
      <c r="K408" s="45" t="s">
        <v>288</v>
      </c>
      <c r="L408" s="38">
        <f>SUM(L404:L407)</f>
        <v>-19202.57</v>
      </c>
      <c r="M408" s="8"/>
      <c r="N408" s="165"/>
    </row>
    <row r="409" spans="1:21" s="3" customFormat="1" ht="12.2" customHeight="1" thickTop="1" x14ac:dyDescent="0.15">
      <c r="A409" s="61" t="s">
        <v>421</v>
      </c>
      <c r="B409" s="2" t="s">
        <v>381</v>
      </c>
      <c r="C409" s="6">
        <v>20</v>
      </c>
      <c r="D409" s="6"/>
      <c r="E409" s="37"/>
      <c r="F409" s="38">
        <f>F394+F402+F408</f>
        <v>0</v>
      </c>
      <c r="G409" s="38">
        <f>G394+G402+G408</f>
        <v>3000</v>
      </c>
      <c r="H409" s="38">
        <f>H394+H402+H408</f>
        <v>7072.16</v>
      </c>
      <c r="I409" s="38">
        <f>I394+I402+I408</f>
        <v>-17991.490000000002</v>
      </c>
      <c r="J409" s="23" t="s">
        <v>288</v>
      </c>
      <c r="K409" s="23" t="s">
        <v>288</v>
      </c>
      <c r="L409" s="38">
        <f>L394+L402+L408</f>
        <v>-7919.33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v>9769.4</v>
      </c>
      <c r="I427" s="18">
        <v>12024.07</v>
      </c>
      <c r="J427" s="18"/>
      <c r="K427" s="18"/>
      <c r="L427" s="13">
        <f t="shared" si="29"/>
        <v>21793.47</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9769.4</v>
      </c>
      <c r="I428" s="38">
        <f t="shared" si="30"/>
        <v>12024.07</v>
      </c>
      <c r="J428" s="38">
        <f t="shared" si="30"/>
        <v>0</v>
      </c>
      <c r="K428" s="38">
        <f t="shared" si="30"/>
        <v>0</v>
      </c>
      <c r="L428" s="38">
        <f t="shared" si="30"/>
        <v>21793.47</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t="s">
        <v>1812</v>
      </c>
      <c r="B430" s="6">
        <v>17</v>
      </c>
      <c r="C430" s="6">
        <v>15</v>
      </c>
      <c r="D430" s="2" t="s">
        <v>432</v>
      </c>
      <c r="E430" s="6"/>
      <c r="F430" s="18"/>
      <c r="G430" s="18"/>
      <c r="H430" s="18"/>
      <c r="I430" s="18">
        <v>5028.49</v>
      </c>
      <c r="J430" s="18"/>
      <c r="K430" s="18">
        <v>7630.23</v>
      </c>
      <c r="L430" s="13">
        <f>SUM(F430:K430)</f>
        <v>12658.72</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5028.49</v>
      </c>
      <c r="J434" s="38">
        <f t="shared" si="31"/>
        <v>0</v>
      </c>
      <c r="K434" s="38">
        <f t="shared" si="31"/>
        <v>7630.23</v>
      </c>
      <c r="L434" s="38">
        <f t="shared" si="31"/>
        <v>12658.72</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9769.4</v>
      </c>
      <c r="I435" s="38">
        <f t="shared" si="32"/>
        <v>17052.559999999998</v>
      </c>
      <c r="J435" s="38">
        <f t="shared" si="32"/>
        <v>0</v>
      </c>
      <c r="K435" s="38">
        <f t="shared" si="32"/>
        <v>7630.23</v>
      </c>
      <c r="L435" s="38">
        <f t="shared" si="32"/>
        <v>34452.19</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v>195085.95</v>
      </c>
      <c r="I441" s="13">
        <f t="shared" si="33"/>
        <v>195085.95</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v>2333.36</v>
      </c>
      <c r="H442" s="18"/>
      <c r="I442" s="13">
        <f t="shared" si="33"/>
        <v>2333.36</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v>646171.87</v>
      </c>
      <c r="H443" s="18"/>
      <c r="I443" s="13">
        <f t="shared" si="33"/>
        <v>646171.87</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648505.23</v>
      </c>
      <c r="H447" s="13">
        <f>SUM(H440:H446)</f>
        <v>195085.95</v>
      </c>
      <c r="I447" s="13">
        <f>SUM(I440:I446)</f>
        <v>843591.17999999993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v>195085.95</v>
      </c>
      <c r="I458" s="13">
        <f t="shared" si="34"/>
        <v>195085.95</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648505.23</v>
      </c>
      <c r="H460" s="18"/>
      <c r="I460" s="13">
        <f t="shared" si="34"/>
        <v>648505.23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648505.23</v>
      </c>
      <c r="H461" s="65">
        <f>SUM(H455:H460)</f>
        <v>195085.95</v>
      </c>
      <c r="I461" s="65">
        <f>SUM(I455:I460)</f>
        <v>843591.17999999993</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648505.23</v>
      </c>
      <c r="H462" s="39">
        <f>H453+H461</f>
        <v>195085.95</v>
      </c>
      <c r="I462" s="39">
        <f>I453+I461</f>
        <v>843591.17999999993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789632.19</v>
      </c>
      <c r="G466" s="18">
        <v>93473.97</v>
      </c>
      <c r="H466" s="18">
        <v>0</v>
      </c>
      <c r="I466" s="18">
        <v>0</v>
      </c>
      <c r="J466" s="18">
        <v>885962.7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9680862.3399999999</v>
      </c>
      <c r="G469" s="18">
        <f>G194</f>
        <v>307452.3</v>
      </c>
      <c r="H469" s="18">
        <f>H194</f>
        <v>1180879.0599999998</v>
      </c>
      <c r="I469" s="18"/>
      <c r="J469" s="18">
        <f>J194</f>
        <v>-7919.3300000000017</v>
      </c>
      <c r="K469" s="23" t="s">
        <v>288</v>
      </c>
      <c r="L469" s="23" t="s">
        <v>288</v>
      </c>
      <c r="N469" s="131"/>
    </row>
    <row r="470" spans="1:14" ht="12.2" customHeight="1" x14ac:dyDescent="0.2">
      <c r="A470" s="71" t="s">
        <v>611</v>
      </c>
      <c r="B470" s="22">
        <v>19</v>
      </c>
      <c r="C470" s="31">
        <v>3</v>
      </c>
      <c r="D470" s="2" t="s">
        <v>432</v>
      </c>
      <c r="E470" s="31"/>
      <c r="F470" s="18"/>
      <c r="G470" s="18"/>
      <c r="H470" s="18">
        <v>571621.72</v>
      </c>
      <c r="I470" s="18"/>
      <c r="J470" s="18"/>
      <c r="K470" s="23" t="s">
        <v>288</v>
      </c>
      <c r="L470" s="23" t="s">
        <v>288</v>
      </c>
      <c r="N470" s="131"/>
    </row>
    <row r="471" spans="1:14" ht="12.2" customHeight="1" x14ac:dyDescent="0.2">
      <c r="A471" s="32" t="s">
        <v>425</v>
      </c>
      <c r="B471" s="22">
        <v>19</v>
      </c>
      <c r="C471" s="31">
        <v>4</v>
      </c>
      <c r="D471" s="2" t="s">
        <v>432</v>
      </c>
      <c r="E471" s="31"/>
      <c r="F471" s="19">
        <f>SUM(F469:F470)</f>
        <v>9680862.3399999999</v>
      </c>
      <c r="G471" s="19">
        <f>SUM(G469:G470)</f>
        <v>307452.3</v>
      </c>
      <c r="H471" s="19">
        <f>SUM(H469:H470)</f>
        <v>1752500.7799999998</v>
      </c>
      <c r="I471" s="19">
        <f>SUM(I469:I470)</f>
        <v>0</v>
      </c>
      <c r="J471" s="19">
        <f>SUM(J469:J470)</f>
        <v>-7919.3300000000017</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10276496.300000001</v>
      </c>
      <c r="G473" s="18">
        <f>L363</f>
        <v>344403.68</v>
      </c>
      <c r="H473" s="18">
        <f>L353</f>
        <v>1752500.78</v>
      </c>
      <c r="I473" s="18"/>
      <c r="J473" s="18">
        <f>L435</f>
        <v>34452.19</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10276496.300000001</v>
      </c>
      <c r="G475" s="19">
        <f>SUM(G473:G474)</f>
        <v>344403.68</v>
      </c>
      <c r="H475" s="19">
        <f>SUM(H473:H474)</f>
        <v>1752500.78</v>
      </c>
      <c r="I475" s="19">
        <f>SUM(I473:I474)</f>
        <v>0</v>
      </c>
      <c r="J475" s="19">
        <f>SUM(J473:J474)</f>
        <v>34452.19</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193998.22999999858</v>
      </c>
      <c r="G477" s="19">
        <f>(G466+G471)- G475</f>
        <v>56522.590000000026</v>
      </c>
      <c r="H477" s="19">
        <f>(H466+H471)- H475</f>
        <v>0</v>
      </c>
      <c r="I477" s="19">
        <f>(I466+I471)- I475</f>
        <v>0</v>
      </c>
      <c r="J477" s="19">
        <f>(J466+J471)- J475</f>
        <v>843591.17999999993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1813</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774782.05</v>
      </c>
      <c r="G522" s="18">
        <v>286892.03999999998</v>
      </c>
      <c r="H522" s="18">
        <v>62260.95</v>
      </c>
      <c r="I522" s="18">
        <v>2744.87</v>
      </c>
      <c r="J522" s="18"/>
      <c r="K522" s="18">
        <v>135</v>
      </c>
      <c r="L522" s="69">
        <f>SUM(F522:K522)</f>
        <v>1126814.9100000001</v>
      </c>
      <c r="N522" s="131"/>
    </row>
    <row r="523" spans="1:14" ht="12.2" customHeight="1" x14ac:dyDescent="0.2">
      <c r="A523" s="21" t="s">
        <v>634</v>
      </c>
      <c r="B523" s="22">
        <v>21</v>
      </c>
      <c r="C523" s="22">
        <v>2</v>
      </c>
      <c r="D523" s="2" t="s">
        <v>432</v>
      </c>
      <c r="E523" s="22"/>
      <c r="F523" s="18">
        <v>288110.92</v>
      </c>
      <c r="G523" s="18">
        <v>97021.18</v>
      </c>
      <c r="H523" s="18">
        <v>305244.87</v>
      </c>
      <c r="I523" s="18">
        <v>12.48</v>
      </c>
      <c r="J523" s="18"/>
      <c r="K523" s="18">
        <v>99.4</v>
      </c>
      <c r="L523" s="69">
        <f>SUM(F523:K523)</f>
        <v>690488.85</v>
      </c>
      <c r="N523" s="131"/>
    </row>
    <row r="524" spans="1:14" ht="12.2" customHeight="1" thickBot="1" x14ac:dyDescent="0.25">
      <c r="A524" s="21" t="s">
        <v>635</v>
      </c>
      <c r="B524" s="22">
        <v>21</v>
      </c>
      <c r="C524" s="22">
        <v>3</v>
      </c>
      <c r="D524" s="2" t="s">
        <v>432</v>
      </c>
      <c r="E524" s="22"/>
      <c r="F524" s="18">
        <v>380289.84</v>
      </c>
      <c r="G524" s="18">
        <v>132991.16</v>
      </c>
      <c r="H524" s="18">
        <v>288227.84999999998</v>
      </c>
      <c r="I524" s="18">
        <v>187.47</v>
      </c>
      <c r="J524" s="18"/>
      <c r="K524" s="18">
        <v>128.6</v>
      </c>
      <c r="L524" s="69">
        <f>SUM(F524:K524)</f>
        <v>801824.91999999993</v>
      </c>
      <c r="N524" s="131"/>
    </row>
    <row r="525" spans="1:14" ht="12.2" customHeight="1" thickTop="1" x14ac:dyDescent="0.2">
      <c r="A525" s="97" t="s">
        <v>63</v>
      </c>
      <c r="B525" s="41">
        <v>21</v>
      </c>
      <c r="C525" s="41">
        <v>4</v>
      </c>
      <c r="D525" s="115" t="s">
        <v>432</v>
      </c>
      <c r="E525" s="41"/>
      <c r="F525" s="81">
        <f>SUM(F522:F524)</f>
        <v>1443182.81</v>
      </c>
      <c r="G525" s="81">
        <f t="shared" ref="G525:L525" si="36">SUM(G522:G524)</f>
        <v>516904.38</v>
      </c>
      <c r="H525" s="81">
        <f t="shared" si="36"/>
        <v>655733.66999999993</v>
      </c>
      <c r="I525" s="81">
        <f t="shared" si="36"/>
        <v>2944.8199999999997</v>
      </c>
      <c r="J525" s="81">
        <f t="shared" si="36"/>
        <v>0</v>
      </c>
      <c r="K525" s="81">
        <f t="shared" si="36"/>
        <v>363</v>
      </c>
      <c r="L525" s="70">
        <f t="shared" si="36"/>
        <v>2619128.6800000002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97700.88</v>
      </c>
      <c r="G527" s="18">
        <v>49117.84</v>
      </c>
      <c r="H527" s="18">
        <v>308784.11</v>
      </c>
      <c r="I527" s="18">
        <v>1663.2</v>
      </c>
      <c r="J527" s="18"/>
      <c r="K527" s="18"/>
      <c r="L527" s="69">
        <f>SUM(F527:K527)</f>
        <v>457266.02999999997</v>
      </c>
      <c r="M527" s="8"/>
      <c r="N527" s="165"/>
    </row>
    <row r="528" spans="1:14" s="3" customFormat="1" ht="12.2" customHeight="1" x14ac:dyDescent="0.15">
      <c r="A528" s="21" t="s">
        <v>634</v>
      </c>
      <c r="B528" s="22">
        <v>21</v>
      </c>
      <c r="C528" s="22">
        <v>6</v>
      </c>
      <c r="D528" s="2" t="s">
        <v>432</v>
      </c>
      <c r="E528" s="22"/>
      <c r="F528" s="18">
        <v>14776.22</v>
      </c>
      <c r="G528" s="18">
        <v>7887.14</v>
      </c>
      <c r="H528" s="18">
        <v>31673.53</v>
      </c>
      <c r="I528" s="18"/>
      <c r="J528" s="18"/>
      <c r="K528" s="18"/>
      <c r="L528" s="69">
        <f>SUM(F528:K528)</f>
        <v>54336.89</v>
      </c>
      <c r="M528" s="8"/>
      <c r="N528" s="165"/>
    </row>
    <row r="529" spans="1:14" s="3" customFormat="1" ht="12.2" customHeight="1" thickBot="1" x14ac:dyDescent="0.2">
      <c r="A529" s="21" t="s">
        <v>635</v>
      </c>
      <c r="B529" s="22">
        <v>21</v>
      </c>
      <c r="C529" s="22">
        <v>7</v>
      </c>
      <c r="D529" s="2" t="s">
        <v>432</v>
      </c>
      <c r="E529" s="22"/>
      <c r="F529" s="18">
        <v>22855.39</v>
      </c>
      <c r="G529" s="18">
        <v>13393.62</v>
      </c>
      <c r="H529" s="18">
        <v>10624.19</v>
      </c>
      <c r="I529" s="18"/>
      <c r="J529" s="18"/>
      <c r="K529" s="18"/>
      <c r="L529" s="69">
        <f>SUM(F529:K529)</f>
        <v>46873.200000000004</v>
      </c>
      <c r="M529" s="8"/>
      <c r="N529" s="165"/>
    </row>
    <row r="530" spans="1:14" s="3" customFormat="1" ht="12.2" customHeight="1" thickTop="1" x14ac:dyDescent="0.15">
      <c r="A530" s="97" t="s">
        <v>65</v>
      </c>
      <c r="B530" s="41">
        <v>21</v>
      </c>
      <c r="C530" s="41">
        <v>8</v>
      </c>
      <c r="D530" s="115" t="s">
        <v>432</v>
      </c>
      <c r="E530" s="41"/>
      <c r="F530" s="70">
        <f>SUM(F527:F529)</f>
        <v>135332.49</v>
      </c>
      <c r="G530" s="70">
        <f t="shared" ref="G530:L530" si="37">SUM(G527:G529)</f>
        <v>70398.599999999991</v>
      </c>
      <c r="H530" s="70">
        <f t="shared" si="37"/>
        <v>351081.83</v>
      </c>
      <c r="I530" s="70">
        <f t="shared" si="37"/>
        <v>1663.2</v>
      </c>
      <c r="J530" s="70">
        <f t="shared" si="37"/>
        <v>0</v>
      </c>
      <c r="K530" s="70">
        <f t="shared" si="37"/>
        <v>0</v>
      </c>
      <c r="L530" s="70">
        <f t="shared" si="37"/>
        <v>558476.12</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38750</v>
      </c>
      <c r="G532" s="18">
        <v>16102.27</v>
      </c>
      <c r="H532" s="18"/>
      <c r="I532" s="18"/>
      <c r="J532" s="18"/>
      <c r="K532" s="18"/>
      <c r="L532" s="69">
        <f>SUM(F532:K532)</f>
        <v>54852.270000000004</v>
      </c>
      <c r="M532" s="8"/>
      <c r="N532" s="165"/>
    </row>
    <row r="533" spans="1:14" s="3" customFormat="1" ht="12.2" customHeight="1" x14ac:dyDescent="0.15">
      <c r="A533" s="21" t="s">
        <v>634</v>
      </c>
      <c r="B533" s="22">
        <v>21</v>
      </c>
      <c r="C533" s="22">
        <v>10</v>
      </c>
      <c r="D533" s="2" t="s">
        <v>432</v>
      </c>
      <c r="E533" s="22"/>
      <c r="F533" s="18">
        <v>17050</v>
      </c>
      <c r="G533" s="18">
        <v>7084.92</v>
      </c>
      <c r="H533" s="18"/>
      <c r="I533" s="18"/>
      <c r="J533" s="18"/>
      <c r="K533" s="18"/>
      <c r="L533" s="69">
        <f>SUM(F533:K533)</f>
        <v>24134.92</v>
      </c>
      <c r="M533" s="8"/>
      <c r="N533" s="165"/>
    </row>
    <row r="534" spans="1:14" s="3" customFormat="1" ht="12.2" customHeight="1" thickBot="1" x14ac:dyDescent="0.2">
      <c r="A534" s="21" t="s">
        <v>635</v>
      </c>
      <c r="B534" s="22">
        <v>21</v>
      </c>
      <c r="C534" s="22">
        <v>11</v>
      </c>
      <c r="D534" s="2" t="s">
        <v>432</v>
      </c>
      <c r="E534" s="22"/>
      <c r="F534" s="18">
        <v>21700</v>
      </c>
      <c r="G534" s="18">
        <v>9017.24</v>
      </c>
      <c r="H534" s="18"/>
      <c r="I534" s="18"/>
      <c r="J534" s="18"/>
      <c r="K534" s="18"/>
      <c r="L534" s="69">
        <f>SUM(F534:K534)</f>
        <v>30717.239999999998</v>
      </c>
      <c r="M534" s="8"/>
      <c r="N534" s="165"/>
    </row>
    <row r="535" spans="1:14" s="3" customFormat="1" ht="12.2" customHeight="1" thickTop="1" x14ac:dyDescent="0.15">
      <c r="A535" s="97" t="s">
        <v>67</v>
      </c>
      <c r="B535" s="41">
        <v>21</v>
      </c>
      <c r="C535" s="41">
        <v>12</v>
      </c>
      <c r="D535" s="115" t="s">
        <v>432</v>
      </c>
      <c r="E535" s="41"/>
      <c r="F535" s="70">
        <f>SUM(F532:F534)</f>
        <v>77500</v>
      </c>
      <c r="G535" s="70">
        <f t="shared" ref="G535:L535" si="38">SUM(G532:G534)</f>
        <v>32204.43</v>
      </c>
      <c r="H535" s="70">
        <f t="shared" si="38"/>
        <v>0</v>
      </c>
      <c r="I535" s="70">
        <f t="shared" si="38"/>
        <v>0</v>
      </c>
      <c r="J535" s="70">
        <f t="shared" si="38"/>
        <v>0</v>
      </c>
      <c r="K535" s="70">
        <f t="shared" si="38"/>
        <v>0</v>
      </c>
      <c r="L535" s="70">
        <f t="shared" si="38"/>
        <v>109704.43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73220</v>
      </c>
      <c r="I542" s="18"/>
      <c r="J542" s="18"/>
      <c r="K542" s="18"/>
      <c r="L542" s="69">
        <f>SUM(F542:K542)</f>
        <v>73220</v>
      </c>
      <c r="M542" s="8"/>
      <c r="N542" s="165"/>
    </row>
    <row r="543" spans="1:14" s="3" customFormat="1" ht="12.2" customHeight="1" x14ac:dyDescent="0.15">
      <c r="A543" s="21" t="s">
        <v>634</v>
      </c>
      <c r="B543" s="22">
        <v>21</v>
      </c>
      <c r="C543" s="22">
        <v>18</v>
      </c>
      <c r="D543" s="2" t="s">
        <v>432</v>
      </c>
      <c r="E543" s="22"/>
      <c r="F543" s="18"/>
      <c r="G543" s="18"/>
      <c r="H543" s="18">
        <v>152967.5</v>
      </c>
      <c r="I543" s="18"/>
      <c r="J543" s="18"/>
      <c r="K543" s="18"/>
      <c r="L543" s="69">
        <f>SUM(F543:K543)</f>
        <v>152967.5</v>
      </c>
      <c r="M543" s="8"/>
      <c r="N543" s="165"/>
    </row>
    <row r="544" spans="1:14" s="3" customFormat="1" ht="12.2" customHeight="1" thickBot="1" x14ac:dyDescent="0.2">
      <c r="A544" s="21" t="s">
        <v>635</v>
      </c>
      <c r="B544" s="22">
        <v>21</v>
      </c>
      <c r="C544" s="22">
        <v>19</v>
      </c>
      <c r="D544" s="2" t="s">
        <v>432</v>
      </c>
      <c r="E544" s="22"/>
      <c r="F544" s="18"/>
      <c r="G544" s="18"/>
      <c r="H544" s="18">
        <v>160832.51999999999</v>
      </c>
      <c r="I544" s="18"/>
      <c r="J544" s="18"/>
      <c r="K544" s="18"/>
      <c r="L544" s="69">
        <f>SUM(F544:K544)</f>
        <v>160832.51999999999</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387020.02</v>
      </c>
      <c r="I545" s="141">
        <f t="shared" si="40"/>
        <v>0</v>
      </c>
      <c r="J545" s="141">
        <f t="shared" si="40"/>
        <v>0</v>
      </c>
      <c r="K545" s="141">
        <f t="shared" si="40"/>
        <v>0</v>
      </c>
      <c r="L545" s="141">
        <f t="shared" si="40"/>
        <v>387020.02</v>
      </c>
      <c r="M545" s="8"/>
      <c r="N545" s="165"/>
    </row>
    <row r="546" spans="1:14" s="3" customFormat="1" ht="12.2" customHeight="1" thickTop="1" x14ac:dyDescent="0.15">
      <c r="A546" s="75" t="s">
        <v>72</v>
      </c>
      <c r="B546" s="41">
        <v>21</v>
      </c>
      <c r="C546" s="41">
        <v>21</v>
      </c>
      <c r="D546" s="115" t="s">
        <v>432</v>
      </c>
      <c r="E546" s="41"/>
      <c r="F546" s="70">
        <f>F525+F530+F535+F540+F545</f>
        <v>1656015.3</v>
      </c>
      <c r="G546" s="70">
        <f t="shared" ref="G546:L546" si="41">G525+G530+G535+G540+G545</f>
        <v>619507.41</v>
      </c>
      <c r="H546" s="70">
        <f t="shared" si="41"/>
        <v>1393835.52</v>
      </c>
      <c r="I546" s="70">
        <f t="shared" si="41"/>
        <v>4608.0199999999995</v>
      </c>
      <c r="J546" s="70">
        <f t="shared" si="41"/>
        <v>0</v>
      </c>
      <c r="K546" s="70">
        <f t="shared" si="41"/>
        <v>363</v>
      </c>
      <c r="L546" s="70">
        <f t="shared" si="41"/>
        <v>3674329.2500000005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1126814.9100000001</v>
      </c>
      <c r="G550" s="69">
        <f>L527</f>
        <v>457266.02999999997</v>
      </c>
      <c r="H550" s="69">
        <f>L532</f>
        <v>54852.270000000004</v>
      </c>
      <c r="I550" s="69">
        <f>L537</f>
        <v>0</v>
      </c>
      <c r="J550" s="69">
        <f>L542</f>
        <v>73220</v>
      </c>
      <c r="K550" s="69">
        <f>SUM(F550:J550)</f>
        <v>1712153.2100000002</v>
      </c>
      <c r="L550" s="23" t="s">
        <v>288</v>
      </c>
      <c r="M550" s="8"/>
      <c r="N550" s="165"/>
    </row>
    <row r="551" spans="1:14" s="3" customFormat="1" ht="12.2" customHeight="1" x14ac:dyDescent="0.15">
      <c r="A551" s="21" t="s">
        <v>634</v>
      </c>
      <c r="B551" s="22">
        <v>21</v>
      </c>
      <c r="C551" s="22">
        <v>23</v>
      </c>
      <c r="D551" s="2" t="s">
        <v>432</v>
      </c>
      <c r="E551" s="22"/>
      <c r="F551" s="69">
        <f>L523</f>
        <v>690488.85</v>
      </c>
      <c r="G551" s="69">
        <f>L528</f>
        <v>54336.89</v>
      </c>
      <c r="H551" s="69">
        <f>L533</f>
        <v>24134.92</v>
      </c>
      <c r="I551" s="69">
        <f>L538</f>
        <v>0</v>
      </c>
      <c r="J551" s="69">
        <f>L543</f>
        <v>152967.5</v>
      </c>
      <c r="K551" s="69">
        <f>SUM(F551:J551)</f>
        <v>921928.16</v>
      </c>
      <c r="L551" s="23" t="s">
        <v>288</v>
      </c>
      <c r="M551" s="8"/>
      <c r="N551" s="165"/>
    </row>
    <row r="552" spans="1:14" s="3" customFormat="1" ht="12.2" customHeight="1" thickBot="1" x14ac:dyDescent="0.2">
      <c r="A552" s="21" t="s">
        <v>635</v>
      </c>
      <c r="B552" s="22">
        <v>21</v>
      </c>
      <c r="C552" s="22">
        <v>24</v>
      </c>
      <c r="D552" s="2" t="s">
        <v>432</v>
      </c>
      <c r="E552" s="22"/>
      <c r="F552" s="69">
        <f>L524</f>
        <v>801824.91999999993</v>
      </c>
      <c r="G552" s="69">
        <f>L529</f>
        <v>46873.200000000004</v>
      </c>
      <c r="H552" s="69">
        <f>L534</f>
        <v>30717.239999999998</v>
      </c>
      <c r="I552" s="69">
        <f>L539</f>
        <v>0</v>
      </c>
      <c r="J552" s="69">
        <f>L544</f>
        <v>160832.51999999999</v>
      </c>
      <c r="K552" s="69">
        <f>SUM(F552:J552)</f>
        <v>1040247.8799999999</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2619128.6800000002</v>
      </c>
      <c r="G553" s="70">
        <f t="shared" si="42"/>
        <v>558476.12</v>
      </c>
      <c r="H553" s="70">
        <f t="shared" si="42"/>
        <v>109704.43</v>
      </c>
      <c r="I553" s="70">
        <f t="shared" si="42"/>
        <v>0</v>
      </c>
      <c r="J553" s="70">
        <f t="shared" si="42"/>
        <v>387020.02</v>
      </c>
      <c r="K553" s="70">
        <f t="shared" si="42"/>
        <v>3674329.25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16921.189999999999</v>
      </c>
      <c r="G580" s="18"/>
      <c r="H580" s="18"/>
      <c r="I580" s="69">
        <f t="shared" si="47"/>
        <v>16921.189999999999</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17282.669999999998</v>
      </c>
      <c r="G583" s="18">
        <v>288654.03999999998</v>
      </c>
      <c r="H583" s="18">
        <v>285031.28999999998</v>
      </c>
      <c r="I583" s="69">
        <f t="shared" si="47"/>
        <v>590968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63633.78</v>
      </c>
      <c r="I585" s="69">
        <f t="shared" si="47"/>
        <v>63633.78</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141075</v>
      </c>
      <c r="I592" s="18">
        <v>34650</v>
      </c>
      <c r="J592" s="18">
        <v>71775</v>
      </c>
      <c r="K592" s="80">
        <f t="shared" ref="K592:K598" si="48">SUM(H592:J592)</f>
        <v>247500</v>
      </c>
      <c r="L592" s="23" t="s">
        <v>288</v>
      </c>
      <c r="M592" s="8"/>
      <c r="N592" s="165"/>
    </row>
    <row r="593" spans="1:14" s="3" customFormat="1" ht="12.2" customHeight="1" x14ac:dyDescent="0.15">
      <c r="A593" s="3" t="s">
        <v>638</v>
      </c>
      <c r="B593" s="22">
        <v>23</v>
      </c>
      <c r="C593" s="22">
        <v>2</v>
      </c>
      <c r="D593" s="2" t="s">
        <v>432</v>
      </c>
      <c r="E593" s="22"/>
      <c r="F593" s="78">
        <v>2722</v>
      </c>
      <c r="G593" s="79" t="s">
        <v>97</v>
      </c>
      <c r="H593" s="18">
        <v>73220</v>
      </c>
      <c r="I593" s="18">
        <v>152967.5</v>
      </c>
      <c r="J593" s="18">
        <v>160832.51999999999</v>
      </c>
      <c r="K593" s="80">
        <f t="shared" si="48"/>
        <v>387020.02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25344.5</v>
      </c>
      <c r="K594" s="80">
        <f t="shared" si="48"/>
        <v>25344.5</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3427.82</v>
      </c>
      <c r="J595" s="18">
        <v>9305.68</v>
      </c>
      <c r="K595" s="80">
        <f t="shared" si="48"/>
        <v>12733.5</v>
      </c>
      <c r="L595" s="23" t="s">
        <v>288</v>
      </c>
      <c r="M595" s="8"/>
      <c r="N595" s="165"/>
    </row>
    <row r="596" spans="1:14" s="3" customFormat="1" ht="12.2" customHeight="1" x14ac:dyDescent="0.15">
      <c r="A596" s="103" t="s">
        <v>652</v>
      </c>
      <c r="B596" s="22">
        <v>23</v>
      </c>
      <c r="C596" s="22">
        <v>5</v>
      </c>
      <c r="D596" s="2" t="s">
        <v>432</v>
      </c>
      <c r="E596" s="22"/>
      <c r="F596" s="78">
        <v>2725</v>
      </c>
      <c r="G596" s="79" t="s">
        <v>97</v>
      </c>
      <c r="H596" s="18">
        <v>560.5</v>
      </c>
      <c r="I596" s="18">
        <v>589.25</v>
      </c>
      <c r="J596" s="18">
        <v>1852.75</v>
      </c>
      <c r="K596" s="80">
        <f t="shared" si="48"/>
        <v>3002.5</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166.72</v>
      </c>
      <c r="I598" s="18">
        <v>5799.42</v>
      </c>
      <c r="J598" s="18">
        <v>13734.96</v>
      </c>
      <c r="K598" s="80">
        <f t="shared" si="48"/>
        <v>19701.099999999999</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215022.22</v>
      </c>
      <c r="I599" s="81">
        <f>SUM(I592:I598)</f>
        <v>197433.99000000002</v>
      </c>
      <c r="J599" s="81">
        <f>SUM(J592:J598)</f>
        <v>282845.41000000003</v>
      </c>
      <c r="K599" s="81">
        <f>SUM(K592:K598)</f>
        <v>695301.62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34686.379999999997</v>
      </c>
      <c r="I605" s="18">
        <v>1690.64</v>
      </c>
      <c r="J605" s="18">
        <v>2401.61</v>
      </c>
      <c r="K605" s="80">
        <f>SUM(H605:J605)</f>
        <v>38778.629999999997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34686.379999999997</v>
      </c>
      <c r="I606" s="81">
        <f>SUM(I603:I605)</f>
        <v>1690.64</v>
      </c>
      <c r="J606" s="81">
        <f>SUM(J603:J605)</f>
        <v>2401.61</v>
      </c>
      <c r="K606" s="81">
        <f>SUM(K603:K605)</f>
        <v>38778.629999999997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809695.07000000007</v>
      </c>
      <c r="H618" s="80">
        <f>SUM(F52)</f>
        <v>809695.07000000007</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189817.00999999998</v>
      </c>
      <c r="H619" s="80">
        <f>SUM(G52)</f>
        <v>189817.01</v>
      </c>
      <c r="I619" s="87" t="s">
        <v>875</v>
      </c>
      <c r="J619" s="80">
        <f>G619-H619</f>
        <v>0</v>
      </c>
      <c r="K619" s="80"/>
      <c r="L619" s="80"/>
      <c r="M619" s="8"/>
    </row>
    <row r="620" spans="1:14" s="3" customFormat="1" ht="12.2" customHeight="1" x14ac:dyDescent="0.15">
      <c r="A620" s="74"/>
      <c r="B620" s="22"/>
      <c r="C620" s="22"/>
      <c r="D620" s="22"/>
      <c r="E620" s="22"/>
      <c r="F620" s="87" t="s">
        <v>685</v>
      </c>
      <c r="G620" s="80">
        <f>SUM(H19)</f>
        <v>625106.12</v>
      </c>
      <c r="H620" s="80">
        <f>SUM(H52)</f>
        <v>625106.12</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843591.17999999993</v>
      </c>
      <c r="H622" s="80">
        <f>SUM(J52)</f>
        <v>843591.17999999993</v>
      </c>
      <c r="I622" s="87" t="s">
        <v>878</v>
      </c>
      <c r="J622" s="80">
        <f>G622-H622</f>
        <v>0</v>
      </c>
      <c r="K622" s="80"/>
      <c r="L622" s="80"/>
      <c r="M622" s="8"/>
    </row>
    <row r="623" spans="1:14" s="3" customFormat="1" ht="12.2" customHeight="1" x14ac:dyDescent="0.15">
      <c r="A623" s="74"/>
      <c r="B623" s="22"/>
      <c r="C623" s="22"/>
      <c r="D623" s="22"/>
      <c r="E623" s="22"/>
      <c r="F623" s="87" t="s">
        <v>864</v>
      </c>
      <c r="G623" s="80">
        <f>F51</f>
        <v>193998.23</v>
      </c>
      <c r="H623" s="80">
        <f>F477</f>
        <v>193998.22999999858</v>
      </c>
      <c r="I623" s="87" t="s">
        <v>101</v>
      </c>
      <c r="J623" s="80">
        <f t="shared" ref="J623:J656" si="50">G623-H623</f>
        <v>1.4260876923799515E-9</v>
      </c>
      <c r="K623" s="80"/>
      <c r="L623" s="80"/>
      <c r="M623" s="8"/>
    </row>
    <row r="624" spans="1:14" s="3" customFormat="1" ht="12.2" customHeight="1" x14ac:dyDescent="0.15">
      <c r="A624" s="74"/>
      <c r="B624" s="22"/>
      <c r="C624" s="85"/>
      <c r="D624" s="85"/>
      <c r="E624" s="85"/>
      <c r="F624" s="85" t="s">
        <v>865</v>
      </c>
      <c r="G624" s="80">
        <f>G51</f>
        <v>56522.59</v>
      </c>
      <c r="H624" s="80">
        <f>G477</f>
        <v>56522.590000000026</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843591.17999999993</v>
      </c>
      <c r="H627" s="80">
        <f>J477</f>
        <v>843591.17999999993</v>
      </c>
      <c r="I627" s="87" t="s">
        <v>105</v>
      </c>
      <c r="J627" s="80">
        <f t="shared" si="50"/>
        <v>0</v>
      </c>
      <c r="K627" s="67"/>
      <c r="L627" s="69"/>
      <c r="M627" s="8"/>
    </row>
    <row r="628" spans="1:13" s="3" customFormat="1" ht="12.2" customHeight="1" x14ac:dyDescent="0.15">
      <c r="A628" s="21"/>
      <c r="B628" s="22"/>
      <c r="C628" s="22"/>
      <c r="D628" s="22"/>
      <c r="E628" s="22"/>
      <c r="F628" s="86" t="s">
        <v>658</v>
      </c>
      <c r="G628" s="80">
        <f>F194</f>
        <v>9680862.3399999999</v>
      </c>
      <c r="H628" s="80">
        <f>SUM(F469)</f>
        <v>9680862.3399999999</v>
      </c>
      <c r="I628" s="87" t="s">
        <v>106</v>
      </c>
      <c r="J628" s="80">
        <f>G628-H628</f>
        <v>0</v>
      </c>
      <c r="K628" s="67"/>
      <c r="L628" s="69"/>
      <c r="M628" s="8"/>
    </row>
    <row r="629" spans="1:13" s="3" customFormat="1" ht="12.2" customHeight="1" x14ac:dyDescent="0.15">
      <c r="A629" s="21"/>
      <c r="B629" s="22"/>
      <c r="C629" s="22"/>
      <c r="D629" s="22"/>
      <c r="E629" s="22"/>
      <c r="F629" s="86" t="s">
        <v>659</v>
      </c>
      <c r="G629" s="80">
        <f>G194</f>
        <v>307452.3</v>
      </c>
      <c r="H629" s="80">
        <f>SUM(G469)</f>
        <v>307452.3</v>
      </c>
      <c r="I629" s="87" t="s">
        <v>107</v>
      </c>
      <c r="J629" s="80">
        <f>G629-H629</f>
        <v>0</v>
      </c>
      <c r="K629" s="67"/>
      <c r="L629" s="69"/>
      <c r="M629" s="8"/>
    </row>
    <row r="630" spans="1:13" s="3" customFormat="1" ht="12.2" customHeight="1" x14ac:dyDescent="0.15">
      <c r="A630" s="21"/>
      <c r="B630" s="22"/>
      <c r="C630" s="22"/>
      <c r="D630" s="22"/>
      <c r="E630" s="22"/>
      <c r="F630" s="86" t="s">
        <v>660</v>
      </c>
      <c r="G630" s="80">
        <f>H194</f>
        <v>1180879.0599999998</v>
      </c>
      <c r="H630" s="80">
        <f>SUM(H469)</f>
        <v>1180879.0599999998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-7919.3300000000017</v>
      </c>
      <c r="H632" s="80">
        <f>SUM(J469)</f>
        <v>-7919.3300000000017</v>
      </c>
      <c r="I632" s="87" t="s">
        <v>110</v>
      </c>
      <c r="J632" s="80">
        <f>G632-H632</f>
        <v>0</v>
      </c>
      <c r="K632" s="67"/>
      <c r="L632" s="69"/>
      <c r="M632" s="8"/>
    </row>
    <row r="633" spans="1:13" s="3" customFormat="1" ht="12.2" customHeight="1" x14ac:dyDescent="0.15">
      <c r="A633" s="21"/>
      <c r="B633" s="22"/>
      <c r="C633" s="22"/>
      <c r="D633" s="22"/>
      <c r="E633" s="22"/>
      <c r="F633" s="86" t="s">
        <v>394</v>
      </c>
      <c r="G633" s="80">
        <f>SUM(L272)</f>
        <v>10276496.300000001</v>
      </c>
      <c r="H633" s="80">
        <f>SUM(F473)</f>
        <v>10276496.300000001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1752500.78</v>
      </c>
      <c r="H634" s="80">
        <f>SUM(H473)</f>
        <v>1752500.78</v>
      </c>
      <c r="I634" s="87" t="s">
        <v>112</v>
      </c>
      <c r="J634" s="80">
        <f>G634-H634</f>
        <v>0</v>
      </c>
      <c r="K634" s="67"/>
      <c r="L634" s="69"/>
      <c r="M634" s="8"/>
    </row>
    <row r="635" spans="1:13" s="124" customFormat="1" ht="12.2" customHeight="1" x14ac:dyDescent="0.15">
      <c r="A635" s="21"/>
      <c r="B635" s="22"/>
      <c r="C635" s="22"/>
      <c r="D635" s="22"/>
      <c r="E635" s="22"/>
      <c r="F635" s="99" t="s">
        <v>247</v>
      </c>
      <c r="G635" s="80">
        <f>I363</f>
        <v>27503.68</v>
      </c>
      <c r="H635" s="80">
        <f>I370</f>
        <v>27503.680000000004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344403.68</v>
      </c>
      <c r="H636" s="80">
        <f>SUM(G473)</f>
        <v>344403.68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-7919.33</v>
      </c>
      <c r="H638" s="108">
        <f>SUM(J469)</f>
        <v>-7919.3300000000017</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34452.19</v>
      </c>
      <c r="H639" s="108">
        <f>SUM(J473)</f>
        <v>34452.19</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648505.23</v>
      </c>
      <c r="H641" s="80">
        <f>SUM(G462)</f>
        <v>648505.23</v>
      </c>
      <c r="I641" s="87" t="s">
        <v>841</v>
      </c>
      <c r="J641" s="80">
        <f t="shared" si="50"/>
        <v>0</v>
      </c>
      <c r="K641" s="67"/>
      <c r="L641" s="69"/>
      <c r="M641" s="8"/>
    </row>
    <row r="642" spans="1:13" s="3" customFormat="1" ht="12.2" customHeight="1" x14ac:dyDescent="0.15">
      <c r="A642" s="21"/>
      <c r="B642" s="22"/>
      <c r="C642" s="22"/>
      <c r="D642" s="22"/>
      <c r="E642" s="22"/>
      <c r="F642" s="86" t="s">
        <v>120</v>
      </c>
      <c r="G642" s="80">
        <f>SUM(H447)</f>
        <v>195085.95</v>
      </c>
      <c r="H642" s="80">
        <f>SUM(H462)</f>
        <v>195085.95</v>
      </c>
      <c r="I642" s="87" t="s">
        <v>842</v>
      </c>
      <c r="J642" s="80">
        <f t="shared" si="50"/>
        <v>0</v>
      </c>
      <c r="K642" s="67"/>
      <c r="L642" s="69"/>
      <c r="M642" s="8"/>
    </row>
    <row r="643" spans="1:13" s="3" customFormat="1" ht="12.2" customHeight="1" x14ac:dyDescent="0.15">
      <c r="A643" s="21"/>
      <c r="B643" s="22"/>
      <c r="C643" s="22"/>
      <c r="D643" s="22"/>
      <c r="E643" s="22"/>
      <c r="F643" s="86" t="s">
        <v>121</v>
      </c>
      <c r="G643" s="80">
        <f>SUM(I447)</f>
        <v>843591.17999999993</v>
      </c>
      <c r="H643" s="80">
        <f>SUM(I462)</f>
        <v>843591.17999999993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7072.16</v>
      </c>
      <c r="H645" s="80">
        <f>H409</f>
        <v>7072.16</v>
      </c>
      <c r="I645" s="87" t="s">
        <v>480</v>
      </c>
      <c r="J645" s="80">
        <f t="shared" si="50"/>
        <v>0</v>
      </c>
      <c r="K645" s="67"/>
      <c r="L645" s="69"/>
      <c r="M645" s="8"/>
    </row>
    <row r="646" spans="1:13" s="3" customFormat="1" ht="12.2" customHeight="1" x14ac:dyDescent="0.15">
      <c r="A646" s="21"/>
      <c r="B646" s="22"/>
      <c r="C646" s="22"/>
      <c r="D646" s="22"/>
      <c r="E646" s="22"/>
      <c r="F646" s="86" t="s">
        <v>664</v>
      </c>
      <c r="G646" s="80">
        <f>J184</f>
        <v>3000</v>
      </c>
      <c r="H646" s="80">
        <f>G409</f>
        <v>3000</v>
      </c>
      <c r="I646" s="87" t="s">
        <v>481</v>
      </c>
      <c r="J646" s="80">
        <f t="shared" si="50"/>
        <v>0</v>
      </c>
      <c r="K646" s="67"/>
      <c r="L646" s="69"/>
      <c r="M646" s="8"/>
    </row>
    <row r="647" spans="1:13" s="3" customFormat="1" ht="12.2" customHeight="1" x14ac:dyDescent="0.15">
      <c r="A647" s="21"/>
      <c r="B647" s="22"/>
      <c r="C647" s="22"/>
      <c r="D647" s="22"/>
      <c r="E647" s="22"/>
      <c r="F647" s="86" t="s">
        <v>662</v>
      </c>
      <c r="G647" s="80">
        <f>J194</f>
        <v>-7919.3300000000017</v>
      </c>
      <c r="H647" s="80">
        <f>L409</f>
        <v>-7919.33</v>
      </c>
      <c r="I647" s="87" t="s">
        <v>477</v>
      </c>
      <c r="J647" s="80">
        <f t="shared" si="50"/>
        <v>0</v>
      </c>
      <c r="K647" s="67"/>
      <c r="L647" s="69"/>
      <c r="M647" s="8"/>
    </row>
    <row r="648" spans="1:13" s="3" customFormat="1" ht="12.2" customHeight="1" x14ac:dyDescent="0.15">
      <c r="A648" s="21"/>
      <c r="B648" s="22"/>
      <c r="C648" s="22"/>
      <c r="D648" s="22"/>
      <c r="E648" s="22"/>
      <c r="F648" s="86" t="s">
        <v>51</v>
      </c>
      <c r="G648" s="80">
        <f>K599</f>
        <v>695301.62</v>
      </c>
      <c r="H648" s="80">
        <f>L209+L227+L245</f>
        <v>695301.61999999988</v>
      </c>
      <c r="I648" s="87" t="s">
        <v>396</v>
      </c>
      <c r="J648" s="80">
        <f t="shared" si="50"/>
        <v>0</v>
      </c>
      <c r="K648" s="67"/>
      <c r="L648" s="69"/>
      <c r="M648" s="8"/>
    </row>
    <row r="649" spans="1:13" s="3" customFormat="1" ht="12.2" customHeight="1" x14ac:dyDescent="0.15">
      <c r="A649" s="21"/>
      <c r="B649" s="22"/>
      <c r="C649" s="22"/>
      <c r="D649" s="22"/>
      <c r="E649" s="22"/>
      <c r="F649" s="86" t="s">
        <v>52</v>
      </c>
      <c r="G649" s="80">
        <f>K606</f>
        <v>38778.629999999997</v>
      </c>
      <c r="H649" s="80">
        <f>(J258+J339)-(J256+J337)</f>
        <v>38778.630000000005</v>
      </c>
      <c r="I649" s="87" t="s">
        <v>699</v>
      </c>
      <c r="J649" s="80">
        <f t="shared" si="50"/>
        <v>0</v>
      </c>
      <c r="K649" s="67"/>
      <c r="L649" s="69"/>
      <c r="M649" s="8"/>
    </row>
    <row r="650" spans="1:13" s="3" customFormat="1" ht="12.2" customHeight="1" x14ac:dyDescent="0.15">
      <c r="A650" s="21"/>
      <c r="B650" s="22"/>
      <c r="C650" s="22"/>
      <c r="D650" s="22"/>
      <c r="E650" s="22"/>
      <c r="F650" s="86" t="s">
        <v>387</v>
      </c>
      <c r="G650" s="80">
        <f>L209</f>
        <v>215022.22</v>
      </c>
      <c r="H650" s="80">
        <f>H599</f>
        <v>215022.22</v>
      </c>
      <c r="I650" s="87" t="s">
        <v>388</v>
      </c>
      <c r="J650" s="80">
        <f t="shared" si="50"/>
        <v>0</v>
      </c>
      <c r="K650" s="67"/>
      <c r="L650" s="69"/>
      <c r="M650" s="8"/>
    </row>
    <row r="651" spans="1:13" s="3" customFormat="1" ht="12.2" customHeight="1" x14ac:dyDescent="0.15">
      <c r="A651" s="21"/>
      <c r="B651" s="22"/>
      <c r="C651" s="22"/>
      <c r="D651" s="22"/>
      <c r="E651" s="22"/>
      <c r="F651" s="86" t="s">
        <v>392</v>
      </c>
      <c r="G651" s="80">
        <f>L227</f>
        <v>197433.99</v>
      </c>
      <c r="H651" s="80">
        <f>I599</f>
        <v>197433.99000000002</v>
      </c>
      <c r="I651" s="87" t="s">
        <v>389</v>
      </c>
      <c r="J651" s="80">
        <f t="shared" si="50"/>
        <v>0</v>
      </c>
      <c r="K651" s="67"/>
      <c r="L651" s="69"/>
      <c r="M651" s="8"/>
    </row>
    <row r="652" spans="1:13" s="3" customFormat="1" ht="12.2" customHeight="1" x14ac:dyDescent="0.15">
      <c r="A652" s="21"/>
      <c r="B652" s="22"/>
      <c r="C652" s="22"/>
      <c r="D652" s="22"/>
      <c r="E652" s="22"/>
      <c r="F652" s="86" t="s">
        <v>393</v>
      </c>
      <c r="G652" s="80">
        <f>L245</f>
        <v>282845.40999999997</v>
      </c>
      <c r="H652" s="80">
        <f>J599</f>
        <v>282845.41000000003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3000</v>
      </c>
      <c r="H656" s="80">
        <f>K267+K348</f>
        <v>3000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5548966.5</v>
      </c>
      <c r="G661" s="13">
        <f>(L230+L310+L360)</f>
        <v>2547444.66</v>
      </c>
      <c r="H661" s="13">
        <f>(L248+L329+L361)</f>
        <v>3516079.5999999996</v>
      </c>
      <c r="I661" s="13">
        <f>SUM(F661:H661)</f>
        <v>11612490.76</v>
      </c>
      <c r="J661" s="13"/>
      <c r="K661" s="13"/>
      <c r="L661" s="13"/>
      <c r="M661" s="9"/>
    </row>
    <row r="662" spans="1:13" s="3" customFormat="1" ht="12.2" customHeight="1" x14ac:dyDescent="0.2">
      <c r="A662" s="1" t="s">
        <v>127</v>
      </c>
      <c r="F662" s="13">
        <f>(L359/IF(SUM(L359:L361)=0,1,SUM(L359:L361))*(SUM(G97:G110)))</f>
        <v>42407.47</v>
      </c>
      <c r="G662" s="13">
        <f>(L360/IF(SUM(L359:L361)=0,1,SUM(L359:L361))*(SUM(G97:G110)))</f>
        <v>18235.211804480718</v>
      </c>
      <c r="H662" s="13">
        <f>(L361/IF(SUM(L359:L361)=0,1,SUM(L359:L361))*(SUM(G97:G110)))</f>
        <v>24172.258195519284</v>
      </c>
      <c r="I662" s="13">
        <f>SUM(F662:H662)</f>
        <v>84814.94</v>
      </c>
      <c r="J662"/>
      <c r="K662" s="13"/>
      <c r="L662" s="13"/>
      <c r="M662" s="8"/>
    </row>
    <row r="663" spans="1:13" s="3" customFormat="1" ht="12.2" customHeight="1" x14ac:dyDescent="0.2">
      <c r="A663" s="1" t="s">
        <v>128</v>
      </c>
      <c r="F663" s="13">
        <f>(L209+L288)-(J209+J288)</f>
        <v>215492.22</v>
      </c>
      <c r="G663" s="13">
        <f>(L227+L307)-(J227+J307)</f>
        <v>197433.99</v>
      </c>
      <c r="H663" s="13">
        <f>(L245+L326)-(J245+J326)</f>
        <v>295314.90999999997</v>
      </c>
      <c r="I663" s="13">
        <f>SUM(F663:H663)</f>
        <v>708241.11999999988</v>
      </c>
      <c r="J663"/>
      <c r="K663" s="13"/>
      <c r="L663" s="13"/>
      <c r="M663" s="9"/>
    </row>
    <row r="664" spans="1:13" s="3" customFormat="1" ht="12.2" customHeight="1" x14ac:dyDescent="0.15">
      <c r="A664" s="142" t="s">
        <v>129</v>
      </c>
      <c r="B664" s="124"/>
      <c r="C664" s="124"/>
      <c r="D664" s="124"/>
      <c r="E664" s="124"/>
      <c r="F664" s="143">
        <f>SUM(F576:F588)+SUM(H603:H605)+SUM(L612)</f>
        <v>68890.239999999991</v>
      </c>
      <c r="G664" s="143">
        <f>SUM(G576:G588)+SUM(I603:I605)+L613</f>
        <v>290344.68</v>
      </c>
      <c r="H664" s="143">
        <f>SUM(H576:H588)+SUM(J603:J605)+L614</f>
        <v>351066.67999999993</v>
      </c>
      <c r="I664" s="13">
        <f>SUM(F664:H664)</f>
        <v>710301.59999999986</v>
      </c>
      <c r="J664" s="13"/>
      <c r="K664" s="13"/>
      <c r="L664" s="13"/>
      <c r="M664" s="9"/>
    </row>
    <row r="665" spans="1:13" s="3" customFormat="1" ht="12.2" customHeight="1" x14ac:dyDescent="0.15">
      <c r="A665" s="1" t="s">
        <v>130</v>
      </c>
      <c r="F665" s="13">
        <f>F661-SUM(F662:F664)</f>
        <v>5222176.57</v>
      </c>
      <c r="G665" s="13">
        <f>G661-SUM(G662:G664)</f>
        <v>2041430.7781955195</v>
      </c>
      <c r="H665" s="13">
        <f>H661-SUM(H662:H664)</f>
        <v>2845525.7518044803</v>
      </c>
      <c r="I665" s="13">
        <f>I661-SUM(I662:I664)</f>
        <v>10109133.1</v>
      </c>
      <c r="J665" s="13"/>
      <c r="K665" s="13"/>
      <c r="L665" s="13"/>
      <c r="M665" s="8"/>
    </row>
    <row r="666" spans="1:13" s="3" customFormat="1" ht="12.2" customHeight="1" x14ac:dyDescent="0.2">
      <c r="A666" s="1" t="s">
        <v>131</v>
      </c>
      <c r="F666" s="183">
        <v>211.49</v>
      </c>
      <c r="G666" s="184">
        <v>134.62</v>
      </c>
      <c r="H666" s="184">
        <v>151.46</v>
      </c>
      <c r="I666" s="13">
        <f>SUM(F666:H666)</f>
        <v>497.57000000000005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24692.31</v>
      </c>
      <c r="G668" s="13">
        <f>ROUND(G665/G666,2)</f>
        <v>15164.39</v>
      </c>
      <c r="H668" s="13">
        <f>ROUND(H665/H666,2)</f>
        <v>18787.310000000001</v>
      </c>
      <c r="I668" s="13">
        <f>ROUND(I665/I666,2)</f>
        <v>20317.009999999998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-7.66</v>
      </c>
      <c r="I671" s="13">
        <f>SUM(F671:H671)</f>
        <v>-7.66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24692.31</v>
      </c>
      <c r="G673" s="13">
        <f>ROUND((G665+G670)/(G666+G671),2)</f>
        <v>15164.39</v>
      </c>
      <c r="H673" s="13">
        <f>ROUND((H665+H670)/(H666+H671),2)</f>
        <v>19788.080000000002</v>
      </c>
      <c r="I673" s="13">
        <f>ROUND((I665+I670)/(I666+I671),2)</f>
        <v>20634.669999999998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36719.06</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34819.06</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1900</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Pittsfield</v>
      </c>
      <c r="C5" s="317"/>
      <c r="D5" s="317"/>
      <c r="E5" s="317"/>
      <c r="F5" s="317"/>
    </row>
    <row r="8" spans="1:9" ht="18" x14ac:dyDescent="0.25">
      <c r="A8" s="240" t="s">
        <v>1560</v>
      </c>
      <c r="F8" s="247" t="s">
        <v>1578</v>
      </c>
    </row>
    <row r="9" spans="1:9" ht="15" x14ac:dyDescent="0.2">
      <c r="A9" s="238" t="s">
        <v>1561</v>
      </c>
      <c r="B9" s="241">
        <f>'DOE25'!G97</f>
        <v>84814.94</v>
      </c>
      <c r="F9" s="238" t="s">
        <v>1574</v>
      </c>
    </row>
    <row r="10" spans="1:9" ht="15" x14ac:dyDescent="0.2">
      <c r="A10" s="238" t="s">
        <v>1562</v>
      </c>
      <c r="B10" s="241">
        <f>'DOE25'!G112-'DOE25'!G97</f>
        <v>6.1799999999930151</v>
      </c>
      <c r="F10" s="238" t="s">
        <v>1575</v>
      </c>
    </row>
    <row r="11" spans="1:9" ht="15" x14ac:dyDescent="0.2">
      <c r="A11" s="238" t="s">
        <v>1563</v>
      </c>
      <c r="B11" s="241">
        <f>'DOE25'!G140</f>
        <v>3841.01</v>
      </c>
      <c r="F11" s="238" t="s">
        <v>1576</v>
      </c>
    </row>
    <row r="12" spans="1:9" ht="15" x14ac:dyDescent="0.2">
      <c r="A12" s="238" t="s">
        <v>1564</v>
      </c>
      <c r="B12" s="241">
        <f>'DOE25'!G170</f>
        <v>218790.17</v>
      </c>
      <c r="F12" s="238" t="s">
        <v>1577</v>
      </c>
    </row>
    <row r="13" spans="1:9" ht="15" x14ac:dyDescent="0.2">
      <c r="A13" s="238" t="s">
        <v>1565</v>
      </c>
      <c r="B13" s="241">
        <f>'DOE25'!G193-'DOE25'!G180</f>
        <v>0</v>
      </c>
      <c r="F13" s="238" t="s">
        <v>1587</v>
      </c>
    </row>
    <row r="14" spans="1:9" ht="18" x14ac:dyDescent="0.25">
      <c r="A14" s="240" t="s">
        <v>732</v>
      </c>
      <c r="B14" s="242">
        <f>SUM(B9:B13)</f>
        <v>307452.3</v>
      </c>
    </row>
    <row r="16" spans="1:9" ht="18" x14ac:dyDescent="0.25">
      <c r="A16" s="240" t="s">
        <v>786</v>
      </c>
      <c r="F16" s="247" t="s">
        <v>1579</v>
      </c>
    </row>
    <row r="17" spans="1:6" ht="15" x14ac:dyDescent="0.2">
      <c r="A17" s="238" t="s">
        <v>1566</v>
      </c>
      <c r="B17" s="241">
        <f>'DOE25'!L363-'DOE25'!L362</f>
        <v>344403.68</v>
      </c>
      <c r="F17" s="238" t="s">
        <v>1580</v>
      </c>
    </row>
    <row r="18" spans="1:6" ht="15" x14ac:dyDescent="0.2">
      <c r="A18" s="238" t="s">
        <v>1567</v>
      </c>
      <c r="B18" s="251">
        <v>0</v>
      </c>
      <c r="F18" s="247" t="s">
        <v>1604</v>
      </c>
    </row>
    <row r="19" spans="1:6" ht="18" x14ac:dyDescent="0.25">
      <c r="A19" s="240" t="s">
        <v>725</v>
      </c>
      <c r="B19" s="242">
        <f>SUM(B17:B18)</f>
        <v>344403.68</v>
      </c>
    </row>
    <row r="21" spans="1:6" ht="18.75" thickBot="1" x14ac:dyDescent="0.3">
      <c r="A21" s="240" t="s">
        <v>1568</v>
      </c>
    </row>
    <row r="22" spans="1:6" ht="18.75" thickTop="1" x14ac:dyDescent="0.25">
      <c r="A22" s="240" t="s">
        <v>1569</v>
      </c>
      <c r="B22" s="246">
        <f>B14-B19</f>
        <v>-36951.380000000005</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93473.97</v>
      </c>
      <c r="F31" s="238" t="s">
        <v>1584</v>
      </c>
    </row>
    <row r="33" spans="1:6" ht="15" x14ac:dyDescent="0.2">
      <c r="A33" s="238" t="s">
        <v>1798</v>
      </c>
      <c r="B33" s="241">
        <f>'DOE25'!G477</f>
        <v>56522.590000000026</v>
      </c>
      <c r="F33" s="238" t="s">
        <v>1585</v>
      </c>
    </row>
    <row r="36" spans="1:6" ht="15" x14ac:dyDescent="0.2">
      <c r="A36" s="238" t="s">
        <v>1571</v>
      </c>
      <c r="B36" s="252">
        <v>26767.18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D19" sqref="D19"/>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Pittsfield</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2366426.34</v>
      </c>
      <c r="C9" s="167">
        <f>'DOE25'!G198+'DOE25'!G216+'DOE25'!G234+'DOE25'!G277+'DOE25'!G296+'DOE25'!G315</f>
        <v>1169178.5900000001</v>
      </c>
    </row>
    <row r="10" spans="1:3" x14ac:dyDescent="0.2">
      <c r="A10" t="s">
        <v>775</v>
      </c>
      <c r="B10" s="177">
        <v>2117461.7400000002</v>
      </c>
      <c r="C10" s="177">
        <v>1124618.18</v>
      </c>
    </row>
    <row r="11" spans="1:3" x14ac:dyDescent="0.2">
      <c r="A11" t="s">
        <v>776</v>
      </c>
      <c r="B11" s="177">
        <v>181469.6</v>
      </c>
      <c r="C11" s="177">
        <v>39397.040000000001</v>
      </c>
    </row>
    <row r="12" spans="1:3" x14ac:dyDescent="0.2">
      <c r="A12" t="s">
        <v>777</v>
      </c>
      <c r="B12" s="177">
        <v>67495</v>
      </c>
      <c r="C12" s="177">
        <v>5163.37</v>
      </c>
    </row>
    <row r="13" spans="1:3" x14ac:dyDescent="0.2">
      <c r="A13" t="str">
        <f>IF(B9=B13,IF(C9=C13,"Check Total OK","Check Total Error"),"Check Total Error")</f>
        <v>Check Total OK</v>
      </c>
      <c r="B13" s="169">
        <f>SUM(B10:B12)</f>
        <v>2366426.3400000003</v>
      </c>
      <c r="C13" s="169">
        <f>SUM(C10:C12)</f>
        <v>1169178.5900000001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1443182.81</v>
      </c>
      <c r="C18" s="167">
        <f>'DOE25'!G199+'DOE25'!G217+'DOE25'!G235+'DOE25'!G278+'DOE25'!G297+'DOE25'!G316</f>
        <v>516904.82</v>
      </c>
    </row>
    <row r="19" spans="1:3" x14ac:dyDescent="0.2">
      <c r="A19" t="s">
        <v>775</v>
      </c>
      <c r="B19" s="177">
        <v>760459.41</v>
      </c>
      <c r="C19" s="177">
        <v>354685.57</v>
      </c>
    </row>
    <row r="20" spans="1:3" x14ac:dyDescent="0.2">
      <c r="A20" t="s">
        <v>776</v>
      </c>
      <c r="B20" s="177">
        <v>682723.4</v>
      </c>
      <c r="C20" s="177">
        <v>162219.25</v>
      </c>
    </row>
    <row r="21" spans="1:3" x14ac:dyDescent="0.2">
      <c r="A21" t="s">
        <v>777</v>
      </c>
      <c r="B21" s="177">
        <v>0</v>
      </c>
      <c r="C21" s="177">
        <v>0</v>
      </c>
    </row>
    <row r="22" spans="1:3" x14ac:dyDescent="0.2">
      <c r="A22" t="str">
        <f>IF(B18=B22,IF(C18=C22,"Check Total OK","Check Total Error"),"Check Total Error")</f>
        <v>Check Total OK</v>
      </c>
      <c r="B22" s="169">
        <f>SUM(B19:B21)</f>
        <v>1443182.81</v>
      </c>
      <c r="C22" s="169">
        <f>SUM(C19:C21)</f>
        <v>516904.82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83316.86</v>
      </c>
      <c r="C36" s="173">
        <f>'DOE25'!G201+'DOE25'!G219+'DOE25'!G237+'DOE25'!G280+'DOE25'!G299+'DOE25'!G318</f>
        <v>11326.919999999998</v>
      </c>
    </row>
    <row r="37" spans="1:3" x14ac:dyDescent="0.2">
      <c r="A37" t="s">
        <v>775</v>
      </c>
      <c r="B37" s="177">
        <v>26674.46</v>
      </c>
      <c r="C37" s="177">
        <v>6663.38</v>
      </c>
    </row>
    <row r="38" spans="1:3" x14ac:dyDescent="0.2">
      <c r="A38" t="s">
        <v>776</v>
      </c>
      <c r="B38" s="177">
        <v>2350</v>
      </c>
      <c r="C38" s="177">
        <v>510.18</v>
      </c>
    </row>
    <row r="39" spans="1:3" x14ac:dyDescent="0.2">
      <c r="A39" t="s">
        <v>777</v>
      </c>
      <c r="B39" s="177">
        <v>54292.4</v>
      </c>
      <c r="C39" s="177">
        <v>4153.3599999999997</v>
      </c>
    </row>
    <row r="40" spans="1:3" x14ac:dyDescent="0.2">
      <c r="A40" t="str">
        <f>IF(B36=B40,IF(C36=C40,"Check Total OK","Check Total Error"),"Check Total Error")</f>
        <v>Check Total OK</v>
      </c>
      <c r="B40" s="169">
        <f>SUM(B37:B39)</f>
        <v>83316.86</v>
      </c>
      <c r="C40" s="169">
        <f>SUM(C37:C39)</f>
        <v>11326.92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Pittsfield</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5888608.3100000005</v>
      </c>
      <c r="D5" s="19">
        <f>SUM('DOE25'!L198:L201)+SUM('DOE25'!L216:L219)+SUM('DOE25'!L234:L237)-F5-G5-H5</f>
        <v>5864197.2800000003</v>
      </c>
      <c r="E5" s="180"/>
      <c r="F5" s="181"/>
      <c r="G5" s="19">
        <f>SUM('DOE25'!J198:J201)+SUM('DOE25'!J216:J219)+SUM('DOE25'!J234:J237)</f>
        <v>11318.61</v>
      </c>
      <c r="H5" s="19">
        <f>SUM('DOE25'!K198:K201)+SUM('DOE25'!K216:K219)+SUM('DOE25'!K234:K237)</f>
        <v>13092.42</v>
      </c>
      <c r="I5" s="192"/>
    </row>
    <row r="6" spans="1:9" x14ac:dyDescent="0.2">
      <c r="A6" s="31">
        <v>2100</v>
      </c>
      <c r="B6" t="s">
        <v>796</v>
      </c>
      <c r="C6" s="206">
        <f t="shared" si="0"/>
        <v>918018.54</v>
      </c>
      <c r="D6" s="19">
        <f>'DOE25'!L203+'DOE25'!L221+'DOE25'!L239-F6-G6-H6</f>
        <v>917733.08000000007</v>
      </c>
      <c r="E6" s="180"/>
      <c r="F6" s="181"/>
      <c r="G6" s="19">
        <f>'DOE25'!J203+'DOE25'!J221+'DOE25'!J239</f>
        <v>0</v>
      </c>
      <c r="H6" s="19">
        <f>'DOE25'!K203+'DOE25'!K221+'DOE25'!K239</f>
        <v>285.46000000000004</v>
      </c>
      <c r="I6" s="192"/>
    </row>
    <row r="7" spans="1:9" x14ac:dyDescent="0.2">
      <c r="A7" s="31">
        <v>2200</v>
      </c>
      <c r="B7" t="s">
        <v>820</v>
      </c>
      <c r="C7" s="206">
        <f t="shared" si="0"/>
        <v>487277.06</v>
      </c>
      <c r="D7" s="19">
        <f>'DOE25'!L204+'DOE25'!L222+'DOE25'!L240-F7-G7-H7</f>
        <v>463339.07</v>
      </c>
      <c r="E7" s="180"/>
      <c r="F7" s="181"/>
      <c r="G7" s="19">
        <f>'DOE25'!J204+'DOE25'!J222+'DOE25'!J240</f>
        <v>23937.99</v>
      </c>
      <c r="H7" s="19">
        <f>'DOE25'!K204+'DOE25'!K222+'DOE25'!K240</f>
        <v>0</v>
      </c>
      <c r="I7" s="192"/>
    </row>
    <row r="8" spans="1:9" x14ac:dyDescent="0.2">
      <c r="A8" s="31">
        <v>2300</v>
      </c>
      <c r="B8" t="s">
        <v>797</v>
      </c>
      <c r="C8" s="206">
        <f t="shared" si="0"/>
        <v>353964.67000000004</v>
      </c>
      <c r="D8" s="180"/>
      <c r="E8" s="19">
        <f>'DOE25'!L205+'DOE25'!L223+'DOE25'!L241-F8-G8-H8-D9-D11</f>
        <v>347077.72000000003</v>
      </c>
      <c r="F8" s="181"/>
      <c r="G8" s="19">
        <f>'DOE25'!J205+'DOE25'!J223+'DOE25'!J241</f>
        <v>0</v>
      </c>
      <c r="H8" s="19">
        <f>'DOE25'!K205+'DOE25'!K223+'DOE25'!K241</f>
        <v>6886.95</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990103.33000000007</v>
      </c>
      <c r="D12" s="19">
        <f>'DOE25'!L206+'DOE25'!L224+'DOE25'!L242-F12-G12-H12</f>
        <v>981365.88000000012</v>
      </c>
      <c r="E12" s="180"/>
      <c r="F12" s="181"/>
      <c r="G12" s="19">
        <f>'DOE25'!J206+'DOE25'!J224+'DOE25'!J242</f>
        <v>0</v>
      </c>
      <c r="H12" s="19">
        <f>'DOE25'!K206+'DOE25'!K224+'DOE25'!K242</f>
        <v>8737.4500000000007</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940222.77</v>
      </c>
      <c r="D14" s="19">
        <f>'DOE25'!L208+'DOE25'!L226+'DOE25'!L244-F14-G14-H14</f>
        <v>936700.74</v>
      </c>
      <c r="E14" s="180"/>
      <c r="F14" s="181"/>
      <c r="G14" s="19">
        <f>'DOE25'!J208+'DOE25'!J226+'DOE25'!J244</f>
        <v>3522.0299999999997</v>
      </c>
      <c r="H14" s="19">
        <f>'DOE25'!K208+'DOE25'!K226+'DOE25'!K244</f>
        <v>0</v>
      </c>
      <c r="I14" s="192"/>
    </row>
    <row r="15" spans="1:9" x14ac:dyDescent="0.2">
      <c r="A15" s="31">
        <v>2700</v>
      </c>
      <c r="B15" t="s">
        <v>799</v>
      </c>
      <c r="C15" s="206">
        <f t="shared" si="0"/>
        <v>695301.61999999988</v>
      </c>
      <c r="D15" s="19">
        <f>'DOE25'!L209+'DOE25'!L227+'DOE25'!L245-F15-G15-H15</f>
        <v>695301.61999999988</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757910</v>
      </c>
      <c r="D22" s="180"/>
      <c r="E22" s="180"/>
      <c r="F22" s="180"/>
      <c r="G22" s="19">
        <f>'DOE25'!L256+'DOE25'!L337</f>
        <v>757910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317026.95</v>
      </c>
      <c r="D29" s="212">
        <f>'DOE25'!L359+'DOE25'!L360+'DOE25'!L361-'DOE25'!I368-F29-G29-H29-F39</f>
        <v>317026.95</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994590.78</v>
      </c>
      <c r="D31" s="19">
        <f>'DOE25'!L291+'DOE25'!L310+'DOE25'!L329+'DOE25'!L334+'DOE25'!L335+'DOE25'!L336-F31-G31-H31</f>
        <v>984653.54</v>
      </c>
      <c r="E31" s="180"/>
      <c r="F31" s="181"/>
      <c r="G31" s="19">
        <f>'DOE25'!J291+'DOE25'!J310+'DOE25'!J329+'DOE25'!J334+'DOE25'!J335+'DOE25'!J336</f>
        <v>0</v>
      </c>
      <c r="H31" s="19">
        <f>'DOE25'!K291+'DOE25'!K310+'DOE25'!K329+'DOE25'!K334+'DOE25'!K335+'DOE25'!K336</f>
        <v>9937.24</v>
      </c>
      <c r="I31" s="192"/>
    </row>
    <row r="32" spans="1:9" ht="12" thickBot="1" x14ac:dyDescent="0.25">
      <c r="C32" s="207"/>
      <c r="G32" s="188"/>
      <c r="H32" s="188"/>
      <c r="I32" s="194"/>
    </row>
    <row r="33" spans="1:9" ht="12" thickTop="1" x14ac:dyDescent="0.2">
      <c r="B33" t="s">
        <v>809</v>
      </c>
      <c r="D33" s="182">
        <f t="shared" ref="D33:I33" si="1">SUM(D5:D31)</f>
        <v>11160318.16</v>
      </c>
      <c r="E33" s="182">
        <f t="shared" si="1"/>
        <v>347077.72000000003</v>
      </c>
      <c r="F33" s="182">
        <f t="shared" si="1"/>
        <v>0</v>
      </c>
      <c r="G33" s="182">
        <f t="shared" si="1"/>
        <v>796688.63</v>
      </c>
      <c r="H33" s="182">
        <f t="shared" si="1"/>
        <v>38939.520000000004</v>
      </c>
      <c r="I33" s="182">
        <f t="shared" si="1"/>
        <v>0</v>
      </c>
    </row>
    <row r="34" spans="1:9" ht="12" thickBot="1" x14ac:dyDescent="0.25"/>
    <row r="35" spans="1:9" ht="12" thickBot="1" x14ac:dyDescent="0.25">
      <c r="B35" s="188" t="s">
        <v>830</v>
      </c>
      <c r="D35" s="189">
        <f>E33</f>
        <v>347077.72000000003</v>
      </c>
      <c r="E35" s="185"/>
      <c r="F35" s="295" t="s">
        <v>1608</v>
      </c>
      <c r="G35" s="296"/>
      <c r="H35" s="296"/>
      <c r="I35" s="297"/>
    </row>
    <row r="36" spans="1:9" ht="12" thickTop="1" x14ac:dyDescent="0.2">
      <c r="B36" t="s">
        <v>810</v>
      </c>
      <c r="D36" s="19">
        <f>D33</f>
        <v>11160318.16</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A26" sqref="A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Pittsfield</v>
      </c>
      <c r="B2">
        <f>'DOE25'!B2</f>
        <v>439</v>
      </c>
      <c r="J2" s="224" t="s">
        <v>1808</v>
      </c>
      <c r="K2" s="309">
        <f>SUM('DOE25'!L198:L201)+SUM('DOE25'!L216:L219)+SUM('DOE25'!L234:L237)+SUM('DOE25'!L277:L280)+SUM('DOE25'!L296:L299)+SUM('DOE25'!L315:L318)</f>
        <v>6497336.1600000011</v>
      </c>
      <c r="L2" s="309">
        <f>'DOE25'!L203+'DOE25'!L221+'DOE25'!L239+'DOE25'!L282+'DOE25'!L301+'DOE25'!L320</f>
        <v>1054510.55</v>
      </c>
      <c r="M2" s="309">
        <f>'DOE25'!L204+'DOE25'!L222+'DOE25'!L240+'DOE25'!L283+'DOE25'!L302+'DOE25'!L321</f>
        <v>718108.55999999994</v>
      </c>
      <c r="N2" s="309">
        <f>'DOE25'!L206+'DOE25'!L224+'DOE25'!L242+'DOE25'!L285+'DOE25'!L304+'DOE25'!L323</f>
        <v>990103.33000000007</v>
      </c>
      <c r="O2" s="309">
        <f>'Salaries-Benefits'!B10+'Salaries-Benefits'!B12+'Salaries-Benefits'!B19+'Salaries-Benefits'!B21+'Salaries-Benefits'!B28+'Salaries-Benefits'!B30+'Salaries-Benefits'!B37+'Salaries-Benefits'!B39</f>
        <v>3026383.0100000002</v>
      </c>
      <c r="P2" s="309">
        <f>'Salaries-Benefits'!B11+'Salaries-Benefits'!B20+'Salaries-Benefits'!B29+'Salaries-Benefits'!B38</f>
        <v>866543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-6497336.1600000011</v>
      </c>
      <c r="L3" s="311">
        <f t="shared" ref="L3:P3" si="0">L21+L33+L43-L2</f>
        <v>-1054510.55</v>
      </c>
      <c r="M3" s="311">
        <f t="shared" si="0"/>
        <v>-718108.55999999994</v>
      </c>
      <c r="N3" s="311">
        <f t="shared" si="0"/>
        <v>-990103.33000000007</v>
      </c>
      <c r="O3" s="311">
        <f t="shared" si="0"/>
        <v>-3026383.0100000002</v>
      </c>
      <c r="P3" s="311">
        <f t="shared" si="0"/>
        <v>-866543</v>
      </c>
      <c r="Q3" s="310"/>
      <c r="R3" s="306"/>
      <c r="S3" s="215"/>
      <c r="T3" s="215"/>
      <c r="U3" s="216"/>
    </row>
    <row r="4" spans="1:21" ht="55.5" customHeight="1" thickBot="1" x14ac:dyDescent="0.25">
      <c r="A4" s="224" t="s">
        <v>1522</v>
      </c>
      <c r="B4" s="224" t="s">
        <v>1523</v>
      </c>
      <c r="C4" s="224" t="s">
        <v>896</v>
      </c>
      <c r="D4" s="224" t="s">
        <v>786</v>
      </c>
      <c r="E4" s="224" t="s">
        <v>786</v>
      </c>
      <c r="F4" s="228">
        <f>SUM(F5:F20)</f>
        <v>5376764.6600000001</v>
      </c>
      <c r="G4" s="229">
        <f>'DOE25'!L212+'DOE25'!L291</f>
        <v>5376764.6600000001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34203.86</v>
      </c>
      <c r="E5" s="220"/>
      <c r="F5" s="232">
        <f>D5+E5</f>
        <v>34203.86</v>
      </c>
      <c r="G5" s="223"/>
      <c r="H5" s="223"/>
      <c r="J5" s="223"/>
      <c r="K5" s="223"/>
      <c r="L5" s="223"/>
      <c r="M5" s="223"/>
      <c r="N5" s="223"/>
      <c r="O5" s="223"/>
      <c r="P5" s="223"/>
      <c r="Q5" s="223"/>
    </row>
    <row r="6" spans="1:21" x14ac:dyDescent="0.2">
      <c r="A6" t="str" cm="1">
        <f t="array" ref="A6">IFERROR(INDEX('School Tables'!$A$4:$G$325,'School Tables'!$J4,3),"")</f>
        <v>Pittsfield Elementary School</v>
      </c>
      <c r="B6" s="230">
        <f>IFERROR(VLOOKUP(A6,'School Tables'!$C$3:$D$365,2,FALSE),"")</f>
        <v>26595</v>
      </c>
      <c r="C6" s="223" t="str">
        <f>IFERROR(INDEX('School Tables'!$B$3:$B$365,MATCH('School Level Expenditures'!B6,'School Tables'!$D$3:$D$365,0)),"")</f>
        <v>Pittsfield</v>
      </c>
      <c r="D6" s="220">
        <v>4494972.05</v>
      </c>
      <c r="E6" s="220">
        <v>847588.75</v>
      </c>
      <c r="F6" s="232">
        <f t="shared" ref="F6:F20" si="1">D6+E6</f>
        <v>5342560.8</v>
      </c>
      <c r="G6" s="223"/>
      <c r="H6" s="223"/>
      <c r="J6" t="str">
        <f>A6</f>
        <v>Pittsfield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4529175.91</v>
      </c>
      <c r="E21" s="262">
        <f>SUM(E5:E20)</f>
        <v>847588.75</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2473397.87</v>
      </c>
      <c r="G24" s="229">
        <f>'DOE25'!L230+'DOE25'!L310</f>
        <v>2473397.87</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288654.03999999998</v>
      </c>
      <c r="E25" s="220"/>
      <c r="F25" s="232">
        <f>D25+E25</f>
        <v>288654.03999999998</v>
      </c>
      <c r="G25" s="223"/>
      <c r="H25" s="223"/>
      <c r="J25" s="223"/>
      <c r="K25" s="223"/>
      <c r="L25" s="224"/>
      <c r="M25" s="223"/>
      <c r="N25" s="223"/>
      <c r="O25" s="223"/>
      <c r="P25" s="223"/>
      <c r="Q25" s="223"/>
    </row>
    <row r="26" spans="1:17" x14ac:dyDescent="0.2">
      <c r="A26" t="str" cm="1">
        <f t="array" ref="A26">IFERROR(INDEX('School Tables'!$L$4:$R$75,'School Tables'!$U4,3),"")</f>
        <v>Pittsfield Middle School</v>
      </c>
      <c r="B26" s="230">
        <f>IFERROR(VLOOKUP(A26,'School Tables'!$N$4:$O$75,2,FALSE),"")</f>
        <v>26550</v>
      </c>
      <c r="C26" s="223" t="str">
        <f>IFERROR(INDEX('School Tables'!$M$4:$M$75,MATCH('School Level Expenditures'!A26,'School Tables'!$N$4:$N$75,0)),"")</f>
        <v>Pittsfield</v>
      </c>
      <c r="D26" s="220">
        <v>2121941.04</v>
      </c>
      <c r="E26" s="220">
        <v>62802.79</v>
      </c>
      <c r="F26" s="232">
        <f t="shared" ref="F26:F32" si="4">D26+E26</f>
        <v>2184743.83</v>
      </c>
      <c r="G26" s="223"/>
      <c r="H26" s="223"/>
      <c r="J26" t="str">
        <f t="shared" ref="J26:J32" si="5">A26</f>
        <v>Pittsfield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2410595.08</v>
      </c>
      <c r="E33" s="262">
        <f>SUM(E25:E32)</f>
        <v>62802.79</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3417924.5500000003</v>
      </c>
      <c r="G36" s="229">
        <f>'DOE25'!L248+'DOE25'!L329</f>
        <v>3417924.55</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348665.07</v>
      </c>
      <c r="E37" s="220"/>
      <c r="F37" s="232">
        <f t="shared" ref="F37:F42" si="7">D37+E37</f>
        <v>348665.07</v>
      </c>
      <c r="G37" s="223"/>
      <c r="H37" s="223"/>
      <c r="J37" s="223"/>
      <c r="K37" s="223"/>
      <c r="L37" s="224"/>
      <c r="M37" s="223"/>
      <c r="N37" s="223"/>
      <c r="O37" s="223"/>
      <c r="P37" s="223"/>
      <c r="Q37" s="223"/>
    </row>
    <row r="38" spans="1:18" x14ac:dyDescent="0.2">
      <c r="A38" t="str" cm="1">
        <f t="array" ref="A38">IFERROR(INDEX('School Tables'!$W$4:$AC$100,'School Tables'!$AF4,3),"")</f>
        <v>Pittsfield High School</v>
      </c>
      <c r="B38" s="230">
        <f>IFERROR(VLOOKUP(A38,'School Tables'!$Y$4:$Z$100,2,FALSE),"")</f>
        <v>22500</v>
      </c>
      <c r="C38" s="223" t="str">
        <f>IFERROR(INDEX('School Tables'!$X$4:$X$100,MATCH('School Level Expenditures'!A38,'School Tables'!$Y$4:$Y$100,0)),"")</f>
        <v>Pittsfield</v>
      </c>
      <c r="D38" s="220">
        <v>2985060.24</v>
      </c>
      <c r="E38" s="220">
        <v>84199.24</v>
      </c>
      <c r="F38" s="232">
        <f t="shared" si="7"/>
        <v>3069259.4800000004</v>
      </c>
      <c r="G38" s="223"/>
      <c r="H38" s="223"/>
      <c r="J38" t="str">
        <f t="shared" ref="J38:J42" si="8">A38</f>
        <v>Pittsfield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3333725.31</v>
      </c>
      <c r="E43" s="263">
        <f>SUM(E37:E42)</f>
        <v>84199.24</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Pittsfield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24771.360000000001</v>
      </c>
      <c r="D8" s="73">
        <f>'DOE25'!G9</f>
        <v>109658.68</v>
      </c>
      <c r="E8" s="73">
        <f>'DOE25'!H9</f>
        <v>0</v>
      </c>
      <c r="F8" s="73">
        <f>'DOE25'!I9</f>
        <v>0</v>
      </c>
      <c r="G8" s="73">
        <f>'DOE25'!J9</f>
        <v>0</v>
      </c>
      <c r="H8" s="13">
        <f>SUM(C8:G8)</f>
        <v>134430.03999999998</v>
      </c>
      <c r="I8" s="90"/>
    </row>
    <row r="9" spans="1:9" x14ac:dyDescent="0.2">
      <c r="A9" s="1" t="s">
        <v>140</v>
      </c>
      <c r="B9" s="6">
        <v>110</v>
      </c>
      <c r="C9" s="73">
        <f>'DOE25'!F10</f>
        <v>0</v>
      </c>
      <c r="D9" s="73">
        <f>'DOE25'!G10</f>
        <v>0</v>
      </c>
      <c r="E9" s="73">
        <f>'DOE25'!H10</f>
        <v>0</v>
      </c>
      <c r="F9" s="73">
        <f>'DOE25'!I10</f>
        <v>0</v>
      </c>
      <c r="G9" s="73">
        <f>'DOE25'!J10</f>
        <v>195085.95</v>
      </c>
      <c r="H9" s="13">
        <f t="shared" ref="H9:H18" si="0">SUM(C9:G9)</f>
        <v>195085.95</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731388.68</v>
      </c>
      <c r="D11" s="73">
        <f>'DOE25'!G12</f>
        <v>8032.33</v>
      </c>
      <c r="E11" s="73">
        <f>'DOE25'!H12</f>
        <v>0</v>
      </c>
      <c r="F11" s="73">
        <f>'DOE25'!I12</f>
        <v>0</v>
      </c>
      <c r="G11" s="73">
        <f>'DOE25'!J12</f>
        <v>2333.36</v>
      </c>
      <c r="H11" s="13">
        <f t="shared" si="0"/>
        <v>741754.37</v>
      </c>
      <c r="I11" s="90"/>
    </row>
    <row r="12" spans="1:9" x14ac:dyDescent="0.2">
      <c r="A12" s="1" t="s">
        <v>143</v>
      </c>
      <c r="B12" s="6">
        <v>140</v>
      </c>
      <c r="C12" s="73">
        <f>'DOE25'!F13</f>
        <v>0</v>
      </c>
      <c r="D12" s="73">
        <f>'DOE25'!G13</f>
        <v>43984.89</v>
      </c>
      <c r="E12" s="73">
        <f>'DOE25'!H13</f>
        <v>609483.23</v>
      </c>
      <c r="F12" s="73">
        <f>'DOE25'!I13</f>
        <v>0</v>
      </c>
      <c r="G12" s="73">
        <f>'DOE25'!J13</f>
        <v>646171.87</v>
      </c>
      <c r="H12" s="13">
        <f t="shared" si="0"/>
        <v>1299639.99</v>
      </c>
      <c r="I12" s="90"/>
    </row>
    <row r="13" spans="1:9" x14ac:dyDescent="0.2">
      <c r="A13" s="1" t="s">
        <v>144</v>
      </c>
      <c r="B13" s="6">
        <v>150</v>
      </c>
      <c r="C13" s="73">
        <f>'DOE25'!F14</f>
        <v>53535.03</v>
      </c>
      <c r="D13" s="73">
        <f>'DOE25'!G14</f>
        <v>12508.15</v>
      </c>
      <c r="E13" s="73">
        <f>'DOE25'!H14</f>
        <v>15622.89</v>
      </c>
      <c r="F13" s="73">
        <f>'DOE25'!I14</f>
        <v>0</v>
      </c>
      <c r="G13" s="73">
        <f>'DOE25'!J14</f>
        <v>0</v>
      </c>
      <c r="H13" s="13">
        <f t="shared" si="0"/>
        <v>81666.069999999992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15632.96</v>
      </c>
      <c r="E15" s="73">
        <f>'DOE25'!H16</f>
        <v>0</v>
      </c>
      <c r="F15" s="73">
        <f>'DOE25'!I16</f>
        <v>0</v>
      </c>
      <c r="G15" s="23" t="s">
        <v>288</v>
      </c>
      <c r="H15" s="13">
        <f t="shared" si="0"/>
        <v>15632.96</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809695.07000000007</v>
      </c>
      <c r="D18" s="38">
        <f>SUM(D8:D17)</f>
        <v>189817.00999999998</v>
      </c>
      <c r="E18" s="38">
        <f>SUM(E8:E17)</f>
        <v>625106.12</v>
      </c>
      <c r="F18" s="38">
        <f>SUM(F8:F17)</f>
        <v>0</v>
      </c>
      <c r="G18" s="38">
        <f>SUM(G8:G17)</f>
        <v>843591.17999999993</v>
      </c>
      <c r="H18" s="38">
        <f t="shared" si="0"/>
        <v>2468209.38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2333.36</v>
      </c>
      <c r="D21" s="73">
        <f>'DOE25'!G22</f>
        <v>133294.42000000001</v>
      </c>
      <c r="E21" s="73">
        <f>'DOE25'!H22</f>
        <v>606126.59</v>
      </c>
      <c r="F21" s="73">
        <f>'DOE25'!I22</f>
        <v>0</v>
      </c>
      <c r="G21" s="73">
        <f>'DOE25'!J22</f>
        <v>0</v>
      </c>
      <c r="H21" s="13">
        <f t="shared" ref="H21:H31" si="1">SUM(C21:G21)</f>
        <v>741754.37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125213.02</v>
      </c>
      <c r="D23" s="73">
        <f>'DOE25'!G24</f>
        <v>0</v>
      </c>
      <c r="E23" s="73">
        <f>'DOE25'!H24</f>
        <v>0</v>
      </c>
      <c r="F23" s="73">
        <f>'DOE25'!I24</f>
        <v>0</v>
      </c>
      <c r="G23" s="73">
        <f>'DOE25'!J24</f>
        <v>0</v>
      </c>
      <c r="H23" s="13">
        <f t="shared" si="1"/>
        <v>125213.02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488150.46</v>
      </c>
      <c r="D27" s="73">
        <f>'DOE25'!G28</f>
        <v>0</v>
      </c>
      <c r="E27" s="73">
        <f>'DOE25'!H28</f>
        <v>0</v>
      </c>
      <c r="F27" s="73">
        <f>'DOE25'!I28</f>
        <v>0</v>
      </c>
      <c r="G27" s="23" t="s">
        <v>288</v>
      </c>
      <c r="H27" s="13">
        <f t="shared" si="1"/>
        <v>488150.46</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18979.53</v>
      </c>
      <c r="F29" s="73">
        <f>'DOE25'!I30</f>
        <v>0</v>
      </c>
      <c r="G29" s="23" t="s">
        <v>288</v>
      </c>
      <c r="H29" s="13">
        <f t="shared" si="1"/>
        <v>18979.53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615696.84000000008</v>
      </c>
      <c r="D31" s="38">
        <f>SUM(D21:D30)</f>
        <v>133294.42000000001</v>
      </c>
      <c r="E31" s="38">
        <f>SUM(E21:E30)</f>
        <v>625106.12</v>
      </c>
      <c r="F31" s="38">
        <f>SUM(F21:F30)</f>
        <v>0</v>
      </c>
      <c r="G31" s="38">
        <f>SUM(G21:G30)</f>
        <v>0</v>
      </c>
      <c r="H31" s="38">
        <f t="shared" si="1"/>
        <v>1374097.3800000001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15632.96</v>
      </c>
      <c r="E34" s="73">
        <f>'DOE25'!H35</f>
        <v>0</v>
      </c>
      <c r="F34" s="73">
        <f>'DOE25'!I35</f>
        <v>0</v>
      </c>
      <c r="G34" s="23" t="s">
        <v>288</v>
      </c>
      <c r="H34" s="13">
        <f t="shared" ref="H34:H51" si="2">SUM(C34:G34)</f>
        <v>15632.96</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195085.95</v>
      </c>
      <c r="H36" s="13">
        <f t="shared" si="2"/>
        <v>195085.95</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150000</v>
      </c>
      <c r="D45" s="23" t="s">
        <v>288</v>
      </c>
      <c r="E45" s="23" t="s">
        <v>288</v>
      </c>
      <c r="F45" s="23" t="s">
        <v>288</v>
      </c>
      <c r="G45" s="23" t="s">
        <v>288</v>
      </c>
      <c r="H45" s="13">
        <f t="shared" si="2"/>
        <v>150000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40889.629999999997</v>
      </c>
      <c r="E47" s="73">
        <f>'DOE25'!H48</f>
        <v>0</v>
      </c>
      <c r="F47" s="73">
        <f>'DOE25'!I48</f>
        <v>0</v>
      </c>
      <c r="G47" s="73">
        <f>'DOE25'!J48</f>
        <v>648505.23</v>
      </c>
      <c r="H47" s="13">
        <f t="shared" si="2"/>
        <v>689394.86</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43998.23</v>
      </c>
      <c r="D49" s="23" t="s">
        <v>288</v>
      </c>
      <c r="E49" s="23" t="s">
        <v>288</v>
      </c>
      <c r="F49" s="23" t="s">
        <v>288</v>
      </c>
      <c r="G49" s="23" t="s">
        <v>288</v>
      </c>
      <c r="H49" s="13">
        <f t="shared" si="2"/>
        <v>43998.23</v>
      </c>
      <c r="I49" s="90"/>
    </row>
    <row r="50" spans="1:9" ht="12.75" thickTop="1" thickBot="1" x14ac:dyDescent="0.25">
      <c r="A50" s="35" t="s">
        <v>883</v>
      </c>
      <c r="B50" s="44"/>
      <c r="C50" s="38">
        <f>SUM(C34:C49)</f>
        <v>193998.23</v>
      </c>
      <c r="D50" s="38">
        <f>SUM(D34:D49)</f>
        <v>56522.59</v>
      </c>
      <c r="E50" s="38">
        <f>SUM(E34:E49)</f>
        <v>0</v>
      </c>
      <c r="F50" s="38">
        <f>SUM(F34:F49)</f>
        <v>0</v>
      </c>
      <c r="G50" s="38">
        <f>SUM(G34:G49)</f>
        <v>843591.17999999993</v>
      </c>
      <c r="H50" s="38">
        <f t="shared" si="2"/>
        <v>1094112</v>
      </c>
      <c r="I50" s="90"/>
    </row>
    <row r="51" spans="1:9" ht="12" thickTop="1" x14ac:dyDescent="0.2">
      <c r="A51" s="35" t="s">
        <v>884</v>
      </c>
      <c r="B51" s="2"/>
      <c r="C51" s="38">
        <f>C50+C31</f>
        <v>809695.07000000007</v>
      </c>
      <c r="D51" s="38">
        <f>D50+D31</f>
        <v>189817.01</v>
      </c>
      <c r="E51" s="38">
        <f>E50+E31</f>
        <v>625106.12</v>
      </c>
      <c r="F51" s="38">
        <f>F50+F31</f>
        <v>0</v>
      </c>
      <c r="G51" s="38">
        <f>G50+G31</f>
        <v>843591.17999999993</v>
      </c>
      <c r="H51" s="38">
        <f t="shared" si="2"/>
        <v>2468209.38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4054460</v>
      </c>
      <c r="D56" s="73">
        <f>'DOE25'!G60</f>
        <v>0</v>
      </c>
      <c r="E56" s="73">
        <f>'DOE25'!H60</f>
        <v>0</v>
      </c>
      <c r="F56" s="73">
        <f>'DOE25'!I60</f>
        <v>0</v>
      </c>
      <c r="G56" s="73">
        <f>'DOE25'!J60</f>
        <v>0</v>
      </c>
      <c r="H56" s="13">
        <f t="shared" ref="H56:H63" si="3">SUM(C56:G56)</f>
        <v>4054460</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132.75</v>
      </c>
      <c r="D59" s="73">
        <f>'DOE25'!G96</f>
        <v>6.18</v>
      </c>
      <c r="E59" s="73">
        <f>'DOE25'!H96</f>
        <v>0</v>
      </c>
      <c r="F59" s="73">
        <f>'DOE25'!I96</f>
        <v>0</v>
      </c>
      <c r="G59" s="73">
        <f>'DOE25'!J96</f>
        <v>7072.16</v>
      </c>
      <c r="H59" s="13">
        <f t="shared" si="3"/>
        <v>7211.09</v>
      </c>
      <c r="I59"/>
    </row>
    <row r="60" spans="1:9" x14ac:dyDescent="0.2">
      <c r="A60" s="1" t="s">
        <v>170</v>
      </c>
      <c r="B60" s="22" t="s">
        <v>171</v>
      </c>
      <c r="C60" s="23" t="s">
        <v>288</v>
      </c>
      <c r="D60" s="73">
        <f>'DOE25'!G97</f>
        <v>84814.94</v>
      </c>
      <c r="E60" s="23" t="s">
        <v>288</v>
      </c>
      <c r="F60" s="23" t="s">
        <v>288</v>
      </c>
      <c r="G60" s="23" t="s">
        <v>288</v>
      </c>
      <c r="H60" s="13">
        <f t="shared" si="3"/>
        <v>84814.94</v>
      </c>
      <c r="I60"/>
    </row>
    <row r="61" spans="1:9" ht="12" thickBot="1" x14ac:dyDescent="0.25">
      <c r="A61" s="1" t="s">
        <v>172</v>
      </c>
      <c r="B61" s="22" t="s">
        <v>173</v>
      </c>
      <c r="C61" s="73">
        <f>SUM('DOE25'!F98:F110)</f>
        <v>14400</v>
      </c>
      <c r="D61" s="73">
        <f>SUM('DOE25'!G98:G110)</f>
        <v>0</v>
      </c>
      <c r="E61" s="73">
        <f>SUM('DOE25'!H98:H110)</f>
        <v>47300.76</v>
      </c>
      <c r="F61" s="73">
        <f>SUM('DOE25'!I98:I110)</f>
        <v>0</v>
      </c>
      <c r="G61" s="73">
        <f>SUM('DOE25'!J98:J110)</f>
        <v>-17991.490000000002</v>
      </c>
      <c r="H61" s="13">
        <f t="shared" si="3"/>
        <v>43709.270000000004</v>
      </c>
      <c r="I61"/>
    </row>
    <row r="62" spans="1:9" ht="12.75" thickTop="1" thickBot="1" x14ac:dyDescent="0.25">
      <c r="A62" s="28" t="s">
        <v>174</v>
      </c>
      <c r="B62" s="6"/>
      <c r="C62" s="93">
        <f>SUM(C57:C61)</f>
        <v>14532.75</v>
      </c>
      <c r="D62" s="93">
        <f>SUM(D57:D61)</f>
        <v>84821.119999999995</v>
      </c>
      <c r="E62" s="93">
        <f>SUM(E57:E61)</f>
        <v>47300.76</v>
      </c>
      <c r="F62" s="93">
        <f>SUM(F57:F61)</f>
        <v>0</v>
      </c>
      <c r="G62" s="93">
        <f>SUM(G57:G61)</f>
        <v>-10919.330000000002</v>
      </c>
      <c r="H62" s="13">
        <f t="shared" si="3"/>
        <v>135735.29999999999</v>
      </c>
      <c r="I62"/>
    </row>
    <row r="63" spans="1:9" ht="12" thickTop="1" x14ac:dyDescent="0.2">
      <c r="A63" s="28" t="s">
        <v>175</v>
      </c>
      <c r="B63" s="6"/>
      <c r="C63" s="21">
        <f>C56+C62</f>
        <v>4068992.75</v>
      </c>
      <c r="D63" s="21">
        <f>D56+D62</f>
        <v>84821.119999999995</v>
      </c>
      <c r="E63" s="21">
        <f>E56+E62</f>
        <v>47300.76</v>
      </c>
      <c r="F63" s="21">
        <f>F56+F62</f>
        <v>0</v>
      </c>
      <c r="G63" s="21">
        <f>G56+G62</f>
        <v>-10919.330000000002</v>
      </c>
      <c r="H63" s="13">
        <f t="shared" si="3"/>
        <v>4190195.3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4877322.83</v>
      </c>
      <c r="D66" s="23" t="s">
        <v>288</v>
      </c>
      <c r="E66" s="23" t="s">
        <v>288</v>
      </c>
      <c r="F66" s="23" t="s">
        <v>288</v>
      </c>
      <c r="G66" s="23" t="s">
        <v>288</v>
      </c>
      <c r="H66" s="13">
        <f t="shared" ref="H66:H81" si="4">SUM(C66:G66)</f>
        <v>4877322.83</v>
      </c>
      <c r="I66"/>
    </row>
    <row r="67" spans="1:9" x14ac:dyDescent="0.2">
      <c r="A67" s="1" t="s">
        <v>770</v>
      </c>
      <c r="B67" s="6">
        <v>3112</v>
      </c>
      <c r="C67" s="73">
        <f>'DOE25'!F118</f>
        <v>410305</v>
      </c>
      <c r="D67" s="23"/>
      <c r="E67" s="23"/>
      <c r="F67" s="23"/>
      <c r="G67" s="23"/>
      <c r="H67" s="13">
        <f t="shared" si="4"/>
        <v>410305</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67253.47</v>
      </c>
      <c r="D69" s="73">
        <f>'DOE25'!G120</f>
        <v>0</v>
      </c>
      <c r="E69" s="73">
        <f>'DOE25'!H120</f>
        <v>0</v>
      </c>
      <c r="F69" s="73">
        <f>'DOE25'!I120</f>
        <v>0</v>
      </c>
      <c r="G69" s="73">
        <f>'DOE25'!J120</f>
        <v>0</v>
      </c>
      <c r="H69" s="13">
        <f t="shared" si="4"/>
        <v>67253.47</v>
      </c>
      <c r="I69"/>
    </row>
    <row r="70" spans="1:9" ht="12" thickTop="1" x14ac:dyDescent="0.2">
      <c r="A70" s="28" t="s">
        <v>252</v>
      </c>
      <c r="B70" s="2"/>
      <c r="C70" s="97">
        <f>SUM(C66:C69)</f>
        <v>5354881.3</v>
      </c>
      <c r="D70" s="97">
        <f>D69</f>
        <v>0</v>
      </c>
      <c r="E70" s="97">
        <f>E69</f>
        <v>0</v>
      </c>
      <c r="F70" s="97">
        <f>F69</f>
        <v>0</v>
      </c>
      <c r="G70" s="97">
        <f>G69</f>
        <v>0</v>
      </c>
      <c r="H70" s="13">
        <f t="shared" si="4"/>
        <v>5354881.3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168748.74</v>
      </c>
      <c r="D75" s="23" t="s">
        <v>288</v>
      </c>
      <c r="E75" s="23" t="s">
        <v>288</v>
      </c>
      <c r="F75" s="23" t="s">
        <v>288</v>
      </c>
      <c r="G75" s="23" t="s">
        <v>288</v>
      </c>
      <c r="H75" s="13">
        <f t="shared" si="4"/>
        <v>168748.74</v>
      </c>
      <c r="I75"/>
    </row>
    <row r="76" spans="1:9" x14ac:dyDescent="0.2">
      <c r="A76" s="1" t="s">
        <v>257</v>
      </c>
      <c r="B76" s="6" t="s">
        <v>179</v>
      </c>
      <c r="C76" s="73">
        <f>SUM('DOE25'!F127:F130)</f>
        <v>10575</v>
      </c>
      <c r="D76" s="23" t="s">
        <v>288</v>
      </c>
      <c r="E76" s="73">
        <f>SUM('DOE25'!H127:H130)</f>
        <v>0</v>
      </c>
      <c r="F76" s="73">
        <f>SUM('DOE25'!I127:I130)</f>
        <v>0</v>
      </c>
      <c r="G76" s="23" t="s">
        <v>288</v>
      </c>
      <c r="H76" s="13">
        <f t="shared" si="4"/>
        <v>10575</v>
      </c>
      <c r="I76"/>
    </row>
    <row r="77" spans="1:9" ht="12" thickBot="1" x14ac:dyDescent="0.25">
      <c r="A77" s="1" t="s">
        <v>258</v>
      </c>
      <c r="B77" s="6" t="s">
        <v>180</v>
      </c>
      <c r="C77" s="73">
        <f>SUM('DOE25'!F131:F135)</f>
        <v>0</v>
      </c>
      <c r="D77" s="73">
        <f>SUM('DOE25'!G131:G135)</f>
        <v>3841.01</v>
      </c>
      <c r="E77" s="73">
        <f>SUM('DOE25'!H131:H135)</f>
        <v>14240.88</v>
      </c>
      <c r="F77" s="73">
        <f>SUM('DOE25'!I131:I135)</f>
        <v>0</v>
      </c>
      <c r="G77" s="73">
        <f>SUM('DOE25'!J131:J135)</f>
        <v>0</v>
      </c>
      <c r="H77" s="13">
        <f t="shared" si="4"/>
        <v>18081.89</v>
      </c>
      <c r="I77"/>
    </row>
    <row r="78" spans="1:9" ht="12.75" thickTop="1" thickBot="1" x14ac:dyDescent="0.25">
      <c r="A78" s="28" t="s">
        <v>259</v>
      </c>
      <c r="B78" s="6"/>
      <c r="C78" s="93">
        <f>SUM(C72:C77)</f>
        <v>179323.74</v>
      </c>
      <c r="D78" s="93">
        <f>SUM(D72:D77)</f>
        <v>3841.01</v>
      </c>
      <c r="E78" s="93">
        <f>SUM(E72:E77)</f>
        <v>14240.88</v>
      </c>
      <c r="F78" s="93">
        <f>SUM(F72:F77)</f>
        <v>0</v>
      </c>
      <c r="G78" s="93">
        <f>SUM(G72:G77)</f>
        <v>0</v>
      </c>
      <c r="H78" s="13">
        <f t="shared" si="4"/>
        <v>197405.63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5534205.04</v>
      </c>
      <c r="D81" s="93">
        <f>SUM(D79:D80)+D78+D70</f>
        <v>3841.01</v>
      </c>
      <c r="E81" s="93">
        <f>SUM(E79:E80)+E78+E70</f>
        <v>14240.88</v>
      </c>
      <c r="F81" s="93">
        <f>SUM(F79:F80)+F78+F70</f>
        <v>0</v>
      </c>
      <c r="G81" s="93">
        <f>SUM(G79:G80)+G78+G70</f>
        <v>0</v>
      </c>
      <c r="H81" s="93">
        <f t="shared" si="4"/>
        <v>5552286.9299999997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77664.55</v>
      </c>
      <c r="D88" s="253">
        <f>SUM('DOE25'!G153:G162)</f>
        <v>218790.17</v>
      </c>
      <c r="E88" s="253">
        <f>SUM('DOE25'!H153:H162)</f>
        <v>1119337.42</v>
      </c>
      <c r="F88" s="253">
        <f>SUM('DOE25'!I153:I162)</f>
        <v>0</v>
      </c>
      <c r="G88" s="23" t="s">
        <v>288</v>
      </c>
      <c r="H88" s="13">
        <f t="shared" si="5"/>
        <v>1415792.14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77664.55</v>
      </c>
      <c r="D91" s="94">
        <f>SUM(D85:D90)</f>
        <v>218790.17</v>
      </c>
      <c r="E91" s="94">
        <f>SUM(E85:E90)</f>
        <v>1119337.42</v>
      </c>
      <c r="F91" s="94">
        <f>SUM(F85:F90)</f>
        <v>0</v>
      </c>
      <c r="G91" s="23" t="s">
        <v>288</v>
      </c>
      <c r="H91" s="13">
        <f t="shared" si="5"/>
        <v>1415792.14</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3000</v>
      </c>
      <c r="H96" s="13">
        <f t="shared" si="5"/>
        <v>3000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3000</v>
      </c>
      <c r="H103" s="68">
        <f t="shared" si="5"/>
        <v>3000</v>
      </c>
    </row>
    <row r="104" spans="1:8" ht="12.75" thickTop="1" thickBot="1" x14ac:dyDescent="0.25">
      <c r="A104" s="32" t="s">
        <v>761</v>
      </c>
      <c r="C104" s="68">
        <f>C63+C81+C91+C103</f>
        <v>9680862.3399999999</v>
      </c>
      <c r="D104" s="68">
        <f>D63+D81+D91+D103</f>
        <v>307452.3</v>
      </c>
      <c r="E104" s="68">
        <f>E63+E81+E91+E103</f>
        <v>1180879.0599999998</v>
      </c>
      <c r="F104" s="68">
        <f>F63+F81+F91+F103</f>
        <v>0</v>
      </c>
      <c r="G104" s="68">
        <f>G63+G81+G103</f>
        <v>-7919.3300000000017</v>
      </c>
      <c r="H104" s="68">
        <f t="shared" si="5"/>
        <v>11161274.370000001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3177368.6599999997</v>
      </c>
      <c r="D109" s="23" t="s">
        <v>288</v>
      </c>
      <c r="E109" s="73">
        <f>('DOE25'!L277)+('DOE25'!L296)+('DOE25'!L315)</f>
        <v>498785.82000000007</v>
      </c>
      <c r="F109" s="23" t="s">
        <v>288</v>
      </c>
      <c r="G109" s="23" t="s">
        <v>288</v>
      </c>
      <c r="H109" s="13">
        <f t="shared" ref="H109:H115" si="6">SUM(C109:G109)</f>
        <v>3676154.4799999995</v>
      </c>
    </row>
    <row r="110" spans="1:8" x14ac:dyDescent="0.2">
      <c r="A110" t="s">
        <v>198</v>
      </c>
      <c r="B110" s="31" t="s">
        <v>199</v>
      </c>
      <c r="C110" s="73">
        <f>('DOE25'!L199)+('DOE25'!L217)+('DOE25'!L235)</f>
        <v>2549234.36</v>
      </c>
      <c r="D110" s="23" t="s">
        <v>288</v>
      </c>
      <c r="E110" s="73">
        <f>('DOE25'!L278)+('DOE25'!L297)+('DOE25'!L316)</f>
        <v>69894.759999999995</v>
      </c>
      <c r="F110" s="23" t="s">
        <v>288</v>
      </c>
      <c r="G110" s="23" t="s">
        <v>288</v>
      </c>
      <c r="H110" s="13">
        <f t="shared" si="6"/>
        <v>2619129.1199999996</v>
      </c>
    </row>
    <row r="111" spans="1:8" x14ac:dyDescent="0.2">
      <c r="A111" t="s">
        <v>200</v>
      </c>
      <c r="B111" s="31" t="s">
        <v>165</v>
      </c>
      <c r="C111" s="73">
        <f>('DOE25'!L200)+('DOE25'!L218)+('DOE25'!L236)</f>
        <v>63633.78</v>
      </c>
      <c r="D111" s="23" t="s">
        <v>288</v>
      </c>
      <c r="E111" s="73">
        <f>('DOE25'!L279)+('DOE25'!L298)+('DOE25'!L317)</f>
        <v>0</v>
      </c>
      <c r="F111" s="23" t="s">
        <v>288</v>
      </c>
      <c r="G111" s="23" t="s">
        <v>288</v>
      </c>
      <c r="H111" s="13">
        <f t="shared" si="6"/>
        <v>63633.78</v>
      </c>
    </row>
    <row r="112" spans="1:8" x14ac:dyDescent="0.2">
      <c r="A112" t="s">
        <v>201</v>
      </c>
      <c r="B112" s="31" t="s">
        <v>167</v>
      </c>
      <c r="C112" s="73">
        <f>('DOE25'!L201)+('DOE25'!L219)+('DOE25'!L237)</f>
        <v>98371.51</v>
      </c>
      <c r="D112" s="23" t="s">
        <v>288</v>
      </c>
      <c r="E112" s="73">
        <f>+('DOE25'!L280)+('DOE25'!L299)+('DOE25'!L318)</f>
        <v>40047.270000000004</v>
      </c>
      <c r="F112" s="23" t="s">
        <v>288</v>
      </c>
      <c r="G112" s="23" t="s">
        <v>288</v>
      </c>
      <c r="H112" s="13">
        <f t="shared" si="6"/>
        <v>138418.78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5888608.3099999996</v>
      </c>
      <c r="D115" s="68">
        <f>SUM(D109:D114)</f>
        <v>0</v>
      </c>
      <c r="E115" s="68">
        <f>SUM(E109:E114)</f>
        <v>608727.85000000009</v>
      </c>
      <c r="F115" s="68">
        <f>SUM(F109:F114)</f>
        <v>0</v>
      </c>
      <c r="G115" s="68">
        <f>SUM(G109:G114)</f>
        <v>0</v>
      </c>
      <c r="H115" s="68">
        <f t="shared" si="6"/>
        <v>6497336.1600000001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918018.54</v>
      </c>
      <c r="D118" s="23" t="s">
        <v>288</v>
      </c>
      <c r="E118" s="73">
        <f>+('DOE25'!L282)+('DOE25'!L301)+('DOE25'!L320)</f>
        <v>136492.01</v>
      </c>
      <c r="F118" s="23" t="s">
        <v>288</v>
      </c>
      <c r="G118" s="23" t="s">
        <v>288</v>
      </c>
      <c r="H118" s="13">
        <f t="shared" ref="H118:H145" si="7">SUM(C118:G118)</f>
        <v>1054510.55</v>
      </c>
    </row>
    <row r="119" spans="1:8" x14ac:dyDescent="0.2">
      <c r="A119" t="s">
        <v>208</v>
      </c>
      <c r="B119" s="31" t="s">
        <v>209</v>
      </c>
      <c r="C119" s="73">
        <f>('DOE25'!L204)+('DOE25'!L222)+('DOE25'!L240)</f>
        <v>487277.06</v>
      </c>
      <c r="D119" s="23" t="s">
        <v>288</v>
      </c>
      <c r="E119" s="73">
        <f>+('DOE25'!L283)+('DOE25'!L302)+('DOE25'!L321)</f>
        <v>230831.50000000003</v>
      </c>
      <c r="F119" s="23" t="s">
        <v>288</v>
      </c>
      <c r="G119" s="23" t="s">
        <v>288</v>
      </c>
      <c r="H119" s="13">
        <f t="shared" si="7"/>
        <v>718108.56</v>
      </c>
    </row>
    <row r="120" spans="1:8" x14ac:dyDescent="0.2">
      <c r="A120" t="s">
        <v>210</v>
      </c>
      <c r="B120" s="31" t="s">
        <v>211</v>
      </c>
      <c r="C120" s="73">
        <f>('DOE25'!L205)+('DOE25'!L223)+('DOE25'!L241)</f>
        <v>353964.67000000004</v>
      </c>
      <c r="D120" s="23" t="s">
        <v>288</v>
      </c>
      <c r="E120" s="73">
        <f>+('DOE25'!L284)+('DOE25'!L303)+('DOE25'!L322)</f>
        <v>0</v>
      </c>
      <c r="F120" s="23" t="s">
        <v>288</v>
      </c>
      <c r="G120" s="23" t="s">
        <v>288</v>
      </c>
      <c r="H120" s="13">
        <f t="shared" si="7"/>
        <v>353964.67000000004</v>
      </c>
    </row>
    <row r="121" spans="1:8" x14ac:dyDescent="0.2">
      <c r="A121" t="s">
        <v>212</v>
      </c>
      <c r="B121" s="31" t="s">
        <v>213</v>
      </c>
      <c r="C121" s="73">
        <f>('DOE25'!L206)+('DOE25'!L224)+('DOE25'!L242)</f>
        <v>990103.33000000007</v>
      </c>
      <c r="D121" s="23" t="s">
        <v>288</v>
      </c>
      <c r="E121" s="73">
        <f>+('DOE25'!L285)+('DOE25'!L304)+('DOE25'!L323)</f>
        <v>0</v>
      </c>
      <c r="F121" s="23" t="s">
        <v>288</v>
      </c>
      <c r="G121" s="23" t="s">
        <v>288</v>
      </c>
      <c r="H121" s="13">
        <f t="shared" si="7"/>
        <v>990103.33000000007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940222.77</v>
      </c>
      <c r="D123" s="23" t="s">
        <v>288</v>
      </c>
      <c r="E123" s="73">
        <f>+('DOE25'!L287)+('DOE25'!L306)+('DOE25'!L325)</f>
        <v>5599.92</v>
      </c>
      <c r="F123" s="23" t="s">
        <v>288</v>
      </c>
      <c r="G123" s="23" t="s">
        <v>288</v>
      </c>
      <c r="H123" s="13">
        <f t="shared" si="7"/>
        <v>945822.69000000006</v>
      </c>
    </row>
    <row r="124" spans="1:8" x14ac:dyDescent="0.2">
      <c r="A124" t="s">
        <v>218</v>
      </c>
      <c r="B124" s="31" t="s">
        <v>219</v>
      </c>
      <c r="C124" s="73">
        <f>('DOE25'!L209)+('DOE25'!L227)+('DOE25'!L245+'DOE25'!L255)</f>
        <v>695301.61999999988</v>
      </c>
      <c r="D124" s="23" t="s">
        <v>288</v>
      </c>
      <c r="E124" s="73">
        <f>+('DOE25'!L288)+('DOE25'!L307)+('DOE25'!L326)</f>
        <v>12939.5</v>
      </c>
      <c r="F124" s="23" t="s">
        <v>288</v>
      </c>
      <c r="G124" s="23" t="s">
        <v>288</v>
      </c>
      <c r="H124" s="13">
        <f t="shared" si="7"/>
        <v>708241.11999999988</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344403.68</v>
      </c>
      <c r="E127" s="23" t="s">
        <v>288</v>
      </c>
      <c r="F127" s="23" t="s">
        <v>288</v>
      </c>
      <c r="G127" s="23" t="s">
        <v>288</v>
      </c>
      <c r="H127" s="13">
        <f t="shared" si="7"/>
        <v>344403.68</v>
      </c>
    </row>
    <row r="128" spans="1:8" ht="12.75" thickTop="1" thickBot="1" x14ac:dyDescent="0.25">
      <c r="A128" s="32" t="s">
        <v>226</v>
      </c>
      <c r="C128" s="68">
        <f>SUM(C118:C127)</f>
        <v>4384887.99</v>
      </c>
      <c r="D128" s="68">
        <f>SUM(D118:D127)</f>
        <v>344403.68</v>
      </c>
      <c r="E128" s="68">
        <f>SUM(E118:E127)</f>
        <v>385862.93</v>
      </c>
      <c r="F128" s="68">
        <f>SUM(F118:F127)</f>
        <v>0</v>
      </c>
      <c r="G128" s="68">
        <f>SUM(G118:G127)</f>
        <v>0</v>
      </c>
      <c r="H128" s="68">
        <f t="shared" si="7"/>
        <v>5115154.5999999996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757910</v>
      </c>
      <c r="F130" s="92">
        <f>SUM('DOE25'!L375:'DOE25'!L381)</f>
        <v>0</v>
      </c>
      <c r="G130" s="23" t="s">
        <v>288</v>
      </c>
      <c r="H130" s="13">
        <f t="shared" si="7"/>
        <v>757910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7630.23</v>
      </c>
      <c r="H134" s="13">
        <f t="shared" si="7"/>
        <v>7630.23</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16.940000000000001</v>
      </c>
      <c r="D138" s="23" t="s">
        <v>288</v>
      </c>
      <c r="E138" s="23" t="s">
        <v>288</v>
      </c>
      <c r="F138" s="23" t="s">
        <v>288</v>
      </c>
      <c r="G138" s="23" t="s">
        <v>288</v>
      </c>
      <c r="H138" s="13">
        <f t="shared" si="7"/>
        <v>16.940000000000001</v>
      </c>
    </row>
    <row r="139" spans="1:8" x14ac:dyDescent="0.2">
      <c r="A139" t="s">
        <v>239</v>
      </c>
      <c r="B139" s="31">
        <v>5252</v>
      </c>
      <c r="C139" s="73">
        <f>'DOE25'!L402</f>
        <v>11266.3</v>
      </c>
      <c r="D139" s="23" t="s">
        <v>288</v>
      </c>
      <c r="E139" s="23" t="s">
        <v>288</v>
      </c>
      <c r="F139" s="23" t="s">
        <v>288</v>
      </c>
      <c r="G139" s="23" t="s">
        <v>288</v>
      </c>
      <c r="H139" s="13">
        <f t="shared" si="7"/>
        <v>11266.3</v>
      </c>
    </row>
    <row r="140" spans="1:8" x14ac:dyDescent="0.2">
      <c r="A140" t="s">
        <v>240</v>
      </c>
      <c r="B140" s="31">
        <v>5253</v>
      </c>
      <c r="C140" s="73">
        <f>'DOE25'!L408</f>
        <v>-19202.57</v>
      </c>
      <c r="D140" s="23" t="s">
        <v>288</v>
      </c>
      <c r="E140" s="23" t="s">
        <v>288</v>
      </c>
      <c r="F140" s="23" t="s">
        <v>288</v>
      </c>
      <c r="G140" s="23" t="s">
        <v>288</v>
      </c>
      <c r="H140" s="13">
        <f t="shared" si="7"/>
        <v>-19202.57</v>
      </c>
    </row>
    <row r="141" spans="1:8" x14ac:dyDescent="0.2">
      <c r="A141" t="s">
        <v>762</v>
      </c>
      <c r="B141" s="31">
        <v>5254</v>
      </c>
      <c r="C141" s="73">
        <f>('DOE25'!L267+'DOE25'!K348) - (C138+C139+C140)</f>
        <v>10919.33</v>
      </c>
      <c r="D141" s="23" t="s">
        <v>288</v>
      </c>
      <c r="E141" s="23" t="s">
        <v>288</v>
      </c>
      <c r="F141" s="23" t="s">
        <v>288</v>
      </c>
      <c r="G141" s="23" t="s">
        <v>288</v>
      </c>
      <c r="H141" s="13">
        <f t="shared" si="7"/>
        <v>10919.33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3000</v>
      </c>
      <c r="D144" s="98">
        <f>SUM(D130:D143)</f>
        <v>0</v>
      </c>
      <c r="E144" s="98">
        <f>SUM(E130:E143)</f>
        <v>757910</v>
      </c>
      <c r="F144" s="98">
        <f>SUM(F130:F143)</f>
        <v>0</v>
      </c>
      <c r="G144" s="98">
        <f>SUM(G130:G143)</f>
        <v>7630.23</v>
      </c>
      <c r="H144" s="98">
        <f t="shared" si="7"/>
        <v>768540.23</v>
      </c>
    </row>
    <row r="145" spans="1:9" ht="12.75" thickTop="1" thickBot="1" x14ac:dyDescent="0.25">
      <c r="A145" s="32" t="s">
        <v>244</v>
      </c>
      <c r="C145" s="68">
        <f>(C115+C128+C144)</f>
        <v>10276496.300000001</v>
      </c>
      <c r="D145" s="68">
        <f>(D115+D128+D144)</f>
        <v>344403.68</v>
      </c>
      <c r="E145" s="68">
        <f>(E115+E128+E144)</f>
        <v>1752500.78</v>
      </c>
      <c r="F145" s="68">
        <f>(F115+F128+F144)</f>
        <v>0</v>
      </c>
      <c r="G145" s="68">
        <f>(G115+G128+G144)</f>
        <v>7630.23</v>
      </c>
      <c r="H145" s="68">
        <f t="shared" si="7"/>
        <v>12381030.99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Pittsfield</v>
      </c>
    </row>
    <row r="3" spans="1:4" x14ac:dyDescent="0.2">
      <c r="B3" s="137" t="s">
        <v>1799</v>
      </c>
    </row>
    <row r="4" spans="1:4" x14ac:dyDescent="0.2">
      <c r="B4" t="s">
        <v>61</v>
      </c>
      <c r="C4" s="129">
        <f>IF('DOE25'!F666+'DOE25'!F671=0,0,ROUND('DOE25'!F673,0))</f>
        <v>24692</v>
      </c>
    </row>
    <row r="5" spans="1:4" x14ac:dyDescent="0.2">
      <c r="B5" t="s">
        <v>700</v>
      </c>
      <c r="C5" s="129">
        <f>IF('DOE25'!G666+'DOE25'!G671=0,0,ROUND('DOE25'!G673,0))</f>
        <v>15164</v>
      </c>
    </row>
    <row r="6" spans="1:4" x14ac:dyDescent="0.2">
      <c r="B6" t="s">
        <v>62</v>
      </c>
      <c r="C6" s="129">
        <f>IF('DOE25'!H666+'DOE25'!H671=0,0,ROUND('DOE25'!H673,0))</f>
        <v>19788</v>
      </c>
    </row>
    <row r="7" spans="1:4" x14ac:dyDescent="0.2">
      <c r="B7" t="s">
        <v>701</v>
      </c>
      <c r="C7" s="129">
        <f>IF('DOE25'!I666+'DOE25'!I671=0,0,ROUND('DOE25'!I673,0))</f>
        <v>20635</v>
      </c>
    </row>
    <row r="9" spans="1:4" x14ac:dyDescent="0.2">
      <c r="A9" s="136" t="s">
        <v>94</v>
      </c>
      <c r="B9" s="137" t="s">
        <v>1800</v>
      </c>
      <c r="C9" s="131" t="s">
        <v>720</v>
      </c>
      <c r="D9" s="131" t="s">
        <v>721</v>
      </c>
    </row>
    <row r="10" spans="1:4" x14ac:dyDescent="0.2">
      <c r="A10">
        <v>1100</v>
      </c>
      <c r="B10" t="s">
        <v>702</v>
      </c>
      <c r="C10" s="129">
        <f>ROUND('DOE25'!L198+'DOE25'!L216+'DOE25'!L234+'DOE25'!L277+'DOE25'!L296+'DOE25'!L315,0)</f>
        <v>3676154</v>
      </c>
      <c r="D10" s="132">
        <f>ROUND((C10/$C$28)*100,1)</f>
        <v>31.9</v>
      </c>
    </row>
    <row r="11" spans="1:4" x14ac:dyDescent="0.2">
      <c r="A11">
        <v>1200</v>
      </c>
      <c r="B11" t="s">
        <v>703</v>
      </c>
      <c r="C11" s="129">
        <f>ROUND('DOE25'!L199+'DOE25'!L217+'DOE25'!L235+'DOE25'!L278+'DOE25'!L297+'DOE25'!L316,0)</f>
        <v>2619129</v>
      </c>
      <c r="D11" s="132">
        <f>ROUND((C11/$C$28)*100,1)</f>
        <v>22.7</v>
      </c>
    </row>
    <row r="12" spans="1:4" x14ac:dyDescent="0.2">
      <c r="A12">
        <v>1300</v>
      </c>
      <c r="B12" t="s">
        <v>704</v>
      </c>
      <c r="C12" s="129">
        <f>ROUND('DOE25'!L200+'DOE25'!L218+'DOE25'!L236+'DOE25'!L279+'DOE25'!L298+'DOE25'!L317,0)</f>
        <v>63634</v>
      </c>
      <c r="D12" s="132">
        <f>ROUND((C12/$C$28)*100,1)</f>
        <v>0.6</v>
      </c>
    </row>
    <row r="13" spans="1:4" x14ac:dyDescent="0.2">
      <c r="A13">
        <v>1400</v>
      </c>
      <c r="B13" t="s">
        <v>705</v>
      </c>
      <c r="C13" s="129">
        <f>ROUND('DOE25'!L201+'DOE25'!L219+'DOE25'!L237+'DOE25'!L280+'DOE25'!L299+'DOE25'!L318,0)</f>
        <v>138419</v>
      </c>
      <c r="D13" s="132">
        <f>ROUND((C13/$C$28)*100,1)</f>
        <v>1.2</v>
      </c>
    </row>
    <row r="14" spans="1:4" x14ac:dyDescent="0.2">
      <c r="D14" s="132"/>
    </row>
    <row r="15" spans="1:4" x14ac:dyDescent="0.2">
      <c r="A15">
        <v>2100</v>
      </c>
      <c r="B15" t="s">
        <v>706</v>
      </c>
      <c r="C15" s="129">
        <f>ROUND('DOE25'!L203+'DOE25'!L221+'DOE25'!L239+'DOE25'!L282+'DOE25'!L301+'DOE25'!L320,0)</f>
        <v>1054511</v>
      </c>
      <c r="D15" s="132">
        <f t="shared" ref="D15:D27" si="0">ROUND((C15/$C$28)*100,1)</f>
        <v>9.1</v>
      </c>
    </row>
    <row r="16" spans="1:4" x14ac:dyDescent="0.2">
      <c r="A16">
        <v>2200</v>
      </c>
      <c r="B16" t="s">
        <v>707</v>
      </c>
      <c r="C16" s="129">
        <f>ROUND('DOE25'!L204+'DOE25'!L222+'DOE25'!L240+'DOE25'!L283+'DOE25'!L302+'DOE25'!L321,0)</f>
        <v>718109</v>
      </c>
      <c r="D16" s="132">
        <f t="shared" si="0"/>
        <v>6.2</v>
      </c>
    </row>
    <row r="17" spans="1:4" x14ac:dyDescent="0.2">
      <c r="A17" s="133" t="s">
        <v>723</v>
      </c>
      <c r="B17" t="s">
        <v>738</v>
      </c>
      <c r="C17" s="129">
        <f>ROUND('DOE25'!L205+'DOE25'!L210+'DOE25'!L223+'DOE25'!L228+'DOE25'!L241+'DOE25'!L246+'DOE25'!L284+'DOE25'!L289+'DOE25'!L303+'DOE25'!L308+'DOE25'!L322+'DOE25'!L327,0)</f>
        <v>353965</v>
      </c>
      <c r="D17" s="132">
        <f t="shared" si="0"/>
        <v>3.1</v>
      </c>
    </row>
    <row r="18" spans="1:4" x14ac:dyDescent="0.2">
      <c r="A18">
        <v>2400</v>
      </c>
      <c r="B18" t="s">
        <v>711</v>
      </c>
      <c r="C18" s="129">
        <f>ROUND('DOE25'!L206+'DOE25'!L224+'DOE25'!L242+'DOE25'!L285+'DOE25'!L304+'DOE25'!L323,0)</f>
        <v>990103</v>
      </c>
      <c r="D18" s="132">
        <f t="shared" si="0"/>
        <v>8.6</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945823</v>
      </c>
      <c r="D20" s="132">
        <f t="shared" si="0"/>
        <v>8.1999999999999993</v>
      </c>
    </row>
    <row r="21" spans="1:4" x14ac:dyDescent="0.2">
      <c r="A21">
        <v>2700</v>
      </c>
      <c r="B21" t="s">
        <v>710</v>
      </c>
      <c r="C21" s="129">
        <f>ROUND('DOE25'!L209+'DOE25'!L227+'DOE25'!L245+'DOE25'!L288+'DOE25'!L307+'DOE25'!L326,0)</f>
        <v>708241</v>
      </c>
      <c r="D21" s="132">
        <f t="shared" si="0"/>
        <v>6.1</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259589.06</v>
      </c>
      <c r="D27" s="132">
        <f t="shared" si="0"/>
        <v>2.2999999999999998</v>
      </c>
    </row>
    <row r="28" spans="1:4" x14ac:dyDescent="0.2">
      <c r="B28" s="136" t="s">
        <v>719</v>
      </c>
      <c r="C28" s="130">
        <f>SUM(C10:C27)</f>
        <v>11527677.060000001</v>
      </c>
      <c r="D28" s="134">
        <f>ROUND(SUM(D10:D27),0)</f>
        <v>100</v>
      </c>
    </row>
    <row r="29" spans="1:4" x14ac:dyDescent="0.2">
      <c r="A29">
        <v>4000</v>
      </c>
      <c r="B29" t="s">
        <v>724</v>
      </c>
      <c r="C29" s="129">
        <f>ROUND('DOE25'!L256+'DOE25'!L337+'DOE25'!L375+'DOE25'!L376+'DOE25'!L377+'DOE25'!L378+'DOE25'!L379+'DOE25'!L380+'DOE25'!L381,0)</f>
        <v>757910</v>
      </c>
    </row>
    <row r="30" spans="1:4" x14ac:dyDescent="0.2">
      <c r="B30" s="136" t="s">
        <v>725</v>
      </c>
      <c r="C30" s="130">
        <f>SUM(C28:C29)</f>
        <v>12285587.060000001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4054460</v>
      </c>
      <c r="D35" s="132">
        <f t="shared" ref="D35:D40" si="1">ROUND((C35/$C$41)*100,1)</f>
        <v>36.6</v>
      </c>
    </row>
    <row r="36" spans="1:4" x14ac:dyDescent="0.2">
      <c r="B36" s="71" t="s">
        <v>739</v>
      </c>
      <c r="C36" s="129">
        <f>SUM('DOE25'!F112:J112)-SUM('DOE25'!G97:G110)+('DOE25'!F175+'DOE25'!F176+'DOE25'!I175+'DOE25'!I176)-C35</f>
        <v>50920.35999999987</v>
      </c>
      <c r="D36" s="132">
        <f t="shared" si="1"/>
        <v>0.5</v>
      </c>
    </row>
    <row r="37" spans="1:4" x14ac:dyDescent="0.2">
      <c r="A37" s="133" t="s">
        <v>834</v>
      </c>
      <c r="B37" s="71" t="s">
        <v>728</v>
      </c>
      <c r="C37" s="129">
        <f>ROUND('DOE25'!F117+'DOE25'!F118,0)</f>
        <v>5287628</v>
      </c>
      <c r="D37" s="132">
        <f t="shared" si="1"/>
        <v>47.8</v>
      </c>
    </row>
    <row r="38" spans="1:4" x14ac:dyDescent="0.2">
      <c r="A38" s="133" t="s">
        <v>734</v>
      </c>
      <c r="B38" s="71" t="s">
        <v>729</v>
      </c>
      <c r="C38" s="129">
        <f>ROUND(SUM('DOE25'!F140:J140)-SUM('DOE25'!F117:F119),0)</f>
        <v>264659</v>
      </c>
      <c r="D38" s="132">
        <f t="shared" si="1"/>
        <v>2.4</v>
      </c>
    </row>
    <row r="39" spans="1:4" x14ac:dyDescent="0.2">
      <c r="A39">
        <v>4000</v>
      </c>
      <c r="B39" s="71" t="s">
        <v>730</v>
      </c>
      <c r="C39" s="129">
        <f>ROUND('DOE25'!F170+'DOE25'!G170+'DOE25'!H170+'DOE25'!I170,0)</f>
        <v>1415792</v>
      </c>
      <c r="D39" s="132">
        <f t="shared" si="1"/>
        <v>12.8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11073459.359999999</v>
      </c>
      <c r="D41" s="134">
        <f>SUM(D35:D40)</f>
        <v>100.10000000000001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Pittsfield</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241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55</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74</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f>IF('School Level Expenditures'!$B$2='School Tables'!L58,'School Tables'!S58,"")</f>
        <v>55</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f>IF('School Level Expenditures'!$B$2='School Tables'!W77,'School Tables'!AD77,"")</f>
        <v>74</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f>IF('School Level Expenditures'!$B$2=A244,'School Tables'!H244,"")</f>
        <v>241</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2023-09-26T17:41:02Z</cp:lastPrinted>
  <dcterms:created xsi:type="dcterms:W3CDTF">1997-12-04T19:04:30Z</dcterms:created>
  <dcterms:modified xsi:type="dcterms:W3CDTF">2023-12-29T14:07:43Z</dcterms:modified>
</cp:coreProperties>
</file>