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8E78F989-7650-4FAA-BCC4-11E189D60199}"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0" i="1" l="1"/>
  <c r="F14" i="13"/>
  <c r="F16" i="13"/>
  <c r="F8" i="13"/>
  <c r="F15" i="13"/>
  <c r="E13" i="17"/>
  <c r="E11" i="17"/>
  <c r="E9" i="17"/>
  <c r="Q38" i="14"/>
  <c r="Q26" i="14"/>
  <c r="Q8" i="14"/>
  <c r="Q7" i="14"/>
  <c r="Q6" i="14"/>
  <c r="K13" i="14"/>
  <c r="K38" i="14"/>
  <c r="K26" i="14"/>
  <c r="N38" i="14"/>
  <c r="M38" i="14"/>
  <c r="L38" i="14"/>
  <c r="M26" i="14"/>
  <c r="L26" i="14"/>
  <c r="D6" i="14"/>
  <c r="D7" i="14"/>
  <c r="D8" i="14"/>
  <c r="D9" i="14"/>
  <c r="D26" i="14"/>
  <c r="D38" i="14"/>
  <c r="E38" i="14"/>
  <c r="E26" i="14"/>
  <c r="C37" i="12"/>
  <c r="C39" i="12"/>
  <c r="B37" i="12"/>
  <c r="B39" i="12"/>
  <c r="C28" i="12"/>
  <c r="C20" i="12"/>
  <c r="C19" i="12"/>
  <c r="C21" i="12"/>
  <c r="B21" i="12"/>
  <c r="B20" i="12"/>
  <c r="B19" i="12"/>
  <c r="C12" i="12"/>
  <c r="C11" i="12"/>
  <c r="C10" i="12"/>
  <c r="B10" i="12"/>
  <c r="H469" i="1"/>
  <c r="K246" i="1"/>
  <c r="G30" i="1"/>
  <c r="G16" i="1"/>
  <c r="H59" i="1"/>
  <c r="H180" i="1"/>
  <c r="G613" i="1"/>
  <c r="G614" i="1"/>
  <c r="F614" i="1"/>
  <c r="H580" i="1"/>
  <c r="H162" i="1"/>
  <c r="H154" i="1"/>
  <c r="H102" i="1"/>
  <c r="H98" i="1"/>
  <c r="H69" i="1"/>
  <c r="H63" i="1"/>
  <c r="F109" i="1"/>
  <c r="F63" i="1"/>
  <c r="G180" i="1"/>
  <c r="G110" i="1"/>
  <c r="G97" i="1"/>
  <c r="G158" i="1"/>
  <c r="K265" i="1"/>
  <c r="H137" i="2"/>
  <c r="H138" i="2"/>
  <c r="H139" i="2"/>
  <c r="H140" i="2"/>
  <c r="H141" i="2"/>
  <c r="H142" i="2"/>
  <c r="P2" i="14"/>
  <c r="O2" i="14"/>
  <c r="Q43" i="14"/>
  <c r="P43" i="14"/>
  <c r="O43" i="14"/>
  <c r="N43" i="14"/>
  <c r="M43" i="14"/>
  <c r="L43" i="14"/>
  <c r="K43" i="14"/>
  <c r="Q33" i="14"/>
  <c r="P33" i="14"/>
  <c r="O33" i="14"/>
  <c r="N33" i="14"/>
  <c r="M33" i="14"/>
  <c r="L33" i="14"/>
  <c r="K33" i="14"/>
  <c r="Q21" i="14"/>
  <c r="P21" i="14"/>
  <c r="P3" i="14"/>
  <c r="O21" i="14"/>
  <c r="N21" i="14"/>
  <c r="M21" i="14"/>
  <c r="L21" i="14"/>
  <c r="K21" i="14"/>
  <c r="C2" i="1"/>
  <c r="B2" i="1"/>
  <c r="O3" i="14"/>
  <c r="G42" i="13"/>
  <c r="H143" i="2"/>
  <c r="H134" i="2"/>
  <c r="H132" i="2"/>
  <c r="H131" i="2"/>
  <c r="H113" i="2"/>
  <c r="H114" i="2"/>
  <c r="H97" i="2"/>
  <c r="H98" i="2"/>
  <c r="H99" i="2"/>
  <c r="H100" i="2"/>
  <c r="H101" i="2"/>
  <c r="H102" i="2"/>
  <c r="H94" i="2"/>
  <c r="H93" i="2"/>
  <c r="H89" i="2"/>
  <c r="H90" i="2"/>
  <c r="H87" i="2"/>
  <c r="H85" i="2"/>
  <c r="H73" i="2"/>
  <c r="H74" i="2"/>
  <c r="H79" i="2"/>
  <c r="H80" i="2"/>
  <c r="H58" i="2"/>
  <c r="H59" i="2"/>
  <c r="D29" i="2"/>
  <c r="D23" i="2"/>
  <c r="D31" i="2"/>
  <c r="D39" i="2"/>
  <c r="D50" i="2"/>
  <c r="D51" i="2"/>
  <c r="E23" i="2"/>
  <c r="E31" i="2"/>
  <c r="E47" i="2"/>
  <c r="E50" i="2"/>
  <c r="E51" i="2"/>
  <c r="H51" i="2"/>
  <c r="H50" i="2"/>
  <c r="H49" i="2"/>
  <c r="H48" i="2"/>
  <c r="H47" i="2"/>
  <c r="H43" i="2"/>
  <c r="H44" i="2"/>
  <c r="H45" i="2"/>
  <c r="H42" i="2"/>
  <c r="H40" i="2"/>
  <c r="H39" i="2"/>
  <c r="H38" i="2"/>
  <c r="H36" i="2"/>
  <c r="H35" i="2"/>
  <c r="H34" i="2"/>
  <c r="H22" i="2"/>
  <c r="H23" i="2"/>
  <c r="H24" i="2"/>
  <c r="H25" i="2"/>
  <c r="H26" i="2"/>
  <c r="H27" i="2"/>
  <c r="H28" i="2"/>
  <c r="H29" i="2"/>
  <c r="H30" i="2"/>
  <c r="H31" i="2"/>
  <c r="H21" i="2"/>
  <c r="H9" i="2"/>
  <c r="H10" i="2"/>
  <c r="D11" i="2"/>
  <c r="H11" i="2"/>
  <c r="D12" i="2"/>
  <c r="E12" i="2"/>
  <c r="H12" i="2"/>
  <c r="H13" i="2"/>
  <c r="H14" i="2"/>
  <c r="D15" i="2"/>
  <c r="H15" i="2"/>
  <c r="H16" i="2"/>
  <c r="H17" i="2"/>
  <c r="D8" i="2"/>
  <c r="D18" i="2"/>
  <c r="E18" i="2"/>
  <c r="H18" i="2"/>
  <c r="H8" i="2"/>
  <c r="G655" i="1"/>
  <c r="E7" i="17"/>
  <c r="AG5" i="15"/>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c r="G653" i="1"/>
  <c r="E43" i="14"/>
  <c r="D43" i="14"/>
  <c r="E33" i="14"/>
  <c r="D33" i="14"/>
  <c r="E21" i="14"/>
  <c r="D21" i="14"/>
  <c r="G36" i="13"/>
  <c r="G29" i="13"/>
  <c r="B22" i="12"/>
  <c r="B5" i="14"/>
  <c r="C5" i="14"/>
  <c r="F88" i="2"/>
  <c r="E88" i="2"/>
  <c r="D88" i="2"/>
  <c r="C88" i="2"/>
  <c r="I163" i="1"/>
  <c r="H163" i="1"/>
  <c r="G163" i="1"/>
  <c r="F163" i="1"/>
  <c r="H88" i="2"/>
  <c r="B31" i="16"/>
  <c r="B27" i="16"/>
  <c r="B9" i="16"/>
  <c r="B5" i="16"/>
  <c r="F42"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c r="F24" i="14"/>
  <c r="F4" i="14"/>
  <c r="B2" i="14"/>
  <c r="S2" i="14"/>
  <c r="A2" i="14"/>
  <c r="AE8" i="15"/>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a="1"/>
  <c r="A41" i="14"/>
  <c r="J41" i="14"/>
  <c r="AF51" i="15"/>
  <c r="AF79" i="15"/>
  <c r="AF15" i="15"/>
  <c r="AF86" i="15"/>
  <c r="AF70" i="15"/>
  <c r="AF54" i="15"/>
  <c r="AF38" i="15"/>
  <c r="AF22" i="15"/>
  <c r="AF6" i="15"/>
  <c r="A40" i="14" a="1"/>
  <c r="A40" i="14"/>
  <c r="J40" i="14"/>
  <c r="AF65" i="15"/>
  <c r="AF4" i="15"/>
  <c r="A38" i="14" a="1"/>
  <c r="A38" i="14"/>
  <c r="J38" i="14"/>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a="1"/>
  <c r="A39" i="14"/>
  <c r="J39" i="14"/>
  <c r="AF88" i="15"/>
  <c r="AF72" i="15"/>
  <c r="AF56" i="15"/>
  <c r="AF40" i="15"/>
  <c r="AF24" i="15"/>
  <c r="AF8" i="15"/>
  <c r="A42" i="14" a="1"/>
  <c r="A42" i="14"/>
  <c r="J42" i="14"/>
  <c r="U8" i="15"/>
  <c r="A30" i="14" a="1"/>
  <c r="A30" i="14"/>
  <c r="J30" i="14"/>
  <c r="U12" i="15"/>
  <c r="U16" i="15"/>
  <c r="U20" i="15"/>
  <c r="U24" i="15"/>
  <c r="U28" i="15"/>
  <c r="U32" i="15"/>
  <c r="U36" i="15"/>
  <c r="U40" i="15"/>
  <c r="U44" i="15"/>
  <c r="U48" i="15"/>
  <c r="U52" i="15"/>
  <c r="U56" i="15"/>
  <c r="U60" i="15"/>
  <c r="U64" i="15"/>
  <c r="U68" i="15"/>
  <c r="U72" i="15"/>
  <c r="U4" i="15"/>
  <c r="A26" i="14" a="1"/>
  <c r="A26" i="14"/>
  <c r="J26" i="14"/>
  <c r="U5" i="15"/>
  <c r="A27" i="14" a="1"/>
  <c r="A27" i="14"/>
  <c r="J27" i="14"/>
  <c r="U9" i="15"/>
  <c r="A31" i="14" a="1"/>
  <c r="A31" i="14"/>
  <c r="J31" i="14"/>
  <c r="U13" i="15"/>
  <c r="U17" i="15"/>
  <c r="U21" i="15"/>
  <c r="U25" i="15"/>
  <c r="U29" i="15"/>
  <c r="U33" i="15"/>
  <c r="U37" i="15"/>
  <c r="U41" i="15"/>
  <c r="U45" i="15"/>
  <c r="U49" i="15"/>
  <c r="U53" i="15"/>
  <c r="U57" i="15"/>
  <c r="U61" i="15"/>
  <c r="U65" i="15"/>
  <c r="U69" i="15"/>
  <c r="U73" i="15"/>
  <c r="U6" i="15"/>
  <c r="A28" i="14" a="1"/>
  <c r="A28" i="14"/>
  <c r="J28" i="14"/>
  <c r="U14" i="15"/>
  <c r="U22" i="15"/>
  <c r="U30" i="15"/>
  <c r="U38" i="15"/>
  <c r="U46" i="15"/>
  <c r="U54" i="15"/>
  <c r="U62" i="15"/>
  <c r="U70" i="15"/>
  <c r="U11" i="15"/>
  <c r="U19" i="15"/>
  <c r="U27" i="15"/>
  <c r="U35" i="15"/>
  <c r="U43" i="15"/>
  <c r="U51" i="15"/>
  <c r="U59" i="15"/>
  <c r="U67" i="15"/>
  <c r="U75" i="15"/>
  <c r="U7" i="15"/>
  <c r="A29" i="14" a="1"/>
  <c r="A29" i="14"/>
  <c r="J29" i="14"/>
  <c r="U15" i="15"/>
  <c r="U23" i="15"/>
  <c r="U31" i="15"/>
  <c r="U39" i="15"/>
  <c r="U47" i="15"/>
  <c r="U55" i="15"/>
  <c r="U63" i="15"/>
  <c r="U71" i="15"/>
  <c r="U10" i="15"/>
  <c r="A32" i="14" a="1"/>
  <c r="A32" i="14"/>
  <c r="J32" i="14"/>
  <c r="U18" i="15"/>
  <c r="U26" i="15"/>
  <c r="U34" i="15"/>
  <c r="U42" i="15"/>
  <c r="U50" i="15"/>
  <c r="U58" i="15"/>
  <c r="U66" i="15"/>
  <c r="U74" i="15"/>
  <c r="J7" i="15"/>
  <c r="A9" i="14" a="1"/>
  <c r="A9" i="14"/>
  <c r="J9" i="14"/>
  <c r="J11" i="15"/>
  <c r="A13" i="14" a="1"/>
  <c r="A13" i="14"/>
  <c r="J13" i="14"/>
  <c r="J15" i="15"/>
  <c r="A17" i="14" a="1"/>
  <c r="A17" i="14"/>
  <c r="J17" i="14"/>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a="1"/>
  <c r="A10" i="14"/>
  <c r="J10" i="14"/>
  <c r="J12" i="15"/>
  <c r="A14" i="14" a="1"/>
  <c r="A14" i="14"/>
  <c r="J14" i="14"/>
  <c r="J16" i="15"/>
  <c r="A18" i="14" a="1"/>
  <c r="A18" i="14"/>
  <c r="J18" i="14"/>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a="1"/>
  <c r="A7" i="14"/>
  <c r="J7" i="14"/>
  <c r="J9" i="15"/>
  <c r="A11" i="14" a="1"/>
  <c r="A11" i="14"/>
  <c r="J11" i="14"/>
  <c r="J13" i="15"/>
  <c r="A15" i="14" a="1"/>
  <c r="A15" i="14"/>
  <c r="J15" i="14"/>
  <c r="J17" i="15"/>
  <c r="A19" i="14" a="1"/>
  <c r="A19" i="14"/>
  <c r="J19" i="14"/>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a="1"/>
  <c r="A8" i="14"/>
  <c r="J8" i="14"/>
  <c r="J10" i="15"/>
  <c r="A12" i="14" a="1"/>
  <c r="A12" i="14"/>
  <c r="J12" i="14"/>
  <c r="J14" i="15"/>
  <c r="A16" i="14" a="1"/>
  <c r="A16" i="14"/>
  <c r="J16" i="14"/>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A6" i="14" a="1"/>
  <c r="A6" i="14"/>
  <c r="A20" i="14" a="1"/>
  <c r="A20" i="14"/>
  <c r="B26" i="14"/>
  <c r="C26" i="14"/>
  <c r="C39" i="14"/>
  <c r="B39" i="14"/>
  <c r="B28" i="14"/>
  <c r="C28" i="14"/>
  <c r="C30" i="14"/>
  <c r="B30" i="14"/>
  <c r="C40" i="14"/>
  <c r="B40" i="14"/>
  <c r="B32" i="14"/>
  <c r="C32" i="14" a="1"/>
  <c r="C32" i="14"/>
  <c r="B31" i="14"/>
  <c r="C31" i="14"/>
  <c r="B42" i="14"/>
  <c r="C42" i="14"/>
  <c r="C41" i="14"/>
  <c r="B41" i="14"/>
  <c r="B29" i="14"/>
  <c r="C29" i="14"/>
  <c r="B27" i="14"/>
  <c r="C27" i="14"/>
  <c r="C38" i="14"/>
  <c r="B38" i="14"/>
  <c r="B19" i="14"/>
  <c r="C19" i="14"/>
  <c r="B8" i="14"/>
  <c r="C8" i="14"/>
  <c r="B15" i="14"/>
  <c r="C15" i="14"/>
  <c r="B10" i="14"/>
  <c r="C10" i="14"/>
  <c r="B17" i="14"/>
  <c r="C17" i="14"/>
  <c r="B12" i="14"/>
  <c r="C12" i="14"/>
  <c r="B14" i="14"/>
  <c r="C14" i="14"/>
  <c r="B11" i="14"/>
  <c r="C11" i="14"/>
  <c r="B13" i="14"/>
  <c r="C13" i="14"/>
  <c r="B16" i="14"/>
  <c r="C16" i="14"/>
  <c r="B7" i="14"/>
  <c r="C7" i="14"/>
  <c r="B18" i="14"/>
  <c r="C18" i="14"/>
  <c r="B9" i="14"/>
  <c r="C9" i="14"/>
  <c r="C37" i="10"/>
  <c r="B20" i="14"/>
  <c r="C20" i="14"/>
  <c r="J20" i="14"/>
  <c r="B6" i="14"/>
  <c r="C6" i="14"/>
  <c r="J6" i="14"/>
  <c r="F40" i="2"/>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c r="C18" i="13"/>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c r="L342" i="1"/>
  <c r="C32" i="10"/>
  <c r="L343" i="1"/>
  <c r="L256" i="1"/>
  <c r="L337" i="1"/>
  <c r="E130" i="2"/>
  <c r="C11" i="13"/>
  <c r="C10" i="13"/>
  <c r="C9" i="13"/>
  <c r="L362" i="1"/>
  <c r="B4" i="12"/>
  <c r="B36" i="12"/>
  <c r="C36" i="12"/>
  <c r="B40" i="12"/>
  <c r="C40" i="12"/>
  <c r="A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G62" i="2"/>
  <c r="F2" i="11"/>
  <c r="L614" i="1"/>
  <c r="H664" i="1"/>
  <c r="L613" i="1"/>
  <c r="G664" i="1"/>
  <c r="L612" i="1"/>
  <c r="F664" i="1"/>
  <c r="C40" i="10"/>
  <c r="F60" i="1"/>
  <c r="G60" i="1"/>
  <c r="D56" i="2"/>
  <c r="H60" i="1"/>
  <c r="E56" i="2"/>
  <c r="I60" i="1"/>
  <c r="F79" i="1"/>
  <c r="C57" i="2"/>
  <c r="F94" i="1"/>
  <c r="F111" i="1"/>
  <c r="G111" i="1"/>
  <c r="H79" i="1"/>
  <c r="H94" i="1"/>
  <c r="H111" i="1"/>
  <c r="I111" i="1"/>
  <c r="I112" i="1"/>
  <c r="J111" i="1"/>
  <c r="J112" i="1"/>
  <c r="F121" i="1"/>
  <c r="F136" i="1"/>
  <c r="F140" i="1" s="1"/>
  <c r="C38" i="10" s="1"/>
  <c r="G121" i="1"/>
  <c r="G136" i="1"/>
  <c r="H121" i="1"/>
  <c r="H136" i="1"/>
  <c r="H140" i="1"/>
  <c r="I121" i="1"/>
  <c r="I136" i="1"/>
  <c r="J121" i="1"/>
  <c r="J136" i="1"/>
  <c r="J140" i="1"/>
  <c r="F147" i="1"/>
  <c r="F170" i="1"/>
  <c r="G147" i="1"/>
  <c r="D85" i="2"/>
  <c r="H147" i="1"/>
  <c r="H170" i="1"/>
  <c r="I147" i="1"/>
  <c r="C13" i="10"/>
  <c r="L251" i="1"/>
  <c r="C113" i="2"/>
  <c r="L333" i="1"/>
  <c r="E113" i="2"/>
  <c r="L255" i="1"/>
  <c r="L269" i="1"/>
  <c r="L270" i="1"/>
  <c r="C143" i="2"/>
  <c r="L350" i="1"/>
  <c r="E142" i="2"/>
  <c r="L351" i="1"/>
  <c r="E143" i="2"/>
  <c r="I666" i="1"/>
  <c r="I671" i="1"/>
  <c r="G663" i="1"/>
  <c r="C42" i="10"/>
  <c r="L375" i="1"/>
  <c r="L376" i="1"/>
  <c r="L377" i="1"/>
  <c r="L378" i="1"/>
  <c r="L379" i="1"/>
  <c r="L380" i="1"/>
  <c r="L381" i="1"/>
  <c r="B2" i="10"/>
  <c r="L345" i="1"/>
  <c r="E134" i="2"/>
  <c r="L346" i="1"/>
  <c r="E135" i="2"/>
  <c r="L347" i="1"/>
  <c r="E137" i="2"/>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K271" i="1"/>
  <c r="J271" i="1"/>
  <c r="I271" i="1"/>
  <c r="H271" i="1"/>
  <c r="G271" i="1"/>
  <c r="F271" i="1"/>
  <c r="C131" i="2"/>
  <c r="A1" i="2"/>
  <c r="A2" i="2"/>
  <c r="C8" i="2"/>
  <c r="E8" i="2"/>
  <c r="F8" i="2"/>
  <c r="I440" i="1"/>
  <c r="J9" i="1"/>
  <c r="G8" i="2"/>
  <c r="C9" i="2"/>
  <c r="D9" i="2"/>
  <c r="E9" i="2"/>
  <c r="F9" i="2"/>
  <c r="I441" i="1"/>
  <c r="J10" i="1"/>
  <c r="G9" i="2"/>
  <c r="C10" i="2"/>
  <c r="C11" i="2"/>
  <c r="E11" i="2"/>
  <c r="F11" i="2"/>
  <c r="I442" i="1"/>
  <c r="J12" i="1"/>
  <c r="G11" i="2"/>
  <c r="C12" i="2"/>
  <c r="F12" i="2"/>
  <c r="I443" i="1"/>
  <c r="J13" i="1"/>
  <c r="G12" i="2"/>
  <c r="C13" i="2"/>
  <c r="D13" i="2"/>
  <c r="E13" i="2"/>
  <c r="F13" i="2"/>
  <c r="I444" i="1"/>
  <c r="J14" i="1"/>
  <c r="G13" i="2"/>
  <c r="F14" i="2"/>
  <c r="C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F23" i="2"/>
  <c r="I451" i="1"/>
  <c r="J24" i="1"/>
  <c r="G23" i="2"/>
  <c r="C24" i="2"/>
  <c r="D24" i="2"/>
  <c r="E24" i="2"/>
  <c r="F24" i="2"/>
  <c r="C25" i="2"/>
  <c r="F25" i="2"/>
  <c r="C26" i="2"/>
  <c r="F26" i="2"/>
  <c r="C27" i="2"/>
  <c r="D27" i="2"/>
  <c r="E27" i="2"/>
  <c r="F27" i="2"/>
  <c r="C28" i="2"/>
  <c r="D28" i="2"/>
  <c r="E28" i="2"/>
  <c r="F28" i="2"/>
  <c r="C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F56" i="2"/>
  <c r="C58" i="2"/>
  <c r="E58" i="2"/>
  <c r="C59" i="2"/>
  <c r="D59" i="2"/>
  <c r="E59" i="2"/>
  <c r="F59" i="2"/>
  <c r="D60" i="2"/>
  <c r="H60" i="2"/>
  <c r="C61" i="2"/>
  <c r="D61" i="2"/>
  <c r="E61" i="2"/>
  <c r="F61" i="2"/>
  <c r="C66" i="2"/>
  <c r="H66" i="2"/>
  <c r="C67" i="2"/>
  <c r="H67" i="2"/>
  <c r="C69" i="2"/>
  <c r="E69" i="2"/>
  <c r="H69" i="2"/>
  <c r="D69" i="2"/>
  <c r="D70" i="2"/>
  <c r="E70" i="2"/>
  <c r="F69" i="2"/>
  <c r="F70" i="2"/>
  <c r="G69" i="2"/>
  <c r="G70" i="2"/>
  <c r="C72" i="2"/>
  <c r="H72" i="2"/>
  <c r="F72" i="2"/>
  <c r="C73" i="2"/>
  <c r="F73" i="2"/>
  <c r="C74" i="2"/>
  <c r="C75" i="2"/>
  <c r="H75" i="2"/>
  <c r="C76" i="2"/>
  <c r="H76" i="2"/>
  <c r="E76" i="2"/>
  <c r="F76" i="2"/>
  <c r="C77" i="2"/>
  <c r="D77" i="2"/>
  <c r="E77" i="2"/>
  <c r="F77" i="2"/>
  <c r="G77" i="2"/>
  <c r="G78" i="2"/>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E125" i="2"/>
  <c r="F128" i="2"/>
  <c r="G128" i="2"/>
  <c r="C130" i="2"/>
  <c r="D134" i="2"/>
  <c r="D144" i="2"/>
  <c r="F134" i="2"/>
  <c r="K420" i="1"/>
  <c r="K428" i="1"/>
  <c r="K434" i="1"/>
  <c r="L264" i="1"/>
  <c r="C135" i="2"/>
  <c r="H135" i="2"/>
  <c r="L265" i="1"/>
  <c r="C136" i="2"/>
  <c r="H136" i="2"/>
  <c r="L266" i="1"/>
  <c r="C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H19" i="1"/>
  <c r="G620" i="1"/>
  <c r="I19" i="1"/>
  <c r="G621" i="1"/>
  <c r="F32" i="1"/>
  <c r="F52" i="1"/>
  <c r="H618" i="1"/>
  <c r="G32" i="1"/>
  <c r="G52" i="1"/>
  <c r="H619" i="1"/>
  <c r="H32" i="1"/>
  <c r="I32" i="1"/>
  <c r="H51"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c r="J363" i="1"/>
  <c r="K363" i="1"/>
  <c r="I369" i="1"/>
  <c r="F370" i="1"/>
  <c r="G370" i="1"/>
  <c r="H370" i="1"/>
  <c r="L382" i="1"/>
  <c r="F383" i="1"/>
  <c r="G383" i="1"/>
  <c r="H383" i="1"/>
  <c r="I383" i="1"/>
  <c r="J383" i="1"/>
  <c r="K383" i="1"/>
  <c r="F394" i="1"/>
  <c r="G394" i="1"/>
  <c r="H394" i="1"/>
  <c r="I394" i="1"/>
  <c r="I409" i="1"/>
  <c r="F402" i="1"/>
  <c r="G402" i="1"/>
  <c r="H402" i="1"/>
  <c r="I402" i="1"/>
  <c r="F408" i="1"/>
  <c r="G408" i="1"/>
  <c r="G409" i="1"/>
  <c r="H646" i="1"/>
  <c r="H408" i="1"/>
  <c r="I408" i="1"/>
  <c r="F409" i="1"/>
  <c r="H644"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c r="H653" i="1"/>
  <c r="G654" i="1"/>
  <c r="H654" i="1"/>
  <c r="H655" i="1"/>
  <c r="H656" i="1"/>
  <c r="I170" i="1"/>
  <c r="H477" i="1"/>
  <c r="H625" i="1"/>
  <c r="J625" i="1"/>
  <c r="H96" i="2"/>
  <c r="H61" i="2"/>
  <c r="D78" i="2"/>
  <c r="H77" i="2"/>
  <c r="G477" i="1"/>
  <c r="D29" i="13"/>
  <c r="G662" i="1"/>
  <c r="K2" i="14"/>
  <c r="K3" i="14"/>
  <c r="E121" i="2"/>
  <c r="H125" i="2"/>
  <c r="H112" i="2"/>
  <c r="M2" i="14"/>
  <c r="M3" i="14"/>
  <c r="D15" i="13"/>
  <c r="C15" i="13"/>
  <c r="C121" i="2"/>
  <c r="H121" i="2"/>
  <c r="N2" i="14"/>
  <c r="N3" i="14"/>
  <c r="E13" i="13"/>
  <c r="C13" i="13"/>
  <c r="C120" i="2"/>
  <c r="H120" i="2"/>
  <c r="C12" i="10"/>
  <c r="D6" i="13"/>
  <c r="C6" i="13"/>
  <c r="L2" i="14"/>
  <c r="L3" i="14"/>
  <c r="E119" i="2"/>
  <c r="H119" i="2"/>
  <c r="H409" i="1"/>
  <c r="H645" i="1"/>
  <c r="G339" i="1"/>
  <c r="G353" i="1"/>
  <c r="J258" i="1"/>
  <c r="J272" i="1"/>
  <c r="E123" i="2"/>
  <c r="E110" i="2"/>
  <c r="H110" i="2"/>
  <c r="K339" i="1"/>
  <c r="K353" i="1"/>
  <c r="J656" i="1"/>
  <c r="J572" i="1"/>
  <c r="E131" i="2"/>
  <c r="G553" i="1"/>
  <c r="H663" i="1"/>
  <c r="F258" i="1"/>
  <c r="F272" i="1"/>
  <c r="C20" i="10"/>
  <c r="I370" i="1"/>
  <c r="H635" i="1"/>
  <c r="J635" i="1"/>
  <c r="L257" i="1"/>
  <c r="H193" i="1"/>
  <c r="C11" i="10"/>
  <c r="A31" i="12"/>
  <c r="E114" i="2"/>
  <c r="E85" i="2"/>
  <c r="E91" i="2"/>
  <c r="H112" i="1"/>
  <c r="L402" i="1"/>
  <c r="C139" i="2"/>
  <c r="C91" i="2"/>
  <c r="H462" i="1"/>
  <c r="H642" i="1"/>
  <c r="J642" i="1"/>
  <c r="F339" i="1"/>
  <c r="F353" i="1"/>
  <c r="L561" i="1"/>
  <c r="G462" i="1"/>
  <c r="H641" i="1"/>
  <c r="E103" i="2"/>
  <c r="H553" i="1"/>
  <c r="L310" i="1"/>
  <c r="I546" i="1"/>
  <c r="F462" i="1"/>
  <c r="H640" i="1"/>
  <c r="J640" i="1"/>
  <c r="K606" i="1"/>
  <c r="G649" i="1"/>
  <c r="H258" i="1"/>
  <c r="H272" i="1"/>
  <c r="I52" i="1"/>
  <c r="H621" i="1"/>
  <c r="J621" i="1"/>
  <c r="C18" i="2"/>
  <c r="F18" i="2"/>
  <c r="L271" i="1"/>
  <c r="F662" i="1"/>
  <c r="F572" i="1"/>
  <c r="L420" i="1"/>
  <c r="D91" i="2"/>
  <c r="H91" i="2"/>
  <c r="D81" i="2"/>
  <c r="E78" i="2"/>
  <c r="E81" i="2"/>
  <c r="G546" i="1"/>
  <c r="J644" i="1"/>
  <c r="J646" i="1"/>
  <c r="F112" i="1"/>
  <c r="L394" i="1"/>
  <c r="C138" i="2"/>
  <c r="L363" i="1"/>
  <c r="B17" i="16"/>
  <c r="B19" i="16"/>
  <c r="B28" i="16"/>
  <c r="L329" i="1"/>
  <c r="E122" i="2"/>
  <c r="L291" i="1"/>
  <c r="H624" i="1"/>
  <c r="J624" i="1"/>
  <c r="B33" i="16"/>
  <c r="L615" i="1"/>
  <c r="K599" i="1"/>
  <c r="G648" i="1"/>
  <c r="K572" i="1"/>
  <c r="L571" i="1"/>
  <c r="H572" i="1"/>
  <c r="L566" i="1"/>
  <c r="L572" i="1"/>
  <c r="I572" i="1"/>
  <c r="K546" i="1"/>
  <c r="H52" i="1"/>
  <c r="H620" i="1"/>
  <c r="J620" i="1"/>
  <c r="C114" i="2"/>
  <c r="G112" i="1"/>
  <c r="B10" i="16"/>
  <c r="E118" i="2"/>
  <c r="L248" i="1"/>
  <c r="L212" i="1"/>
  <c r="H648" i="1"/>
  <c r="J645" i="1"/>
  <c r="G626" i="1"/>
  <c r="L530" i="1"/>
  <c r="H546" i="1"/>
  <c r="G164" i="2"/>
  <c r="G161" i="2"/>
  <c r="G157" i="2"/>
  <c r="G156" i="2"/>
  <c r="G81" i="2"/>
  <c r="C78" i="2"/>
  <c r="F78" i="2"/>
  <c r="F81" i="2"/>
  <c r="C70" i="2"/>
  <c r="H70" i="2"/>
  <c r="D62" i="2"/>
  <c r="E57" i="2"/>
  <c r="E62" i="2"/>
  <c r="E63" i="2"/>
  <c r="C26" i="10"/>
  <c r="C18" i="10"/>
  <c r="J641" i="1"/>
  <c r="J546" i="1"/>
  <c r="I477" i="1"/>
  <c r="H626" i="1"/>
  <c r="J477" i="1"/>
  <c r="H627" i="1"/>
  <c r="F477" i="1"/>
  <c r="H623" i="1"/>
  <c r="J623" i="1"/>
  <c r="L434" i="1"/>
  <c r="L428" i="1"/>
  <c r="I258" i="1"/>
  <c r="I272" i="1"/>
  <c r="K258" i="1"/>
  <c r="K272" i="1"/>
  <c r="G193" i="1"/>
  <c r="B13" i="16"/>
  <c r="F193" i="1"/>
  <c r="J553" i="1"/>
  <c r="I553" i="1"/>
  <c r="K550" i="1"/>
  <c r="F553" i="1"/>
  <c r="L352" i="1"/>
  <c r="F130" i="2"/>
  <c r="F144" i="2" s="1"/>
  <c r="G170" i="1"/>
  <c r="B12" i="16"/>
  <c r="J618" i="1"/>
  <c r="K552" i="1"/>
  <c r="I25" i="13"/>
  <c r="K551" i="1"/>
  <c r="L535" i="1"/>
  <c r="K501" i="1"/>
  <c r="I461" i="1"/>
  <c r="I453" i="1"/>
  <c r="I447" i="1"/>
  <c r="G643" i="1"/>
  <c r="H339" i="1"/>
  <c r="H353" i="1"/>
  <c r="C123" i="2"/>
  <c r="E109" i="2"/>
  <c r="C56" i="2"/>
  <c r="H56" i="2"/>
  <c r="F663" i="1"/>
  <c r="I663" i="1"/>
  <c r="C25" i="10"/>
  <c r="C21" i="10"/>
  <c r="C17" i="10"/>
  <c r="D19" i="13"/>
  <c r="C19" i="13"/>
  <c r="D14" i="13"/>
  <c r="C14" i="13"/>
  <c r="C62" i="2"/>
  <c r="G22" i="13"/>
  <c r="C22" i="13"/>
  <c r="L540" i="1"/>
  <c r="K504" i="1"/>
  <c r="L383" i="1"/>
  <c r="G637" i="1"/>
  <c r="J637" i="1"/>
  <c r="G258" i="1"/>
  <c r="G272" i="1"/>
  <c r="C142" i="2"/>
  <c r="C111" i="2"/>
  <c r="H111" i="2"/>
  <c r="H662" i="1"/>
  <c r="C15" i="10"/>
  <c r="A13" i="12"/>
  <c r="C29" i="13"/>
  <c r="D12" i="13"/>
  <c r="C12" i="13"/>
  <c r="D5" i="13"/>
  <c r="C5" i="13"/>
  <c r="E8" i="13"/>
  <c r="E33" i="13" s="1"/>
  <c r="D35" i="13" s="1"/>
  <c r="C35" i="10"/>
  <c r="C29" i="10"/>
  <c r="G650" i="1"/>
  <c r="J650" i="1"/>
  <c r="L545" i="1"/>
  <c r="L525" i="1"/>
  <c r="J339" i="1"/>
  <c r="J353" i="1"/>
  <c r="D127" i="2"/>
  <c r="C124" i="2"/>
  <c r="H124" i="2"/>
  <c r="C122" i="2"/>
  <c r="C118" i="2"/>
  <c r="H118" i="2"/>
  <c r="C19" i="10"/>
  <c r="C16" i="10"/>
  <c r="D17" i="13"/>
  <c r="C17" i="13"/>
  <c r="D7" i="13"/>
  <c r="C7" i="13"/>
  <c r="E16" i="13"/>
  <c r="C16" i="13"/>
  <c r="C10" i="10"/>
  <c r="C109" i="2"/>
  <c r="L230" i="1"/>
  <c r="G24" i="14"/>
  <c r="H24" i="14"/>
  <c r="I24" i="14"/>
  <c r="L338" i="1"/>
  <c r="F62" i="2"/>
  <c r="F63" i="2"/>
  <c r="C23" i="10"/>
  <c r="G163" i="2"/>
  <c r="G162" i="2"/>
  <c r="G160" i="2"/>
  <c r="G159" i="2"/>
  <c r="G158" i="2"/>
  <c r="G103" i="2"/>
  <c r="F103" i="2"/>
  <c r="C103" i="2"/>
  <c r="F91" i="2"/>
  <c r="C50" i="2"/>
  <c r="F31" i="2"/>
  <c r="C31" i="2"/>
  <c r="E144" i="2"/>
  <c r="F50" i="2"/>
  <c r="C24" i="10"/>
  <c r="H31" i="13"/>
  <c r="H33" i="13"/>
  <c r="I339" i="1"/>
  <c r="I353" i="1"/>
  <c r="J651" i="1"/>
  <c r="L408" i="1"/>
  <c r="C140" i="2"/>
  <c r="I193" i="1"/>
  <c r="J655" i="1"/>
  <c r="J654" i="1"/>
  <c r="G21" i="2"/>
  <c r="G31" i="2"/>
  <c r="J32" i="1"/>
  <c r="J435" i="1"/>
  <c r="F435" i="1"/>
  <c r="K435" i="1"/>
  <c r="G134" i="2"/>
  <c r="G144" i="2"/>
  <c r="G145" i="2"/>
  <c r="G31" i="13"/>
  <c r="J194" i="1"/>
  <c r="G647" i="1"/>
  <c r="G140" i="1"/>
  <c r="B11" i="16"/>
  <c r="G63" i="2"/>
  <c r="J619" i="1"/>
  <c r="G42" i="2"/>
  <c r="G50" i="2"/>
  <c r="J51" i="1"/>
  <c r="G16" i="2"/>
  <c r="G18" i="2"/>
  <c r="J19" i="1"/>
  <c r="G622" i="1"/>
  <c r="F546" i="1"/>
  <c r="H435" i="1"/>
  <c r="D103" i="2"/>
  <c r="H103" i="2"/>
  <c r="I140" i="1"/>
  <c r="A22" i="12"/>
  <c r="J653" i="1"/>
  <c r="G572" i="1"/>
  <c r="I435" i="1"/>
  <c r="G435" i="1"/>
  <c r="I664" i="1"/>
  <c r="H57" i="2"/>
  <c r="D63" i="2"/>
  <c r="H62" i="2"/>
  <c r="H78" i="2"/>
  <c r="I662" i="1"/>
  <c r="D128" i="2"/>
  <c r="D145" i="2"/>
  <c r="H127" i="2"/>
  <c r="H122" i="2"/>
  <c r="H123" i="2"/>
  <c r="E128" i="2"/>
  <c r="M24" i="14"/>
  <c r="F661" i="1"/>
  <c r="E115" i="2"/>
  <c r="H109" i="2"/>
  <c r="H661" i="1"/>
  <c r="H665" i="1"/>
  <c r="H194" i="1"/>
  <c r="G630" i="1"/>
  <c r="J630" i="1"/>
  <c r="H649" i="1"/>
  <c r="J649" i="1"/>
  <c r="C141" i="2"/>
  <c r="C144" i="2"/>
  <c r="F51" i="2"/>
  <c r="G36" i="14"/>
  <c r="H36" i="14"/>
  <c r="E104" i="2"/>
  <c r="C36" i="10"/>
  <c r="L435" i="1"/>
  <c r="G639" i="1"/>
  <c r="J639" i="1"/>
  <c r="F665" i="1"/>
  <c r="F670" i="1"/>
  <c r="G104" i="2"/>
  <c r="L339" i="1"/>
  <c r="L353" i="1"/>
  <c r="G634" i="1"/>
  <c r="J634" i="1"/>
  <c r="I194" i="1"/>
  <c r="G631" i="1"/>
  <c r="J631" i="1"/>
  <c r="G636" i="1"/>
  <c r="J636" i="1"/>
  <c r="G51" i="2"/>
  <c r="D104" i="2"/>
  <c r="L409" i="1"/>
  <c r="C27" i="10"/>
  <c r="C28" i="10"/>
  <c r="D23" i="10"/>
  <c r="G4" i="14"/>
  <c r="H4" i="14"/>
  <c r="I4" i="14"/>
  <c r="L546" i="1"/>
  <c r="J626" i="1"/>
  <c r="F104" i="2"/>
  <c r="B14" i="16"/>
  <c r="B22" i="16"/>
  <c r="J648" i="1"/>
  <c r="L258" i="1"/>
  <c r="L272" i="1"/>
  <c r="G633" i="1"/>
  <c r="J633" i="1"/>
  <c r="C115" i="2"/>
  <c r="C63" i="2"/>
  <c r="C39" i="10"/>
  <c r="G33" i="13"/>
  <c r="C128" i="2"/>
  <c r="H128" i="2"/>
  <c r="D31" i="13"/>
  <c r="C31" i="13"/>
  <c r="I462" i="1"/>
  <c r="H643" i="1"/>
  <c r="J643" i="1"/>
  <c r="G661" i="1"/>
  <c r="G665" i="1"/>
  <c r="C25" i="13"/>
  <c r="I33" i="13"/>
  <c r="K553" i="1"/>
  <c r="C51" i="2"/>
  <c r="G632" i="1"/>
  <c r="J632" i="1"/>
  <c r="G194" i="1"/>
  <c r="G629" i="1"/>
  <c r="J629" i="1"/>
  <c r="G627" i="1"/>
  <c r="J627" i="1"/>
  <c r="J52" i="1"/>
  <c r="H622" i="1"/>
  <c r="J622" i="1"/>
  <c r="H63" i="2"/>
  <c r="M36" i="14"/>
  <c r="I36" i="14"/>
  <c r="H115" i="2"/>
  <c r="E145" i="2"/>
  <c r="H668" i="1"/>
  <c r="H670" i="1"/>
  <c r="H673" i="1" s="1"/>
  <c r="C6" i="10" s="1"/>
  <c r="G670" i="1"/>
  <c r="G673" i="1" s="1"/>
  <c r="C5" i="10" s="1"/>
  <c r="F668" i="1"/>
  <c r="I661" i="1"/>
  <c r="I665" i="1"/>
  <c r="G668" i="1"/>
  <c r="C145" i="2"/>
  <c r="D25" i="10"/>
  <c r="G638" i="1"/>
  <c r="J638" i="1"/>
  <c r="H647" i="1"/>
  <c r="J647" i="1"/>
  <c r="D22" i="10"/>
  <c r="D18" i="10"/>
  <c r="D27" i="10"/>
  <c r="D15" i="10"/>
  <c r="D21" i="10"/>
  <c r="D24" i="10"/>
  <c r="D20" i="10"/>
  <c r="D11" i="10"/>
  <c r="D12" i="10"/>
  <c r="D13" i="10"/>
  <c r="D17" i="10"/>
  <c r="D19" i="10"/>
  <c r="D10" i="10"/>
  <c r="D26" i="10"/>
  <c r="C30" i="10"/>
  <c r="D16" i="10"/>
  <c r="D33" i="13"/>
  <c r="D36" i="13" s="1"/>
  <c r="F673" i="1"/>
  <c r="C4" i="10" s="1"/>
  <c r="I668" i="1"/>
  <c r="D28" i="10"/>
  <c r="I670" i="1" l="1"/>
  <c r="I673" i="1" s="1"/>
  <c r="C7" i="10" s="1"/>
  <c r="C81" i="2"/>
  <c r="C41" i="10"/>
  <c r="C104" i="2"/>
  <c r="H104" i="2" s="1"/>
  <c r="H81" i="2"/>
  <c r="F194" i="1"/>
  <c r="G628" i="1" s="1"/>
  <c r="C8" i="13"/>
  <c r="F145" i="2"/>
  <c r="H145" i="2" s="1"/>
  <c r="H144" i="2"/>
  <c r="H130" i="2"/>
  <c r="D39" i="10" l="1"/>
  <c r="D37" i="10"/>
  <c r="D36" i="10"/>
  <c r="D35" i="10"/>
  <c r="D40" i="10"/>
  <c r="H657" i="1"/>
  <c r="J628" i="1"/>
  <c r="D38"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<sst xmlns="http://schemas.openxmlformats.org/spreadsheetml/2006/main" count="6557" uniqueCount="1812">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</sst>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110" zoomScaleNormal="11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1355</v>
      </c>
      <c r="B2">
        <f>INDEX('School Tables'!$AH$3:$AH$209,MATCH('DOE25'!A2,'School Tables'!$AJ$3:$AJ$209,0))</f>
        <v>449</v>
      </c>
      <c r="C2">
        <f>INDEX('School Tables'!$AI$3:$AI$209,MATCH('DOE25'!A2,'School Tables'!$AJ$3:$AJ$209,0))</f>
        <v>449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c r="G9" s="18">
        <v>1408</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v>136463.60999999999</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58487.35</v>
      </c>
      <c r="H13" s="18">
        <v>908380.28</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f>21882.97+28093.69+13553.74</f>
        <v>63530.400000000001</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0</v>
      </c>
      <c r="G19" s="38">
        <f>SUM(G9:G18)</f>
        <v>259889.36</v>
      </c>
      <c r="H19" s="38">
        <f>SUM(H9:H18)</f>
        <v>908380.28</v>
      </c>
      <c r="I19" s="38">
        <f>SUM(I9:I18)</f>
        <v>0</v>
      </c>
      <c r="J19" s="38">
        <f>SUM(J9:J18)</f>
        <v>0</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v>3236.52</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f>28093.69+36097.13</f>
        <v>64190.819999999992</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0</v>
      </c>
      <c r="G32" s="38">
        <f>SUM(G22:G31)</f>
        <v>67427.34</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192462.02</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908380.28</v>
      </c>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0</v>
      </c>
      <c r="G51" s="38">
        <f>SUM(G35:G50)</f>
        <v>192462.02</v>
      </c>
      <c r="H51" s="38">
        <f>SUM(H35:H50)</f>
        <v>908380.28</v>
      </c>
      <c r="I51" s="38">
        <f>SUM(I35:I50)</f>
        <v>0</v>
      </c>
      <c r="J51" s="38">
        <f>SUM(J35:J50)</f>
        <v>0</v>
      </c>
      <c r="K51" s="42" t="s">
        <v>288</v>
      </c>
      <c r="L51" s="42" t="s">
        <v>288</v>
      </c>
      <c r="N51" s="131"/>
    </row>
    <row r="52" spans="1:14" s="3" customFormat="1" ht="12.2" customHeight="1" thickTop="1" x14ac:dyDescent="0.15">
      <c r="A52" s="35" t="s">
        <v>455</v>
      </c>
      <c r="B52" s="36" t="s">
        <v>289</v>
      </c>
      <c r="C52" s="6">
        <v>37</v>
      </c>
      <c r="D52" s="36" t="s">
        <v>653</v>
      </c>
      <c r="E52" s="36"/>
      <c r="F52" s="38">
        <f>F51+F32</f>
        <v>0</v>
      </c>
      <c r="G52" s="38">
        <f>G51+G32</f>
        <v>259889.36</v>
      </c>
      <c r="H52" s="38">
        <f>H51+H32</f>
        <v>908380.28</v>
      </c>
      <c r="I52" s="38">
        <f>I51+I32</f>
        <v>0</v>
      </c>
      <c r="J52" s="38">
        <f>J51+J32</f>
        <v>0</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36421070.060000002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f>645977.92+6093.2</f>
        <v>652071.12</v>
      </c>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36421070.060000002</v>
      </c>
      <c r="G60" s="38">
        <f>SUM(G57:G59)</f>
        <v>0</v>
      </c>
      <c r="H60" s="38">
        <f>SUM(H57:H59)</f>
        <v>652071.12</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61851+43354</f>
        <v>105205</v>
      </c>
      <c r="G63" s="23" t="s">
        <v>288</v>
      </c>
      <c r="H63" s="18">
        <f>72800+320.31</f>
        <v>73120.31</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6704841.5800000001</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f>355973.25+163111.5+247965.12</f>
        <v>767049.87</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v>16143.66</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6810046.5800000001</v>
      </c>
      <c r="G79" s="42" t="s">
        <v>288</v>
      </c>
      <c r="H79" s="38">
        <f>SUM(H63:H78)</f>
        <v>856313.84</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f>450424.22</f>
        <v>450424.22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f>17535+9280</f>
        <v>26815</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1600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f>141937.59-20000+1500</f>
        <v>123437.59</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f>24058.61+4147.61</f>
        <v>28206.22</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f>32660.96+424.75</f>
        <v>33085.71</v>
      </c>
      <c r="H110" s="18">
        <v>134929.24</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29806.22</v>
      </c>
      <c r="G111" s="38">
        <f>SUM(G96:G110)</f>
        <v>483509.93</v>
      </c>
      <c r="H111" s="38">
        <f>SUM(H96:H110)</f>
        <v>285181.82999999996</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43260922.859999999</v>
      </c>
      <c r="G112" s="38">
        <f>G60+G111</f>
        <v>483509.93</v>
      </c>
      <c r="H112" s="38">
        <f>H60+H79+H94+H111</f>
        <v>1793566.79</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3285215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8597476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358978+5679.99</f>
        <v>364657.99</v>
      </c>
      <c r="G120" s="18"/>
      <c r="H120" s="18">
        <v>6093.2</v>
      </c>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12247348.99</v>
      </c>
      <c r="G121" s="38">
        <f>SUM(G117:G120)</f>
        <v>0</v>
      </c>
      <c r="H121" s="38">
        <f>SUM(H117:H120)</f>
        <v>6093.2</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1757196.45</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645977.92000000004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2484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10982.44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2405658.37</v>
      </c>
      <c r="G136" s="38">
        <f>SUM(G123:G135)</f>
        <v>10982.44</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14653007.359999999</v>
      </c>
      <c r="G140" s="38">
        <f>G121+SUM(G136:G137)</f>
        <v>10982.44</v>
      </c>
      <c r="H140" s="38">
        <f>H121+SUM(H136:H139)</f>
        <v>6093.2</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36102.54+313907.51</f>
        <v>350010.05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160770.85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75120.08</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309355.63+57341.67+77011.4</f>
        <v>443708.69999999995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656366.68000000005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v>409445.38</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58770.93</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68346.1+658332.25+3265.73</f>
        <v>729944.08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443708.69999999995</v>
      </c>
      <c r="H163" s="38">
        <f>SUM(H150:H162)</f>
        <v>2440428.0499999998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443708.69999999995</v>
      </c>
      <c r="H170" s="38">
        <f>H147+H163+SUM(H164:H169)</f>
        <v>2440428.0499999998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f>27364.26-424.75</f>
        <v>26939.51</v>
      </c>
      <c r="H180" s="18">
        <f>650000+20000+(352871-35000)+35000</f>
        <v>1022871</v>
      </c>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26939.51</v>
      </c>
      <c r="H184" s="38">
        <f>SUM(H180:H183)</f>
        <v>1022871</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26939.51</v>
      </c>
      <c r="H193" s="38">
        <f>+H184+SUM(H189:H192)</f>
        <v>1022871</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57913930.219999999</v>
      </c>
      <c r="G194" s="38">
        <f>G112+G140+G170+G193</f>
        <v>965140.58</v>
      </c>
      <c r="H194" s="38">
        <f>H112+H140+H170+H193</f>
        <v>5262959.04</v>
      </c>
      <c r="I194" s="38">
        <f>I112+I140+I170+I193</f>
        <v>0</v>
      </c>
      <c r="J194" s="38">
        <f>J112+J140+J193</f>
        <v>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5991476.3899999997</v>
      </c>
      <c r="G198" s="18">
        <v>3648173.21</v>
      </c>
      <c r="H198" s="18">
        <v>11273.33</v>
      </c>
      <c r="I198" s="18">
        <v>159574.58000000002</v>
      </c>
      <c r="J198" s="18">
        <v>51722.880000000005</v>
      </c>
      <c r="K198" s="18">
        <v>0</v>
      </c>
      <c r="L198" s="13">
        <f>SUM(F198:K198)</f>
        <v>9862220.3900000006</v>
      </c>
      <c r="M198" s="8"/>
      <c r="N198" s="165"/>
    </row>
    <row r="199" spans="1:14" s="3" customFormat="1" ht="12.2" customHeight="1" x14ac:dyDescent="0.15">
      <c r="A199" s="1" t="s">
        <v>439</v>
      </c>
      <c r="B199" s="2" t="s">
        <v>341</v>
      </c>
      <c r="C199" s="2" t="s">
        <v>291</v>
      </c>
      <c r="D199" s="2" t="s">
        <v>431</v>
      </c>
      <c r="E199" s="6">
        <v>1200</v>
      </c>
      <c r="F199" s="18">
        <v>2472160.9899999998</v>
      </c>
      <c r="G199" s="18">
        <v>1322220.73</v>
      </c>
      <c r="H199" s="18">
        <v>1004330.7100000001</v>
      </c>
      <c r="I199" s="18">
        <v>3837.74</v>
      </c>
      <c r="J199" s="18">
        <v>587</v>
      </c>
      <c r="K199" s="18">
        <v>0</v>
      </c>
      <c r="L199" s="13">
        <f>SUM(F199:K199)</f>
        <v>4803137.17</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53820</v>
      </c>
      <c r="G201" s="18">
        <v>23373.94</v>
      </c>
      <c r="H201" s="18">
        <v>5550</v>
      </c>
      <c r="I201" s="18">
        <v>0</v>
      </c>
      <c r="J201" s="18">
        <v>0</v>
      </c>
      <c r="K201" s="18">
        <v>0</v>
      </c>
      <c r="L201" s="13">
        <f>SUM(F201:K201)</f>
        <v>82743.94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1957706.85</v>
      </c>
      <c r="G203" s="18">
        <v>1191380.72</v>
      </c>
      <c r="H203" s="18">
        <v>178338.47</v>
      </c>
      <c r="I203" s="18">
        <v>26367.18</v>
      </c>
      <c r="J203" s="18">
        <v>1714.97</v>
      </c>
      <c r="K203" s="18">
        <v>2853</v>
      </c>
      <c r="L203" s="13">
        <f t="shared" ref="L203:L209" si="0">SUM(F203:K203)</f>
        <v>3358361.1900000009</v>
      </c>
      <c r="M203" s="8"/>
      <c r="N203" s="165"/>
    </row>
    <row r="204" spans="1:14" s="3" customFormat="1" ht="12.2" customHeight="1" x14ac:dyDescent="0.15">
      <c r="A204" s="1" t="s">
        <v>443</v>
      </c>
      <c r="B204" s="2" t="s">
        <v>341</v>
      </c>
      <c r="C204" s="2" t="s">
        <v>295</v>
      </c>
      <c r="D204" s="2" t="s">
        <v>431</v>
      </c>
      <c r="E204" s="6">
        <v>2200</v>
      </c>
      <c r="F204" s="18">
        <v>281535.8</v>
      </c>
      <c r="G204" s="18">
        <v>157435.46000000002</v>
      </c>
      <c r="H204" s="18">
        <v>3895.73</v>
      </c>
      <c r="I204" s="18">
        <v>33687.51</v>
      </c>
      <c r="J204" s="18">
        <v>59896.92</v>
      </c>
      <c r="K204" s="18">
        <v>0</v>
      </c>
      <c r="L204" s="13">
        <f t="shared" si="0"/>
        <v>536451.42000000004</v>
      </c>
      <c r="M204" s="8"/>
      <c r="N204" s="165"/>
    </row>
    <row r="205" spans="1:14" s="3" customFormat="1" ht="12.2" customHeight="1" x14ac:dyDescent="0.15">
      <c r="A205" s="1" t="s">
        <v>444</v>
      </c>
      <c r="B205" s="2" t="s">
        <v>341</v>
      </c>
      <c r="C205" s="2" t="s">
        <v>296</v>
      </c>
      <c r="D205" s="2" t="s">
        <v>431</v>
      </c>
      <c r="E205" s="6">
        <v>2300</v>
      </c>
      <c r="F205" s="18">
        <v>222999.6</v>
      </c>
      <c r="G205" s="18">
        <v>117462.51</v>
      </c>
      <c r="H205" s="18">
        <v>68933.64</v>
      </c>
      <c r="I205" s="18">
        <v>14101.49</v>
      </c>
      <c r="J205" s="18">
        <v>955.73</v>
      </c>
      <c r="K205" s="18">
        <v>20439.88</v>
      </c>
      <c r="L205" s="13">
        <f t="shared" si="0"/>
        <v>444892.85</v>
      </c>
      <c r="M205" s="8"/>
      <c r="N205" s="165"/>
    </row>
    <row r="206" spans="1:14" s="3" customFormat="1" ht="12.2" customHeight="1" x14ac:dyDescent="0.15">
      <c r="A206" s="1" t="s">
        <v>445</v>
      </c>
      <c r="B206" s="2" t="s">
        <v>341</v>
      </c>
      <c r="C206" s="2" t="s">
        <v>297</v>
      </c>
      <c r="D206" s="2" t="s">
        <v>431</v>
      </c>
      <c r="E206" s="6">
        <v>2400</v>
      </c>
      <c r="F206" s="18">
        <v>697454.81</v>
      </c>
      <c r="G206" s="18">
        <v>410218.98</v>
      </c>
      <c r="H206" s="18">
        <v>1285.75</v>
      </c>
      <c r="I206" s="18">
        <v>806.94</v>
      </c>
      <c r="J206" s="18">
        <v>0</v>
      </c>
      <c r="K206" s="18">
        <v>0</v>
      </c>
      <c r="L206" s="13">
        <f t="shared" si="0"/>
        <v>1109766.48</v>
      </c>
      <c r="M206" s="8"/>
      <c r="N206" s="165"/>
    </row>
    <row r="207" spans="1:14" s="3" customFormat="1" ht="12.2" customHeight="1" x14ac:dyDescent="0.15">
      <c r="A207" s="1" t="s">
        <v>446</v>
      </c>
      <c r="B207" s="2" t="s">
        <v>341</v>
      </c>
      <c r="C207" s="2" t="s">
        <v>298</v>
      </c>
      <c r="D207" s="2" t="s">
        <v>431</v>
      </c>
      <c r="E207" s="6">
        <v>2500</v>
      </c>
      <c r="F207" s="18">
        <v>136603.17000000001</v>
      </c>
      <c r="G207" s="18">
        <v>67610.820000000007</v>
      </c>
      <c r="H207" s="18">
        <v>65675.41</v>
      </c>
      <c r="I207" s="18">
        <v>1397.67</v>
      </c>
      <c r="J207" s="18">
        <v>703.84</v>
      </c>
      <c r="K207" s="18">
        <v>643.58000000000004</v>
      </c>
      <c r="L207" s="13">
        <f t="shared" si="0"/>
        <v>272634.49000000005</v>
      </c>
      <c r="M207" s="8"/>
      <c r="N207" s="165"/>
    </row>
    <row r="208" spans="1:14" s="3" customFormat="1" ht="12.2" customHeight="1" x14ac:dyDescent="0.15">
      <c r="A208" s="1" t="s">
        <v>447</v>
      </c>
      <c r="B208" s="2" t="s">
        <v>341</v>
      </c>
      <c r="C208" s="2" t="s">
        <v>299</v>
      </c>
      <c r="D208" s="2" t="s">
        <v>431</v>
      </c>
      <c r="E208" s="6">
        <v>2600</v>
      </c>
      <c r="F208" s="18">
        <v>533114.24</v>
      </c>
      <c r="G208" s="18">
        <v>283505.61</v>
      </c>
      <c r="H208" s="18">
        <v>349040.25</v>
      </c>
      <c r="I208" s="18">
        <v>225866.12</v>
      </c>
      <c r="J208" s="18">
        <v>15679.68</v>
      </c>
      <c r="K208" s="18">
        <v>0</v>
      </c>
      <c r="L208" s="13">
        <f t="shared" si="0"/>
        <v>1407205.9000000001</v>
      </c>
      <c r="M208" s="8"/>
      <c r="N208" s="165"/>
    </row>
    <row r="209" spans="1:14" s="3" customFormat="1" ht="12.2" customHeight="1" x14ac:dyDescent="0.15">
      <c r="A209" s="1" t="s">
        <v>448</v>
      </c>
      <c r="B209" s="2" t="s">
        <v>341</v>
      </c>
      <c r="C209" s="2" t="s">
        <v>300</v>
      </c>
      <c r="D209" s="2" t="s">
        <v>431</v>
      </c>
      <c r="E209" s="6">
        <v>2700</v>
      </c>
      <c r="F209" s="18">
        <v>0</v>
      </c>
      <c r="G209" s="18">
        <v>0</v>
      </c>
      <c r="H209" s="18">
        <v>507160.94</v>
      </c>
      <c r="I209" s="18">
        <v>0</v>
      </c>
      <c r="J209" s="18">
        <v>0</v>
      </c>
      <c r="K209" s="18">
        <v>0</v>
      </c>
      <c r="L209" s="13">
        <f t="shared" si="0"/>
        <v>507160.94</v>
      </c>
      <c r="M209" s="8"/>
      <c r="N209" s="165"/>
    </row>
    <row r="210" spans="1:14" s="3" customFormat="1" ht="12.2" customHeight="1" x14ac:dyDescent="0.15">
      <c r="A210" s="1" t="s">
        <v>449</v>
      </c>
      <c r="B210" s="2" t="s">
        <v>341</v>
      </c>
      <c r="C210" s="2" t="s">
        <v>343</v>
      </c>
      <c r="D210" s="2" t="s">
        <v>431</v>
      </c>
      <c r="E210" s="6">
        <v>2800</v>
      </c>
      <c r="F210" s="18">
        <v>258581.67</v>
      </c>
      <c r="G210" s="18">
        <v>134743.93</v>
      </c>
      <c r="H210" s="18">
        <v>54338.43</v>
      </c>
      <c r="I210" s="18">
        <v>19870.759999999998</v>
      </c>
      <c r="J210" s="18">
        <v>7509.84</v>
      </c>
      <c r="K210" s="18">
        <v>719.32</v>
      </c>
      <c r="L210" s="13">
        <f>SUM(F210:K210)</f>
        <v>475763.95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12605453.52</v>
      </c>
      <c r="G212" s="38">
        <f t="shared" si="1"/>
        <v>7356125.9099999992</v>
      </c>
      <c r="H212" s="38">
        <f t="shared" si="1"/>
        <v>2249822.66</v>
      </c>
      <c r="I212" s="38">
        <f t="shared" si="1"/>
        <v>485509.99</v>
      </c>
      <c r="J212" s="38">
        <f t="shared" si="1"/>
        <v>138770.85999999999</v>
      </c>
      <c r="K212" s="38">
        <f t="shared" si="1"/>
        <v>24655.780000000002</v>
      </c>
      <c r="L212" s="38">
        <f t="shared" si="1"/>
        <v>22860338.720000003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3285061.28</v>
      </c>
      <c r="G216" s="18">
        <v>2003835.69</v>
      </c>
      <c r="H216" s="18">
        <v>2524.44</v>
      </c>
      <c r="I216" s="18">
        <v>79851.100000000006</v>
      </c>
      <c r="J216" s="18">
        <v>1601.97</v>
      </c>
      <c r="K216" s="18">
        <v>653.07000000000005</v>
      </c>
      <c r="L216" s="13">
        <f>SUM(F216:K216)</f>
        <v>5373527.5499999998</v>
      </c>
      <c r="M216" s="8"/>
      <c r="N216" s="165"/>
    </row>
    <row r="217" spans="1:14" s="3" customFormat="1" ht="12.2" customHeight="1" x14ac:dyDescent="0.15">
      <c r="A217" s="1" t="s">
        <v>439</v>
      </c>
      <c r="B217" s="2" t="s">
        <v>346</v>
      </c>
      <c r="C217" s="2" t="s">
        <v>291</v>
      </c>
      <c r="D217" s="2" t="s">
        <v>431</v>
      </c>
      <c r="E217" s="6">
        <v>1200</v>
      </c>
      <c r="F217" s="18">
        <v>806498.01</v>
      </c>
      <c r="G217" s="18">
        <v>460296.94</v>
      </c>
      <c r="H217" s="18">
        <v>268009.78999999998</v>
      </c>
      <c r="I217" s="18">
        <v>3260.39</v>
      </c>
      <c r="J217" s="18">
        <v>5986.4</v>
      </c>
      <c r="K217" s="18">
        <v>0</v>
      </c>
      <c r="L217" s="13">
        <f>SUM(F217:K217)</f>
        <v>1544051.5299999998</v>
      </c>
      <c r="M217" s="8"/>
      <c r="N217" s="165"/>
    </row>
    <row r="218" spans="1:14" s="3" customFormat="1" ht="12.2" customHeight="1" x14ac:dyDescent="0.15">
      <c r="A218" s="1" t="s">
        <v>440</v>
      </c>
      <c r="B218" s="2" t="s">
        <v>346</v>
      </c>
      <c r="C218" s="2" t="s">
        <v>292</v>
      </c>
      <c r="D218" s="2" t="s">
        <v>431</v>
      </c>
      <c r="E218" s="6">
        <v>1300</v>
      </c>
      <c r="F218" s="18">
        <v>330125.71999999997</v>
      </c>
      <c r="G218" s="18">
        <v>196733.01</v>
      </c>
      <c r="H218" s="18">
        <v>0</v>
      </c>
      <c r="I218" s="18">
        <v>3849.99</v>
      </c>
      <c r="J218" s="18">
        <v>0</v>
      </c>
      <c r="K218" s="18">
        <v>0</v>
      </c>
      <c r="L218" s="13">
        <f>SUM(F218:K218)</f>
        <v>530708.72</v>
      </c>
      <c r="M218" s="8"/>
      <c r="N218" s="165"/>
    </row>
    <row r="219" spans="1:14" s="3" customFormat="1" ht="12.2" customHeight="1" x14ac:dyDescent="0.15">
      <c r="A219" s="1" t="s">
        <v>441</v>
      </c>
      <c r="B219" s="2" t="s">
        <v>346</v>
      </c>
      <c r="C219" s="2" t="s">
        <v>293</v>
      </c>
      <c r="D219" s="2" t="s">
        <v>431</v>
      </c>
      <c r="E219" s="6">
        <v>1400</v>
      </c>
      <c r="F219" s="18">
        <v>83804</v>
      </c>
      <c r="G219" s="18">
        <v>41464.729999999996</v>
      </c>
      <c r="H219" s="18">
        <v>13902.5</v>
      </c>
      <c r="I219" s="18">
        <v>16557.189999999999</v>
      </c>
      <c r="J219" s="18">
        <v>0</v>
      </c>
      <c r="K219" s="18">
        <v>0</v>
      </c>
      <c r="L219" s="13">
        <f>SUM(F219:K219)</f>
        <v>155728.41999999998</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697358.11</v>
      </c>
      <c r="G221" s="18">
        <v>415954.58</v>
      </c>
      <c r="H221" s="18">
        <v>44397.649999999994</v>
      </c>
      <c r="I221" s="18">
        <v>2800.13</v>
      </c>
      <c r="J221" s="18">
        <v>918.9</v>
      </c>
      <c r="K221" s="18">
        <v>0</v>
      </c>
      <c r="L221" s="13">
        <f t="shared" ref="L221:L227" si="2">SUM(F221:K221)</f>
        <v>1161429.3699999996</v>
      </c>
      <c r="M221" s="8"/>
      <c r="N221" s="165"/>
    </row>
    <row r="222" spans="1:14" s="3" customFormat="1" ht="12.2" customHeight="1" x14ac:dyDescent="0.15">
      <c r="A222" s="1" t="s">
        <v>443</v>
      </c>
      <c r="B222" s="2" t="s">
        <v>346</v>
      </c>
      <c r="C222" s="2" t="s">
        <v>295</v>
      </c>
      <c r="D222" s="2" t="s">
        <v>431</v>
      </c>
      <c r="E222" s="6">
        <v>2200</v>
      </c>
      <c r="F222" s="18">
        <v>102815.78</v>
      </c>
      <c r="G222" s="18">
        <v>33428.71</v>
      </c>
      <c r="H222" s="18">
        <v>2087.37</v>
      </c>
      <c r="I222" s="18">
        <v>20404.84</v>
      </c>
      <c r="J222" s="18">
        <v>31764.41</v>
      </c>
      <c r="K222" s="18">
        <v>0</v>
      </c>
      <c r="L222" s="13">
        <f t="shared" si="2"/>
        <v>190501.11</v>
      </c>
      <c r="M222" s="8"/>
      <c r="N222" s="165"/>
    </row>
    <row r="223" spans="1:14" s="3" customFormat="1" ht="12.2" customHeight="1" x14ac:dyDescent="0.15">
      <c r="A223" s="1" t="s">
        <v>444</v>
      </c>
      <c r="B223" s="2" t="s">
        <v>346</v>
      </c>
      <c r="C223" s="2" t="s">
        <v>296</v>
      </c>
      <c r="D223" s="2" t="s">
        <v>431</v>
      </c>
      <c r="E223" s="6">
        <v>2300</v>
      </c>
      <c r="F223" s="18">
        <v>139553.69</v>
      </c>
      <c r="G223" s="18">
        <v>72026.26999999999</v>
      </c>
      <c r="H223" s="18">
        <v>38846.460000000006</v>
      </c>
      <c r="I223" s="18">
        <v>7555.7</v>
      </c>
      <c r="J223" s="18">
        <v>512.09</v>
      </c>
      <c r="K223" s="18">
        <v>11491.87</v>
      </c>
      <c r="L223" s="13">
        <f t="shared" si="2"/>
        <v>269986.08</v>
      </c>
      <c r="M223" s="8"/>
      <c r="N223" s="165"/>
    </row>
    <row r="224" spans="1:14" s="3" customFormat="1" ht="12.2" customHeight="1" x14ac:dyDescent="0.15">
      <c r="A224" s="1" t="s">
        <v>445</v>
      </c>
      <c r="B224" s="2" t="s">
        <v>346</v>
      </c>
      <c r="C224" s="2" t="s">
        <v>297</v>
      </c>
      <c r="D224" s="2" t="s">
        <v>431</v>
      </c>
      <c r="E224" s="6">
        <v>2400</v>
      </c>
      <c r="F224" s="18">
        <v>371470.75</v>
      </c>
      <c r="G224" s="18">
        <v>211022.41999999998</v>
      </c>
      <c r="H224" s="18">
        <v>289.33999999999997</v>
      </c>
      <c r="I224" s="18">
        <v>1473.56</v>
      </c>
      <c r="J224" s="18">
        <v>0</v>
      </c>
      <c r="K224" s="18">
        <v>175</v>
      </c>
      <c r="L224" s="13">
        <f t="shared" si="2"/>
        <v>584431.06999999995</v>
      </c>
      <c r="M224" s="8"/>
      <c r="N224" s="165"/>
    </row>
    <row r="225" spans="1:14" s="3" customFormat="1" ht="12.2" customHeight="1" x14ac:dyDescent="0.15">
      <c r="A225" s="1" t="s">
        <v>446</v>
      </c>
      <c r="B225" s="2" t="s">
        <v>346</v>
      </c>
      <c r="C225" s="2" t="s">
        <v>298</v>
      </c>
      <c r="D225" s="2" t="s">
        <v>431</v>
      </c>
      <c r="E225" s="6">
        <v>2500</v>
      </c>
      <c r="F225" s="18">
        <v>73193.210000000006</v>
      </c>
      <c r="G225" s="18">
        <v>32932.53</v>
      </c>
      <c r="H225" s="18">
        <v>41119.759999999995</v>
      </c>
      <c r="I225" s="18">
        <v>748.88</v>
      </c>
      <c r="J225" s="18">
        <v>377.13</v>
      </c>
      <c r="K225" s="18">
        <v>344.83</v>
      </c>
      <c r="L225" s="13">
        <f t="shared" si="2"/>
        <v>148716.34</v>
      </c>
      <c r="M225" s="8"/>
      <c r="N225" s="165"/>
    </row>
    <row r="226" spans="1:14" s="3" customFormat="1" ht="12.2" customHeight="1" x14ac:dyDescent="0.15">
      <c r="A226" s="1" t="s">
        <v>447</v>
      </c>
      <c r="B226" s="2" t="s">
        <v>346</v>
      </c>
      <c r="C226" s="2" t="s">
        <v>299</v>
      </c>
      <c r="D226" s="2" t="s">
        <v>431</v>
      </c>
      <c r="E226" s="6">
        <v>2600</v>
      </c>
      <c r="F226" s="18">
        <v>307808.15000000002</v>
      </c>
      <c r="G226" s="18">
        <v>160613.38</v>
      </c>
      <c r="H226" s="18">
        <v>199862.95</v>
      </c>
      <c r="I226" s="18">
        <v>236310.22</v>
      </c>
      <c r="J226" s="18">
        <v>8401.32</v>
      </c>
      <c r="K226" s="18">
        <v>0</v>
      </c>
      <c r="L226" s="13">
        <f t="shared" si="2"/>
        <v>912996.0199999999</v>
      </c>
      <c r="M226" s="8"/>
      <c r="N226" s="165"/>
    </row>
    <row r="227" spans="1:14" s="3" customFormat="1" ht="12.2" customHeight="1" x14ac:dyDescent="0.15">
      <c r="A227" s="1" t="s">
        <v>448</v>
      </c>
      <c r="B227" s="2" t="s">
        <v>346</v>
      </c>
      <c r="C227" s="2" t="s">
        <v>300</v>
      </c>
      <c r="D227" s="2" t="s">
        <v>431</v>
      </c>
      <c r="E227" s="6">
        <v>2700</v>
      </c>
      <c r="F227" s="18">
        <v>0</v>
      </c>
      <c r="G227" s="18">
        <v>0</v>
      </c>
      <c r="H227" s="18">
        <v>247579.46</v>
      </c>
      <c r="I227" s="18">
        <v>0</v>
      </c>
      <c r="J227" s="18">
        <v>0</v>
      </c>
      <c r="K227" s="18">
        <v>0</v>
      </c>
      <c r="L227" s="13">
        <f t="shared" si="2"/>
        <v>247579.46</v>
      </c>
      <c r="M227" s="8"/>
      <c r="N227" s="165"/>
    </row>
    <row r="228" spans="1:14" s="3" customFormat="1" ht="12.2" customHeight="1" x14ac:dyDescent="0.15">
      <c r="A228" s="1" t="s">
        <v>449</v>
      </c>
      <c r="B228" s="2" t="s">
        <v>346</v>
      </c>
      <c r="C228" s="2" t="s">
        <v>343</v>
      </c>
      <c r="D228" s="2" t="s">
        <v>431</v>
      </c>
      <c r="E228" s="6">
        <v>2800</v>
      </c>
      <c r="F228" s="18">
        <v>138550.39000000001</v>
      </c>
      <c r="G228" s="18">
        <v>75999.179999999993</v>
      </c>
      <c r="H228" s="18">
        <v>29976.29</v>
      </c>
      <c r="I228" s="18">
        <v>10646.93</v>
      </c>
      <c r="J228" s="18">
        <v>4023.84</v>
      </c>
      <c r="K228" s="18">
        <v>385.42</v>
      </c>
      <c r="L228" s="13">
        <f>SUM(F228:K228)</f>
        <v>259582.05000000002</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6336239.0900000008</v>
      </c>
      <c r="G230" s="38">
        <f>SUM(G216:G229)</f>
        <v>3704307.4399999995</v>
      </c>
      <c r="H230" s="38">
        <f>SUM(H216:H229)</f>
        <v>888596.01</v>
      </c>
      <c r="I230" s="38">
        <f>SUM(I216:I229)</f>
        <v>383458.93</v>
      </c>
      <c r="J230" s="38">
        <f>SUM(J216:J229)</f>
        <v>53586.06</v>
      </c>
      <c r="K230" s="38">
        <f t="shared" si="3"/>
        <v>13050.19</v>
      </c>
      <c r="L230" s="38">
        <f t="shared" si="3"/>
        <v>11379237.720000001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6051686.5899999999</v>
      </c>
      <c r="G234" s="18">
        <v>3695081.01</v>
      </c>
      <c r="H234" s="18">
        <v>6379.32</v>
      </c>
      <c r="I234" s="18">
        <v>113348.65</v>
      </c>
      <c r="J234" s="18">
        <v>7151.03</v>
      </c>
      <c r="K234" s="18">
        <v>857</v>
      </c>
      <c r="L234" s="13">
        <f>SUM(F234:K234)</f>
        <v>9874503.5999999996</v>
      </c>
      <c r="M234" s="8"/>
      <c r="N234" s="165"/>
    </row>
    <row r="235" spans="1:14" s="3" customFormat="1" ht="12.2" customHeight="1" x14ac:dyDescent="0.15">
      <c r="A235" s="1" t="s">
        <v>439</v>
      </c>
      <c r="B235" s="2" t="s">
        <v>350</v>
      </c>
      <c r="C235" s="2" t="s">
        <v>291</v>
      </c>
      <c r="D235" s="2" t="s">
        <v>431</v>
      </c>
      <c r="E235" s="6">
        <v>1200</v>
      </c>
      <c r="F235" s="18">
        <v>635210.34</v>
      </c>
      <c r="G235" s="18">
        <v>432448.92</v>
      </c>
      <c r="H235" s="18">
        <v>1007031.7100000001</v>
      </c>
      <c r="I235" s="18">
        <v>3028.7599999999998</v>
      </c>
      <c r="J235" s="18">
        <v>0</v>
      </c>
      <c r="K235" s="18">
        <v>0</v>
      </c>
      <c r="L235" s="13">
        <f>SUM(F235:K235)</f>
        <v>2077719.7300000002</v>
      </c>
      <c r="M235" s="8"/>
      <c r="N235" s="165"/>
    </row>
    <row r="236" spans="1:14" s="3" customFormat="1" ht="12.2" customHeight="1" x14ac:dyDescent="0.15">
      <c r="A236" s="1" t="s">
        <v>440</v>
      </c>
      <c r="B236" s="2" t="s">
        <v>350</v>
      </c>
      <c r="C236" s="2" t="s">
        <v>292</v>
      </c>
      <c r="D236" s="2" t="s">
        <v>431</v>
      </c>
      <c r="E236" s="6">
        <v>1300</v>
      </c>
      <c r="F236" s="18">
        <v>814955.25</v>
      </c>
      <c r="G236" s="18">
        <v>518082.19</v>
      </c>
      <c r="H236" s="18">
        <v>12547.1</v>
      </c>
      <c r="I236" s="18">
        <v>32871.47</v>
      </c>
      <c r="J236" s="18">
        <v>953.83</v>
      </c>
      <c r="K236" s="18">
        <v>0</v>
      </c>
      <c r="L236" s="13">
        <f>SUM(F236:K236)</f>
        <v>1379409.84</v>
      </c>
      <c r="M236" s="8"/>
      <c r="N236" s="165"/>
    </row>
    <row r="237" spans="1:14" s="3" customFormat="1" ht="12.2" customHeight="1" x14ac:dyDescent="0.15">
      <c r="A237" s="1" t="s">
        <v>441</v>
      </c>
      <c r="B237" s="2" t="s">
        <v>350</v>
      </c>
      <c r="C237" s="2" t="s">
        <v>293</v>
      </c>
      <c r="D237" s="2" t="s">
        <v>431</v>
      </c>
      <c r="E237" s="6">
        <v>1400</v>
      </c>
      <c r="F237" s="18">
        <v>345224.9</v>
      </c>
      <c r="G237" s="18">
        <v>189897.31</v>
      </c>
      <c r="H237" s="18">
        <v>98162.14</v>
      </c>
      <c r="I237" s="18">
        <v>90932.86</v>
      </c>
      <c r="J237" s="18">
        <v>0</v>
      </c>
      <c r="K237" s="18">
        <v>0</v>
      </c>
      <c r="L237" s="13">
        <f>SUM(F237:K237)</f>
        <v>724217.21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1066538.51</v>
      </c>
      <c r="G239" s="18">
        <v>641079.76</v>
      </c>
      <c r="H239" s="18">
        <v>60052.36</v>
      </c>
      <c r="I239" s="18">
        <v>17895.77</v>
      </c>
      <c r="J239" s="18">
        <v>1915.13</v>
      </c>
      <c r="K239" s="18">
        <v>27111.33</v>
      </c>
      <c r="L239" s="13">
        <f t="shared" ref="L239:L245" si="4">SUM(F239:K239)</f>
        <v>1814592.86</v>
      </c>
      <c r="M239" s="8"/>
      <c r="N239" s="165"/>
    </row>
    <row r="240" spans="1:14" s="3" customFormat="1" ht="12.2" customHeight="1" x14ac:dyDescent="0.15">
      <c r="A240" s="1" t="s">
        <v>443</v>
      </c>
      <c r="B240" s="2" t="s">
        <v>350</v>
      </c>
      <c r="C240" s="2" t="s">
        <v>295</v>
      </c>
      <c r="D240" s="2" t="s">
        <v>431</v>
      </c>
      <c r="E240" s="6">
        <v>2200</v>
      </c>
      <c r="F240" s="18">
        <v>128894.84</v>
      </c>
      <c r="G240" s="18">
        <v>87870.99</v>
      </c>
      <c r="H240" s="18">
        <v>7335.67</v>
      </c>
      <c r="I240" s="18">
        <v>32788.92</v>
      </c>
      <c r="J240" s="18">
        <v>63550.880000000005</v>
      </c>
      <c r="K240" s="18">
        <v>0</v>
      </c>
      <c r="L240" s="13">
        <f t="shared" si="4"/>
        <v>320441.30000000005</v>
      </c>
      <c r="M240" s="8"/>
      <c r="N240" s="165"/>
    </row>
    <row r="241" spans="1:14" s="3" customFormat="1" ht="12.2" customHeight="1" x14ac:dyDescent="0.15">
      <c r="A241" s="1" t="s">
        <v>444</v>
      </c>
      <c r="B241" s="2" t="s">
        <v>350</v>
      </c>
      <c r="C241" s="2" t="s">
        <v>296</v>
      </c>
      <c r="D241" s="2" t="s">
        <v>431</v>
      </c>
      <c r="E241" s="6">
        <v>2300</v>
      </c>
      <c r="F241" s="18">
        <v>652354.52</v>
      </c>
      <c r="G241" s="18">
        <v>382577.14</v>
      </c>
      <c r="H241" s="18">
        <v>92188.45</v>
      </c>
      <c r="I241" s="18">
        <v>15747.29</v>
      </c>
      <c r="J241" s="18">
        <v>1067.27</v>
      </c>
      <c r="K241" s="18">
        <v>53233.979999999996</v>
      </c>
      <c r="L241" s="13">
        <f t="shared" si="4"/>
        <v>1197168.6500000001</v>
      </c>
      <c r="M241" s="8"/>
      <c r="N241" s="165"/>
    </row>
    <row r="242" spans="1:14" s="3" customFormat="1" ht="12.2" customHeight="1" x14ac:dyDescent="0.15">
      <c r="A242" s="1" t="s">
        <v>445</v>
      </c>
      <c r="B242" s="2" t="s">
        <v>350</v>
      </c>
      <c r="C242" s="2" t="s">
        <v>297</v>
      </c>
      <c r="D242" s="2" t="s">
        <v>431</v>
      </c>
      <c r="E242" s="6">
        <v>2400</v>
      </c>
      <c r="F242" s="18">
        <v>769850.37</v>
      </c>
      <c r="G242" s="18">
        <v>469458.74</v>
      </c>
      <c r="H242" s="18">
        <v>11507.86</v>
      </c>
      <c r="I242" s="18">
        <v>4402.46</v>
      </c>
      <c r="J242" s="18">
        <v>0</v>
      </c>
      <c r="K242" s="18">
        <v>12717.11</v>
      </c>
      <c r="L242" s="13">
        <f t="shared" si="4"/>
        <v>1267936.54</v>
      </c>
      <c r="M242" s="8"/>
      <c r="N242" s="165"/>
    </row>
    <row r="243" spans="1:14" s="3" customFormat="1" ht="12.2" customHeight="1" x14ac:dyDescent="0.15">
      <c r="A243" s="1" t="s">
        <v>446</v>
      </c>
      <c r="B243" s="2" t="s">
        <v>350</v>
      </c>
      <c r="C243" s="2" t="s">
        <v>298</v>
      </c>
      <c r="D243" s="2" t="s">
        <v>431</v>
      </c>
      <c r="E243" s="6">
        <v>2500</v>
      </c>
      <c r="F243" s="18">
        <v>152546.23999999999</v>
      </c>
      <c r="G243" s="18">
        <v>83426.05</v>
      </c>
      <c r="H243" s="18">
        <v>82246.23</v>
      </c>
      <c r="I243" s="18">
        <v>1560.79</v>
      </c>
      <c r="J243" s="18">
        <v>785.99</v>
      </c>
      <c r="K243" s="18">
        <v>718.69</v>
      </c>
      <c r="L243" s="13">
        <f t="shared" si="4"/>
        <v>321283.98999999993</v>
      </c>
      <c r="M243" s="8"/>
      <c r="N243" s="165"/>
    </row>
    <row r="244" spans="1:14" s="3" customFormat="1" ht="12.2" customHeight="1" x14ac:dyDescent="0.15">
      <c r="A244" s="1" t="s">
        <v>447</v>
      </c>
      <c r="B244" s="2" t="s">
        <v>350</v>
      </c>
      <c r="C244" s="2" t="s">
        <v>299</v>
      </c>
      <c r="D244" s="2" t="s">
        <v>431</v>
      </c>
      <c r="E244" s="6">
        <v>2600</v>
      </c>
      <c r="F244" s="18">
        <v>618996.78</v>
      </c>
      <c r="G244" s="18">
        <v>352814.95</v>
      </c>
      <c r="H244" s="18">
        <v>755226.85000000009</v>
      </c>
      <c r="I244" s="18">
        <v>586522.66999999993</v>
      </c>
      <c r="J244" s="18">
        <v>17509.669999999998</v>
      </c>
      <c r="K244" s="18">
        <v>7261.35</v>
      </c>
      <c r="L244" s="13">
        <f t="shared" si="4"/>
        <v>2338332.27</v>
      </c>
      <c r="M244" s="8"/>
      <c r="N244" s="165"/>
    </row>
    <row r="245" spans="1:14" s="3" customFormat="1" ht="12.2" customHeight="1" x14ac:dyDescent="0.15">
      <c r="A245" s="1" t="s">
        <v>448</v>
      </c>
      <c r="B245" s="2" t="s">
        <v>350</v>
      </c>
      <c r="C245" s="2" t="s">
        <v>300</v>
      </c>
      <c r="D245" s="2" t="s">
        <v>431</v>
      </c>
      <c r="E245" s="6">
        <v>2700</v>
      </c>
      <c r="F245" s="18">
        <v>0</v>
      </c>
      <c r="G245" s="18">
        <v>0</v>
      </c>
      <c r="H245" s="18">
        <v>756943</v>
      </c>
      <c r="I245" s="18">
        <v>0</v>
      </c>
      <c r="J245" s="18">
        <v>0</v>
      </c>
      <c r="K245" s="18">
        <v>0</v>
      </c>
      <c r="L245" s="13">
        <f t="shared" si="4"/>
        <v>756943</v>
      </c>
      <c r="M245" s="8"/>
      <c r="N245" s="165"/>
    </row>
    <row r="246" spans="1:14" s="3" customFormat="1" ht="12.2" customHeight="1" x14ac:dyDescent="0.15">
      <c r="A246" s="1" t="s">
        <v>449</v>
      </c>
      <c r="B246" s="2" t="s">
        <v>350</v>
      </c>
      <c r="C246" s="2" t="s">
        <v>343</v>
      </c>
      <c r="D246" s="2" t="s">
        <v>431</v>
      </c>
      <c r="E246" s="6">
        <v>2800</v>
      </c>
      <c r="F246" s="18">
        <v>288760.96999999997</v>
      </c>
      <c r="G246" s="18">
        <v>172586.57</v>
      </c>
      <c r="H246" s="18">
        <v>59267.270000000004</v>
      </c>
      <c r="I246" s="18">
        <v>22189.89</v>
      </c>
      <c r="J246" s="18">
        <v>8386.32</v>
      </c>
      <c r="K246" s="18">
        <f>803.27-0.01</f>
        <v>803.26</v>
      </c>
      <c r="L246" s="13">
        <f>SUM(F246:K246)</f>
        <v>551994.27999999991</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11525019.309999999</v>
      </c>
      <c r="G248" s="38">
        <f t="shared" si="5"/>
        <v>7025323.6299999999</v>
      </c>
      <c r="H248" s="38">
        <f t="shared" si="5"/>
        <v>2948887.9600000004</v>
      </c>
      <c r="I248" s="38">
        <f t="shared" si="5"/>
        <v>921289.52999999991</v>
      </c>
      <c r="J248" s="38">
        <f t="shared" si="5"/>
        <v>101320.12000000002</v>
      </c>
      <c r="K248" s="38">
        <f t="shared" si="5"/>
        <v>102702.72</v>
      </c>
      <c r="L248" s="38">
        <f t="shared" si="5"/>
        <v>22624543.269999996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30466711.919999998</v>
      </c>
      <c r="G258" s="38">
        <f t="shared" si="8"/>
        <v>18085756.979999997</v>
      </c>
      <c r="H258" s="38">
        <f t="shared" si="8"/>
        <v>6087306.6300000008</v>
      </c>
      <c r="I258" s="38">
        <f t="shared" si="8"/>
        <v>1790258.4499999997</v>
      </c>
      <c r="J258" s="38">
        <f t="shared" si="8"/>
        <v>293677.04000000004</v>
      </c>
      <c r="K258" s="38">
        <f t="shared" si="8"/>
        <v>140408.69</v>
      </c>
      <c r="L258" s="38">
        <f t="shared" si="8"/>
        <v>56864119.710000001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26939.51</v>
      </c>
      <c r="L264" s="13">
        <f>SUM(F264:K264)</f>
        <v>26939.51</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f>352871+650000+20000</f>
        <v>1022871</v>
      </c>
      <c r="L265" s="13">
        <f t="shared" ref="L265:L271" si="9">SUM(F265:K265)</f>
        <v>1022871</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1049810.51</v>
      </c>
      <c r="L271" s="38">
        <f t="shared" si="9"/>
        <v>1049810.51</v>
      </c>
      <c r="M271" s="8"/>
      <c r="N271" s="165"/>
    </row>
    <row r="272" spans="1:14" s="33" customFormat="1" ht="12.2" customHeight="1" thickTop="1" x14ac:dyDescent="0.2">
      <c r="A272" s="40" t="s">
        <v>464</v>
      </c>
      <c r="B272" s="37">
        <v>10</v>
      </c>
      <c r="C272" s="37">
        <v>18</v>
      </c>
      <c r="D272" s="36" t="s">
        <v>431</v>
      </c>
      <c r="E272" s="37"/>
      <c r="F272" s="39">
        <f t="shared" ref="F272:L272" si="11">F258+F271</f>
        <v>30466711.919999998</v>
      </c>
      <c r="G272" s="39">
        <f t="shared" si="11"/>
        <v>18085756.979999997</v>
      </c>
      <c r="H272" s="39">
        <f t="shared" si="11"/>
        <v>6087306.6300000008</v>
      </c>
      <c r="I272" s="39">
        <f t="shared" si="11"/>
        <v>1790258.4499999997</v>
      </c>
      <c r="J272" s="39">
        <f t="shared" si="11"/>
        <v>293677.04000000004</v>
      </c>
      <c r="K272" s="39">
        <f t="shared" si="11"/>
        <v>1190219.2</v>
      </c>
      <c r="L272" s="39">
        <f t="shared" si="11"/>
        <v>57913930.219999999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337430.51999999996</v>
      </c>
      <c r="G277" s="18">
        <v>84394.559999999998</v>
      </c>
      <c r="H277" s="18">
        <v>16685.190000000002</v>
      </c>
      <c r="I277" s="18">
        <v>9113.16</v>
      </c>
      <c r="J277" s="18">
        <v>7543.77</v>
      </c>
      <c r="K277" s="18">
        <v>7205</v>
      </c>
      <c r="L277" s="13">
        <f>SUM(F277:K277)</f>
        <v>462372.19999999995</v>
      </c>
      <c r="M277" s="8"/>
      <c r="N277" s="165"/>
    </row>
    <row r="278" spans="1:14" s="3" customFormat="1" ht="12.2" customHeight="1" x14ac:dyDescent="0.15">
      <c r="A278" s="1" t="s">
        <v>439</v>
      </c>
      <c r="B278" s="2" t="s">
        <v>357</v>
      </c>
      <c r="C278" s="2" t="s">
        <v>291</v>
      </c>
      <c r="D278" s="2" t="s">
        <v>431</v>
      </c>
      <c r="E278" s="6">
        <v>1200</v>
      </c>
      <c r="F278" s="18">
        <v>449299.14</v>
      </c>
      <c r="G278" s="18">
        <v>55719.700000000004</v>
      </c>
      <c r="H278" s="18">
        <v>6773.4</v>
      </c>
      <c r="I278" s="18">
        <v>26327.449999999997</v>
      </c>
      <c r="J278" s="18">
        <v>5892</v>
      </c>
      <c r="K278" s="18">
        <v>0</v>
      </c>
      <c r="L278" s="13">
        <f>SUM(F278:K278)</f>
        <v>544011.69000000006</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13754.25</v>
      </c>
      <c r="G280" s="18">
        <v>2567.9699999999998</v>
      </c>
      <c r="H280" s="18">
        <v>103348.67</v>
      </c>
      <c r="I280" s="18">
        <v>22693.83</v>
      </c>
      <c r="J280" s="18">
        <v>0</v>
      </c>
      <c r="K280" s="18">
        <v>5697.9000000000005</v>
      </c>
      <c r="L280" s="13">
        <f>SUM(F280:K280)</f>
        <v>148062.62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2691.47</v>
      </c>
      <c r="I282" s="18">
        <v>0</v>
      </c>
      <c r="J282" s="18">
        <v>0</v>
      </c>
      <c r="K282" s="18">
        <v>0</v>
      </c>
      <c r="L282" s="13">
        <f t="shared" ref="L282:L288" si="12">SUM(F282:K282)</f>
        <v>2691.47</v>
      </c>
      <c r="M282" s="8"/>
      <c r="N282" s="165"/>
    </row>
    <row r="283" spans="1:14" s="3" customFormat="1" ht="12.2" customHeight="1" x14ac:dyDescent="0.15">
      <c r="A283" s="1" t="s">
        <v>443</v>
      </c>
      <c r="B283" s="2" t="s">
        <v>357</v>
      </c>
      <c r="C283" s="2" t="s">
        <v>295</v>
      </c>
      <c r="D283" s="2" t="s">
        <v>431</v>
      </c>
      <c r="E283" s="6">
        <v>2200</v>
      </c>
      <c r="F283" s="18">
        <v>0</v>
      </c>
      <c r="G283" s="18">
        <v>0</v>
      </c>
      <c r="H283" s="18">
        <v>87878.09</v>
      </c>
      <c r="I283" s="18">
        <v>5075.51</v>
      </c>
      <c r="J283" s="18">
        <v>8614.2900000000009</v>
      </c>
      <c r="K283" s="18">
        <v>0</v>
      </c>
      <c r="L283" s="13">
        <f t="shared" si="12"/>
        <v>101567.88999999998</v>
      </c>
      <c r="M283" s="8"/>
      <c r="N283" s="165"/>
    </row>
    <row r="284" spans="1:14" s="3" customFormat="1" ht="12.2" customHeight="1" x14ac:dyDescent="0.15">
      <c r="A284" s="1" t="s">
        <v>444</v>
      </c>
      <c r="B284" s="2" t="s">
        <v>357</v>
      </c>
      <c r="C284" s="2" t="s">
        <v>296</v>
      </c>
      <c r="D284" s="2" t="s">
        <v>431</v>
      </c>
      <c r="E284" s="6">
        <v>2300</v>
      </c>
      <c r="F284" s="18">
        <v>23337.35</v>
      </c>
      <c r="G284" s="18">
        <v>5034.51</v>
      </c>
      <c r="H284" s="18">
        <v>0</v>
      </c>
      <c r="I284" s="18">
        <v>7739.3</v>
      </c>
      <c r="J284" s="18">
        <v>0</v>
      </c>
      <c r="K284" s="18">
        <v>6022.58</v>
      </c>
      <c r="L284" s="13">
        <f t="shared" si="12"/>
        <v>42133.740000000005</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388.68</v>
      </c>
      <c r="I287" s="18">
        <v>0</v>
      </c>
      <c r="J287" s="18">
        <v>0</v>
      </c>
      <c r="K287" s="18">
        <v>0</v>
      </c>
      <c r="L287" s="13">
        <f t="shared" si="12"/>
        <v>388.68</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10670.14</v>
      </c>
      <c r="J289" s="18">
        <v>0</v>
      </c>
      <c r="K289" s="18">
        <v>0</v>
      </c>
      <c r="L289" s="13">
        <f>SUM(F289:K289)</f>
        <v>10670.14</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823821.25999999989</v>
      </c>
      <c r="G291" s="39">
        <f t="shared" si="13"/>
        <v>147716.74000000002</v>
      </c>
      <c r="H291" s="39">
        <f t="shared" si="13"/>
        <v>217765.5</v>
      </c>
      <c r="I291" s="39">
        <f t="shared" si="13"/>
        <v>81619.39</v>
      </c>
      <c r="J291" s="39">
        <f t="shared" si="13"/>
        <v>22050.06</v>
      </c>
      <c r="K291" s="39">
        <f t="shared" si="13"/>
        <v>18925.480000000003</v>
      </c>
      <c r="L291" s="38">
        <f t="shared" si="13"/>
        <v>1311898.4299999997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77518.3</v>
      </c>
      <c r="G296" s="18">
        <v>45413.009999999995</v>
      </c>
      <c r="H296" s="18">
        <v>3611.35</v>
      </c>
      <c r="I296" s="18">
        <v>5576.54</v>
      </c>
      <c r="J296" s="18">
        <v>60215.02</v>
      </c>
      <c r="K296" s="18">
        <v>0</v>
      </c>
      <c r="L296" s="13">
        <f>SUM(F296:K296)</f>
        <v>192334.22</v>
      </c>
      <c r="M296" s="8"/>
      <c r="N296" s="165"/>
    </row>
    <row r="297" spans="1:14" s="3" customFormat="1" ht="12.2" customHeight="1" x14ac:dyDescent="0.15">
      <c r="A297" s="1" t="s">
        <v>439</v>
      </c>
      <c r="B297" s="2" t="s">
        <v>358</v>
      </c>
      <c r="C297" s="2" t="s">
        <v>291</v>
      </c>
      <c r="D297" s="2" t="s">
        <v>431</v>
      </c>
      <c r="E297" s="6">
        <v>1200</v>
      </c>
      <c r="F297" s="18">
        <v>521549.04000000004</v>
      </c>
      <c r="G297" s="18">
        <v>95500.21</v>
      </c>
      <c r="H297" s="18">
        <v>3629.25</v>
      </c>
      <c r="I297" s="18">
        <v>5950.9299999999994</v>
      </c>
      <c r="J297" s="18">
        <v>0</v>
      </c>
      <c r="K297" s="18">
        <v>0</v>
      </c>
      <c r="L297" s="13">
        <f>SUM(F297:K297)</f>
        <v>626629.43000000005</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164.34</v>
      </c>
      <c r="G299" s="18">
        <v>56.45</v>
      </c>
      <c r="H299" s="18">
        <v>5621.76</v>
      </c>
      <c r="I299" s="18">
        <v>8499.9500000000007</v>
      </c>
      <c r="J299" s="18">
        <v>0</v>
      </c>
      <c r="K299" s="18">
        <v>8532.57</v>
      </c>
      <c r="L299" s="13">
        <f>SUM(F299:K299)</f>
        <v>22875.07</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122675.83</v>
      </c>
      <c r="G301" s="18">
        <v>95340.110000000015</v>
      </c>
      <c r="H301" s="18">
        <v>1442.12</v>
      </c>
      <c r="I301" s="18">
        <v>0</v>
      </c>
      <c r="J301" s="18">
        <v>0</v>
      </c>
      <c r="K301" s="18">
        <v>0</v>
      </c>
      <c r="L301" s="13">
        <f t="shared" ref="L301:L307" si="14">SUM(F301:K301)</f>
        <v>219458.06</v>
      </c>
      <c r="M301" s="8"/>
      <c r="N301" s="165"/>
    </row>
    <row r="302" spans="1:14" s="3" customFormat="1" ht="12.2" customHeight="1" x14ac:dyDescent="0.15">
      <c r="A302" s="1" t="s">
        <v>443</v>
      </c>
      <c r="B302" s="2" t="s">
        <v>358</v>
      </c>
      <c r="C302" s="2" t="s">
        <v>295</v>
      </c>
      <c r="D302" s="2" t="s">
        <v>431</v>
      </c>
      <c r="E302" s="6">
        <v>2200</v>
      </c>
      <c r="F302" s="18">
        <v>0</v>
      </c>
      <c r="G302" s="18">
        <v>0</v>
      </c>
      <c r="H302" s="18">
        <v>5942.05</v>
      </c>
      <c r="I302" s="18">
        <v>2719.51</v>
      </c>
      <c r="J302" s="18">
        <v>4615.62</v>
      </c>
      <c r="K302" s="18">
        <v>0</v>
      </c>
      <c r="L302" s="13">
        <f t="shared" si="14"/>
        <v>13277.18</v>
      </c>
      <c r="M302" s="8"/>
      <c r="N302" s="165"/>
    </row>
    <row r="303" spans="1:14" s="3" customFormat="1" ht="12.2" customHeight="1" x14ac:dyDescent="0.15">
      <c r="A303" s="1" t="s">
        <v>444</v>
      </c>
      <c r="B303" s="2" t="s">
        <v>358</v>
      </c>
      <c r="C303" s="2" t="s">
        <v>296</v>
      </c>
      <c r="D303" s="2" t="s">
        <v>431</v>
      </c>
      <c r="E303" s="6">
        <v>2300</v>
      </c>
      <c r="F303" s="18">
        <v>12504.36</v>
      </c>
      <c r="G303" s="18">
        <v>2697.54</v>
      </c>
      <c r="H303" s="18">
        <v>0</v>
      </c>
      <c r="I303" s="18">
        <v>4146.79</v>
      </c>
      <c r="J303" s="18">
        <v>0</v>
      </c>
      <c r="K303" s="18">
        <v>3226.95</v>
      </c>
      <c r="L303" s="13">
        <f t="shared" si="14"/>
        <v>22575.640000000003</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208.26</v>
      </c>
      <c r="I306" s="18">
        <v>0</v>
      </c>
      <c r="J306" s="18">
        <v>0</v>
      </c>
      <c r="K306" s="18">
        <v>0</v>
      </c>
      <c r="L306" s="13">
        <f t="shared" si="14"/>
        <v>208.26</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5717.16</v>
      </c>
      <c r="J308" s="18">
        <v>0</v>
      </c>
      <c r="K308" s="18">
        <v>0</v>
      </c>
      <c r="L308" s="13">
        <f>SUM(F308:K308)</f>
        <v>5717.16</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734411.87</v>
      </c>
      <c r="G310" s="39">
        <f t="shared" si="15"/>
        <v>239007.32000000004</v>
      </c>
      <c r="H310" s="39">
        <f t="shared" si="15"/>
        <v>20454.789999999997</v>
      </c>
      <c r="I310" s="39">
        <f t="shared" si="15"/>
        <v>32610.880000000001</v>
      </c>
      <c r="J310" s="39">
        <f t="shared" si="15"/>
        <v>64830.64</v>
      </c>
      <c r="K310" s="39">
        <f t="shared" si="15"/>
        <v>11759.52</v>
      </c>
      <c r="L310" s="38">
        <f t="shared" si="15"/>
        <v>1103075.0199999998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72361.430000000008</v>
      </c>
      <c r="G315" s="18">
        <v>27212.079999999998</v>
      </c>
      <c r="H315" s="18">
        <v>5145.4799999999996</v>
      </c>
      <c r="I315" s="18">
        <v>5801.66</v>
      </c>
      <c r="J315" s="18">
        <v>8424.2099999999991</v>
      </c>
      <c r="K315" s="18">
        <v>0</v>
      </c>
      <c r="L315" s="13">
        <f>SUM(F315:K315)</f>
        <v>118944.86000000002</v>
      </c>
      <c r="M315" s="8"/>
      <c r="N315" s="165"/>
    </row>
    <row r="316" spans="1:14" s="3" customFormat="1" ht="12.2" customHeight="1" x14ac:dyDescent="0.15">
      <c r="A316" s="1" t="s">
        <v>439</v>
      </c>
      <c r="B316" s="2" t="s">
        <v>359</v>
      </c>
      <c r="C316" s="2" t="s">
        <v>291</v>
      </c>
      <c r="D316" s="2" t="s">
        <v>431</v>
      </c>
      <c r="E316" s="6">
        <v>1200</v>
      </c>
      <c r="F316" s="18">
        <v>1358296.41</v>
      </c>
      <c r="G316" s="18">
        <v>307414.12</v>
      </c>
      <c r="H316" s="18">
        <v>36195.410000000003</v>
      </c>
      <c r="I316" s="18">
        <v>38887.43</v>
      </c>
      <c r="J316" s="18">
        <v>3052.51</v>
      </c>
      <c r="K316" s="18">
        <v>0</v>
      </c>
      <c r="L316" s="13">
        <f>SUM(F316:K316)</f>
        <v>1743845.8799999997</v>
      </c>
      <c r="M316" s="8"/>
      <c r="N316" s="165"/>
    </row>
    <row r="317" spans="1:14" s="3" customFormat="1" ht="12.2" customHeight="1" x14ac:dyDescent="0.15">
      <c r="A317" s="1" t="s">
        <v>440</v>
      </c>
      <c r="B317" s="2" t="s">
        <v>359</v>
      </c>
      <c r="C317" s="2" t="s">
        <v>292</v>
      </c>
      <c r="D317" s="2" t="s">
        <v>431</v>
      </c>
      <c r="E317" s="6">
        <v>1300</v>
      </c>
      <c r="F317" s="18">
        <v>30107.07</v>
      </c>
      <c r="G317" s="18">
        <v>6536.25</v>
      </c>
      <c r="H317" s="18">
        <v>13234.93</v>
      </c>
      <c r="I317" s="18">
        <v>55291.39</v>
      </c>
      <c r="J317" s="18">
        <v>20072.25</v>
      </c>
      <c r="K317" s="18">
        <v>0</v>
      </c>
      <c r="L317" s="13">
        <f>SUM(F317:K317)</f>
        <v>125241.89</v>
      </c>
      <c r="M317" s="8"/>
      <c r="N317" s="165"/>
    </row>
    <row r="318" spans="1:14" s="3" customFormat="1" ht="12.2" customHeight="1" x14ac:dyDescent="0.15">
      <c r="A318" s="1" t="s">
        <v>441</v>
      </c>
      <c r="B318" s="2" t="s">
        <v>359</v>
      </c>
      <c r="C318" s="2" t="s">
        <v>293</v>
      </c>
      <c r="D318" s="2" t="s">
        <v>431</v>
      </c>
      <c r="E318" s="6">
        <v>1400</v>
      </c>
      <c r="F318" s="18">
        <v>34874.800000000003</v>
      </c>
      <c r="G318" s="18">
        <v>9341.98</v>
      </c>
      <c r="H318" s="18">
        <v>7474.6500000000005</v>
      </c>
      <c r="I318" s="18">
        <v>10899.85</v>
      </c>
      <c r="J318" s="18">
        <v>0</v>
      </c>
      <c r="K318" s="18">
        <v>18503.329999999998</v>
      </c>
      <c r="L318" s="13">
        <f>SUM(F318:K318)</f>
        <v>81094.61</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50467.839999999997</v>
      </c>
      <c r="G320" s="18">
        <v>14427.72</v>
      </c>
      <c r="H320" s="18">
        <v>3005.6</v>
      </c>
      <c r="I320" s="18">
        <v>0</v>
      </c>
      <c r="J320" s="18">
        <v>0</v>
      </c>
      <c r="K320" s="18">
        <v>5850</v>
      </c>
      <c r="L320" s="13">
        <f t="shared" ref="L320:L326" si="16">SUM(F320:K320)</f>
        <v>73751.16</v>
      </c>
      <c r="M320" s="8"/>
      <c r="N320" s="165"/>
    </row>
    <row r="321" spans="1:14" s="3" customFormat="1" ht="12.2" customHeight="1" x14ac:dyDescent="0.15">
      <c r="A321" s="1" t="s">
        <v>443</v>
      </c>
      <c r="B321" s="2" t="s">
        <v>359</v>
      </c>
      <c r="C321" s="2" t="s">
        <v>295</v>
      </c>
      <c r="D321" s="2" t="s">
        <v>431</v>
      </c>
      <c r="E321" s="6">
        <v>2200</v>
      </c>
      <c r="F321" s="18">
        <v>7525</v>
      </c>
      <c r="G321" s="18">
        <v>2180.36</v>
      </c>
      <c r="H321" s="18">
        <v>25657.71</v>
      </c>
      <c r="I321" s="18">
        <v>5667.88</v>
      </c>
      <c r="J321" s="18">
        <v>9619.67</v>
      </c>
      <c r="K321" s="18">
        <v>6353.6</v>
      </c>
      <c r="L321" s="13">
        <f t="shared" si="16"/>
        <v>57004.219999999994</v>
      </c>
      <c r="M321" s="8"/>
      <c r="N321" s="165"/>
    </row>
    <row r="322" spans="1:14" s="3" customFormat="1" ht="12.2" customHeight="1" x14ac:dyDescent="0.15">
      <c r="A322" s="1" t="s">
        <v>444</v>
      </c>
      <c r="B322" s="2" t="s">
        <v>359</v>
      </c>
      <c r="C322" s="2" t="s">
        <v>296</v>
      </c>
      <c r="D322" s="2" t="s">
        <v>431</v>
      </c>
      <c r="E322" s="6">
        <v>2300</v>
      </c>
      <c r="F322" s="18">
        <v>83439.399999999994</v>
      </c>
      <c r="G322" s="18">
        <v>16676.370000000003</v>
      </c>
      <c r="H322" s="18">
        <v>0</v>
      </c>
      <c r="I322" s="18">
        <v>8642.56</v>
      </c>
      <c r="J322" s="18">
        <v>0</v>
      </c>
      <c r="K322" s="18">
        <v>6725.48</v>
      </c>
      <c r="L322" s="13">
        <f t="shared" si="16"/>
        <v>115483.80999999998</v>
      </c>
      <c r="M322" s="8"/>
      <c r="N322" s="165"/>
    </row>
    <row r="323" spans="1:14" s="3" customFormat="1" ht="12.2" customHeight="1" x14ac:dyDescent="0.15">
      <c r="A323" s="1" t="s">
        <v>445</v>
      </c>
      <c r="B323" s="2" t="s">
        <v>359</v>
      </c>
      <c r="C323" s="2" t="s">
        <v>297</v>
      </c>
      <c r="D323" s="2" t="s">
        <v>431</v>
      </c>
      <c r="E323" s="6">
        <v>2400</v>
      </c>
      <c r="F323" s="18">
        <v>115593.97</v>
      </c>
      <c r="G323" s="18">
        <v>33011.620000000003</v>
      </c>
      <c r="H323" s="18">
        <v>0</v>
      </c>
      <c r="I323" s="18">
        <v>0</v>
      </c>
      <c r="J323" s="18">
        <v>0</v>
      </c>
      <c r="K323" s="18">
        <v>0</v>
      </c>
      <c r="L323" s="13">
        <f t="shared" si="16"/>
        <v>148605.59</v>
      </c>
      <c r="M323" s="8"/>
      <c r="N323" s="165"/>
    </row>
    <row r="324" spans="1:14" s="3" customFormat="1" ht="12.2" customHeight="1" x14ac:dyDescent="0.15">
      <c r="A324" s="1" t="s">
        <v>446</v>
      </c>
      <c r="B324" s="2" t="s">
        <v>359</v>
      </c>
      <c r="C324" s="2" t="s">
        <v>298</v>
      </c>
      <c r="D324" s="2" t="s">
        <v>431</v>
      </c>
      <c r="E324" s="6">
        <v>2500</v>
      </c>
      <c r="F324" s="18">
        <v>0</v>
      </c>
      <c r="G324" s="18">
        <v>0</v>
      </c>
      <c r="H324" s="18">
        <v>296.67</v>
      </c>
      <c r="I324" s="18">
        <v>0</v>
      </c>
      <c r="J324" s="18">
        <v>0</v>
      </c>
      <c r="K324" s="18">
        <v>0</v>
      </c>
      <c r="L324" s="13">
        <f t="shared" si="16"/>
        <v>296.67</v>
      </c>
      <c r="M324" s="8"/>
      <c r="N324" s="165"/>
    </row>
    <row r="325" spans="1:14" s="3" customFormat="1" ht="12.2" customHeight="1" x14ac:dyDescent="0.15">
      <c r="A325" s="1" t="s">
        <v>447</v>
      </c>
      <c r="B325" s="2" t="s">
        <v>359</v>
      </c>
      <c r="C325" s="2" t="s">
        <v>299</v>
      </c>
      <c r="D325" s="2" t="s">
        <v>431</v>
      </c>
      <c r="E325" s="6">
        <v>2600</v>
      </c>
      <c r="F325" s="18">
        <v>14690.83</v>
      </c>
      <c r="G325" s="18">
        <v>3125.05</v>
      </c>
      <c r="H325" s="18">
        <v>5377.03</v>
      </c>
      <c r="I325" s="18">
        <v>27553.85</v>
      </c>
      <c r="J325" s="18">
        <v>22323.360000000001</v>
      </c>
      <c r="K325" s="18">
        <v>0</v>
      </c>
      <c r="L325" s="13">
        <f t="shared" si="16"/>
        <v>73070.12</v>
      </c>
      <c r="M325" s="8"/>
      <c r="N325" s="165"/>
    </row>
    <row r="326" spans="1:14" s="3" customFormat="1" ht="12.2" customHeight="1" x14ac:dyDescent="0.15">
      <c r="A326" s="1" t="s">
        <v>448</v>
      </c>
      <c r="B326" s="2" t="s">
        <v>359</v>
      </c>
      <c r="C326" s="2" t="s">
        <v>300</v>
      </c>
      <c r="D326" s="2" t="s">
        <v>431</v>
      </c>
      <c r="E326" s="6">
        <v>2700</v>
      </c>
      <c r="F326" s="18">
        <v>0</v>
      </c>
      <c r="G326" s="18">
        <v>0</v>
      </c>
      <c r="H326" s="18">
        <v>39</v>
      </c>
      <c r="I326" s="18">
        <v>0</v>
      </c>
      <c r="J326" s="18">
        <v>0</v>
      </c>
      <c r="K326" s="18">
        <v>0</v>
      </c>
      <c r="L326" s="13">
        <f t="shared" si="16"/>
        <v>39</v>
      </c>
      <c r="M326" s="8"/>
      <c r="N326" s="165"/>
    </row>
    <row r="327" spans="1:14" s="3" customFormat="1" ht="12.2" customHeight="1" x14ac:dyDescent="0.15">
      <c r="A327" s="1" t="s">
        <v>449</v>
      </c>
      <c r="B327" s="2" t="s">
        <v>359</v>
      </c>
      <c r="C327" s="2" t="s">
        <v>343</v>
      </c>
      <c r="D327" s="2" t="s">
        <v>431</v>
      </c>
      <c r="E327" s="6">
        <v>2800</v>
      </c>
      <c r="F327" s="18">
        <v>0</v>
      </c>
      <c r="G327" s="18">
        <v>0</v>
      </c>
      <c r="H327" s="18">
        <v>2838.29</v>
      </c>
      <c r="I327" s="18">
        <v>11915.47</v>
      </c>
      <c r="J327" s="18">
        <v>0</v>
      </c>
      <c r="K327" s="18">
        <v>0</v>
      </c>
      <c r="L327" s="13">
        <f>SUM(F327:K327)</f>
        <v>14753.759999999998</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1767356.75</v>
      </c>
      <c r="G329" s="39">
        <f t="shared" si="17"/>
        <v>419925.54999999993</v>
      </c>
      <c r="H329" s="39">
        <f t="shared" si="17"/>
        <v>99264.76999999999</v>
      </c>
      <c r="I329" s="39">
        <f t="shared" si="17"/>
        <v>164660.09</v>
      </c>
      <c r="J329" s="39">
        <f t="shared" si="17"/>
        <v>63492</v>
      </c>
      <c r="K329" s="39">
        <f t="shared" si="17"/>
        <v>37432.410000000003</v>
      </c>
      <c r="L329" s="38">
        <f t="shared" si="17"/>
        <v>2552131.5699999998</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3325589.88</v>
      </c>
      <c r="G339" s="38">
        <f t="shared" si="20"/>
        <v>806649.61</v>
      </c>
      <c r="H339" s="38">
        <f t="shared" si="20"/>
        <v>337485.06</v>
      </c>
      <c r="I339" s="38">
        <f t="shared" si="20"/>
        <v>278890.36</v>
      </c>
      <c r="J339" s="38">
        <f t="shared" si="20"/>
        <v>150372.70000000001</v>
      </c>
      <c r="K339" s="38">
        <f t="shared" si="20"/>
        <v>68117.41</v>
      </c>
      <c r="L339" s="38">
        <f t="shared" si="20"/>
        <v>4967105.0199999996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3325589.88</v>
      </c>
      <c r="G353" s="38">
        <f>G339</f>
        <v>806649.61</v>
      </c>
      <c r="H353" s="38">
        <f>H339</f>
        <v>337485.06</v>
      </c>
      <c r="I353" s="38">
        <f>I339</f>
        <v>278890.36</v>
      </c>
      <c r="J353" s="38">
        <f>J339</f>
        <v>150372.70000000001</v>
      </c>
      <c r="K353" s="38">
        <f>K339+K352</f>
        <v>68117.41</v>
      </c>
      <c r="L353" s="38">
        <f>L339+L352</f>
        <v>4967105.0199999996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198645.36</v>
      </c>
      <c r="G359" s="18">
        <v>37023.64</v>
      </c>
      <c r="H359" s="18">
        <v>23551.11</v>
      </c>
      <c r="I359" s="18">
        <v>179582.07999999999</v>
      </c>
      <c r="J359" s="18">
        <v>546.53</v>
      </c>
      <c r="K359" s="18">
        <v>158.72999999999999</v>
      </c>
      <c r="L359" s="13">
        <f>SUM(F359:K359)</f>
        <v>439507.44999999995</v>
      </c>
      <c r="M359" s="8"/>
      <c r="N359" s="165"/>
    </row>
    <row r="360" spans="1:22" s="3" customFormat="1" ht="12.2" customHeight="1" x14ac:dyDescent="0.15">
      <c r="A360" s="1" t="s">
        <v>542</v>
      </c>
      <c r="B360" s="2" t="s">
        <v>366</v>
      </c>
      <c r="C360" s="6">
        <v>2</v>
      </c>
      <c r="D360" s="2" t="s">
        <v>431</v>
      </c>
      <c r="E360" s="6"/>
      <c r="F360" s="18">
        <v>134618.59999999998</v>
      </c>
      <c r="G360" s="18">
        <v>20700.88</v>
      </c>
      <c r="H360" s="18">
        <v>12618.9</v>
      </c>
      <c r="I360" s="18">
        <v>96221.7</v>
      </c>
      <c r="J360" s="18">
        <v>292.83999999999997</v>
      </c>
      <c r="K360" s="18">
        <v>85.05</v>
      </c>
      <c r="L360" s="13">
        <f>SUM(F360:K360)</f>
        <v>264537.96999999997</v>
      </c>
      <c r="M360" s="8"/>
      <c r="N360" s="165"/>
    </row>
    <row r="361" spans="1:22" s="3" customFormat="1" ht="12.2" customHeight="1" x14ac:dyDescent="0.15">
      <c r="A361" s="3" t="s">
        <v>543</v>
      </c>
      <c r="B361" s="2" t="s">
        <v>366</v>
      </c>
      <c r="C361" s="6">
        <v>3</v>
      </c>
      <c r="D361" s="2" t="s">
        <v>431</v>
      </c>
      <c r="E361" s="6"/>
      <c r="F361" s="18">
        <v>115184.59</v>
      </c>
      <c r="G361" s="18">
        <v>23829.98</v>
      </c>
      <c r="H361" s="18">
        <v>26299.79</v>
      </c>
      <c r="I361" s="18">
        <v>200541.26</v>
      </c>
      <c r="J361" s="18">
        <v>610.32000000000005</v>
      </c>
      <c r="K361" s="18">
        <v>177.25</v>
      </c>
      <c r="L361" s="13">
        <f>SUM(F361:K361)</f>
        <v>366643.19</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448448.54999999993</v>
      </c>
      <c r="G363" s="38">
        <f t="shared" si="22"/>
        <v>81554.5</v>
      </c>
      <c r="H363" s="38">
        <f t="shared" si="22"/>
        <v>62469.8</v>
      </c>
      <c r="I363" s="38">
        <f t="shared" si="22"/>
        <v>476345.04</v>
      </c>
      <c r="J363" s="38">
        <f t="shared" si="22"/>
        <v>1449.69</v>
      </c>
      <c r="K363" s="38">
        <f t="shared" si="22"/>
        <v>421.03</v>
      </c>
      <c r="L363" s="38">
        <f t="shared" si="22"/>
        <v>1070688.6099999999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140306.85</v>
      </c>
      <c r="G368" s="18">
        <v>75177.679999999993</v>
      </c>
      <c r="H368" s="18">
        <v>156682.19</v>
      </c>
      <c r="I368" s="13">
        <f>SUM(F368:H368)</f>
        <v>372166.72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39275.230000000003</v>
      </c>
      <c r="G369" s="53">
        <v>21044.02</v>
      </c>
      <c r="H369" s="53">
        <v>43859.07</v>
      </c>
      <c r="I369" s="13">
        <f>SUM(F369:H369)</f>
        <v>104178.32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179582.08000000002</v>
      </c>
      <c r="G370" s="38">
        <f>SUM(G368:G369)</f>
        <v>96221.7</v>
      </c>
      <c r="H370" s="38">
        <f>SUM(H368:H369)</f>
        <v>200541.26</v>
      </c>
      <c r="I370" s="38">
        <f>SUM(I368:I369)</f>
        <v>476345.04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0</v>
      </c>
      <c r="G466" s="18">
        <v>298010.05</v>
      </c>
      <c r="H466" s="18">
        <v>612526.26</v>
      </c>
      <c r="I466" s="18"/>
      <c r="J466" s="18"/>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57913930.219999999</v>
      </c>
      <c r="G469" s="18">
        <v>965140.58</v>
      </c>
      <c r="H469" s="18">
        <f>5221865.84+35000+6093.2</f>
        <v>5262959.04</v>
      </c>
      <c r="I469" s="18"/>
      <c r="J469" s="18"/>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57913930.219999999</v>
      </c>
      <c r="G471" s="19">
        <f>SUM(G469:G470)</f>
        <v>965140.58</v>
      </c>
      <c r="H471" s="19">
        <f>SUM(H469:H470)</f>
        <v>5262959.04</v>
      </c>
      <c r="I471" s="19">
        <f>SUM(I469:I470)</f>
        <v>0</v>
      </c>
      <c r="J471" s="19">
        <f>SUM(J469:J470)</f>
        <v>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57913930.219999999</v>
      </c>
      <c r="G473" s="18">
        <v>1070688.6100000001</v>
      </c>
      <c r="H473" s="18">
        <v>4967105.0199999996</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57913930.219999999</v>
      </c>
      <c r="G475" s="19">
        <f>SUM(G473:G474)</f>
        <v>1070688.6100000001</v>
      </c>
      <c r="H475" s="19">
        <f>SUM(H473:H474)</f>
        <v>4967105.0199999996</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0</v>
      </c>
      <c r="G477" s="19">
        <f>(G466+G471)- G475</f>
        <v>192462.01999999979</v>
      </c>
      <c r="H477" s="19">
        <f>(H466+H471)- H475</f>
        <v>908380.28000000026</v>
      </c>
      <c r="I477" s="19">
        <f>(I466+I471)- I475</f>
        <v>0</v>
      </c>
      <c r="J477" s="19">
        <f>(J466+J471)- J475</f>
        <v>0</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2921460.13</v>
      </c>
      <c r="G522" s="18">
        <v>1377940.43</v>
      </c>
      <c r="H522" s="18">
        <v>1011104.1000000001</v>
      </c>
      <c r="I522" s="18">
        <v>31399.47</v>
      </c>
      <c r="J522" s="18">
        <v>6479</v>
      </c>
      <c r="K522" s="18"/>
      <c r="L522" s="69">
        <f>SUM(F522:K522)</f>
        <v>5348383.13</v>
      </c>
      <c r="N522" s="131"/>
    </row>
    <row r="523" spans="1:14" ht="12.2" customHeight="1" x14ac:dyDescent="0.2">
      <c r="A523" s="21" t="s">
        <v>634</v>
      </c>
      <c r="B523" s="22">
        <v>21</v>
      </c>
      <c r="C523" s="22">
        <v>2</v>
      </c>
      <c r="D523" s="2" t="s">
        <v>432</v>
      </c>
      <c r="E523" s="22"/>
      <c r="F523" s="18">
        <v>1328047.05</v>
      </c>
      <c r="G523" s="18">
        <v>555797.15</v>
      </c>
      <c r="H523" s="18">
        <v>271639.03999999998</v>
      </c>
      <c r="I523" s="18">
        <v>9229.69</v>
      </c>
      <c r="J523" s="18">
        <v>5986.4</v>
      </c>
      <c r="K523" s="18"/>
      <c r="L523" s="69">
        <f>SUM(F523:K523)</f>
        <v>2170699.33</v>
      </c>
      <c r="N523" s="131"/>
    </row>
    <row r="524" spans="1:14" ht="12.2" customHeight="1" thickBot="1" x14ac:dyDescent="0.25">
      <c r="A524" s="21" t="s">
        <v>635</v>
      </c>
      <c r="B524" s="22">
        <v>21</v>
      </c>
      <c r="C524" s="22">
        <v>3</v>
      </c>
      <c r="D524" s="2" t="s">
        <v>432</v>
      </c>
      <c r="E524" s="22"/>
      <c r="F524" s="18">
        <v>1993506.75</v>
      </c>
      <c r="G524" s="18">
        <v>739863.04000000004</v>
      </c>
      <c r="H524" s="18">
        <v>1396098.11</v>
      </c>
      <c r="I524" s="18">
        <v>41954.48</v>
      </c>
      <c r="J524" s="18">
        <v>3052.51</v>
      </c>
      <c r="K524" s="18"/>
      <c r="L524" s="69">
        <f>SUM(F524:K524)</f>
        <v>4174474.89</v>
      </c>
      <c r="N524" s="131"/>
    </row>
    <row r="525" spans="1:14" ht="12.2" customHeight="1" thickTop="1" x14ac:dyDescent="0.2">
      <c r="A525" s="97" t="s">
        <v>63</v>
      </c>
      <c r="B525" s="41">
        <v>21</v>
      </c>
      <c r="C525" s="41">
        <v>4</v>
      </c>
      <c r="D525" s="115" t="s">
        <v>432</v>
      </c>
      <c r="E525" s="41"/>
      <c r="F525" s="81">
        <f>SUM(F522:F524)</f>
        <v>6243013.9299999997</v>
      </c>
      <c r="G525" s="81">
        <f t="shared" ref="G525:L525" si="36">SUM(G522:G524)</f>
        <v>2673600.62</v>
      </c>
      <c r="H525" s="81">
        <f t="shared" si="36"/>
        <v>2678841.25</v>
      </c>
      <c r="I525" s="81">
        <f t="shared" si="36"/>
        <v>82583.640000000014</v>
      </c>
      <c r="J525" s="81">
        <f t="shared" si="36"/>
        <v>15517.91</v>
      </c>
      <c r="K525" s="81">
        <f t="shared" si="36"/>
        <v>0</v>
      </c>
      <c r="L525" s="70">
        <f t="shared" si="36"/>
        <v>11693557.35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415227.41</v>
      </c>
      <c r="G527" s="18">
        <v>117112.99</v>
      </c>
      <c r="H527" s="18">
        <v>162173.24000000002</v>
      </c>
      <c r="I527" s="18">
        <v>2888.98</v>
      </c>
      <c r="J527" s="18"/>
      <c r="K527" s="18"/>
      <c r="L527" s="69">
        <f>SUM(F527:K527)</f>
        <v>697402.62</v>
      </c>
      <c r="M527" s="8"/>
      <c r="N527" s="165"/>
    </row>
    <row r="528" spans="1:14" s="3" customFormat="1" ht="12.2" customHeight="1" x14ac:dyDescent="0.15">
      <c r="A528" s="21" t="s">
        <v>634</v>
      </c>
      <c r="B528" s="22">
        <v>21</v>
      </c>
      <c r="C528" s="22">
        <v>6</v>
      </c>
      <c r="D528" s="2" t="s">
        <v>432</v>
      </c>
      <c r="E528" s="22"/>
      <c r="F528" s="18">
        <v>222482.59</v>
      </c>
      <c r="G528" s="18">
        <v>62750.2</v>
      </c>
      <c r="H528" s="18">
        <v>35832.43</v>
      </c>
      <c r="I528" s="18">
        <v>1547.94</v>
      </c>
      <c r="J528" s="18"/>
      <c r="K528" s="18"/>
      <c r="L528" s="69">
        <f>SUM(F528:K528)</f>
        <v>322613.15999999997</v>
      </c>
      <c r="M528" s="8"/>
      <c r="N528" s="165"/>
    </row>
    <row r="529" spans="1:14" s="3" customFormat="1" ht="12.2" customHeight="1" thickBot="1" x14ac:dyDescent="0.2">
      <c r="A529" s="21" t="s">
        <v>635</v>
      </c>
      <c r="B529" s="22">
        <v>21</v>
      </c>
      <c r="C529" s="22">
        <v>7</v>
      </c>
      <c r="D529" s="2" t="s">
        <v>432</v>
      </c>
      <c r="E529" s="22"/>
      <c r="F529" s="18">
        <v>463688.96000000002</v>
      </c>
      <c r="G529" s="18">
        <v>130781.35</v>
      </c>
      <c r="H529" s="18">
        <v>37890.800000000003</v>
      </c>
      <c r="I529" s="18">
        <v>3226.17</v>
      </c>
      <c r="J529" s="18">
        <v>304</v>
      </c>
      <c r="K529" s="18"/>
      <c r="L529" s="69">
        <f>SUM(F529:K529)</f>
        <v>635891.28000000014</v>
      </c>
      <c r="M529" s="8"/>
      <c r="N529" s="165"/>
    </row>
    <row r="530" spans="1:14" s="3" customFormat="1" ht="12.2" customHeight="1" thickTop="1" x14ac:dyDescent="0.15">
      <c r="A530" s="97" t="s">
        <v>65</v>
      </c>
      <c r="B530" s="41">
        <v>21</v>
      </c>
      <c r="C530" s="41">
        <v>8</v>
      </c>
      <c r="D530" s="115" t="s">
        <v>432</v>
      </c>
      <c r="E530" s="41"/>
      <c r="F530" s="70">
        <f>SUM(F527:F529)</f>
        <v>1101398.96</v>
      </c>
      <c r="G530" s="70">
        <f t="shared" ref="G530:L530" si="37">SUM(G527:G529)</f>
        <v>310644.54000000004</v>
      </c>
      <c r="H530" s="70">
        <f t="shared" si="37"/>
        <v>235896.47000000003</v>
      </c>
      <c r="I530" s="70">
        <f t="shared" si="37"/>
        <v>7663.09</v>
      </c>
      <c r="J530" s="70">
        <f t="shared" si="37"/>
        <v>304</v>
      </c>
      <c r="K530" s="70">
        <f t="shared" si="37"/>
        <v>0</v>
      </c>
      <c r="L530" s="70">
        <f t="shared" si="37"/>
        <v>1655907.06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43233.279999999999</v>
      </c>
      <c r="G532" s="18">
        <v>12290.8</v>
      </c>
      <c r="H532" s="18">
        <v>766.34</v>
      </c>
      <c r="I532" s="18"/>
      <c r="J532" s="18"/>
      <c r="K532" s="18"/>
      <c r="L532" s="69">
        <f>SUM(F532:K532)</f>
        <v>56290.42</v>
      </c>
      <c r="M532" s="8"/>
      <c r="N532" s="165"/>
    </row>
    <row r="533" spans="1:14" s="3" customFormat="1" ht="12.2" customHeight="1" x14ac:dyDescent="0.15">
      <c r="A533" s="21" t="s">
        <v>634</v>
      </c>
      <c r="B533" s="22">
        <v>21</v>
      </c>
      <c r="C533" s="22">
        <v>10</v>
      </c>
      <c r="D533" s="2" t="s">
        <v>432</v>
      </c>
      <c r="E533" s="22"/>
      <c r="F533" s="18">
        <v>43233.279999999999</v>
      </c>
      <c r="G533" s="18">
        <v>12290.8</v>
      </c>
      <c r="H533" s="18"/>
      <c r="I533" s="18"/>
      <c r="J533" s="18"/>
      <c r="K533" s="18"/>
      <c r="L533" s="69">
        <f>SUM(F533:K533)</f>
        <v>55524.08</v>
      </c>
      <c r="M533" s="8"/>
      <c r="N533" s="165"/>
    </row>
    <row r="534" spans="1:14" s="3" customFormat="1" ht="12.2" customHeight="1" thickBot="1" x14ac:dyDescent="0.2">
      <c r="A534" s="21" t="s">
        <v>635</v>
      </c>
      <c r="B534" s="22">
        <v>21</v>
      </c>
      <c r="C534" s="22">
        <v>11</v>
      </c>
      <c r="D534" s="2" t="s">
        <v>432</v>
      </c>
      <c r="E534" s="22"/>
      <c r="F534" s="18">
        <v>106227.53</v>
      </c>
      <c r="G534" s="18">
        <v>25829.030000000002</v>
      </c>
      <c r="H534" s="18"/>
      <c r="I534" s="18"/>
      <c r="J534" s="18"/>
      <c r="K534" s="18">
        <v>200</v>
      </c>
      <c r="L534" s="69">
        <f>SUM(F534:K534)</f>
        <v>132256.56</v>
      </c>
      <c r="M534" s="8"/>
      <c r="N534" s="165"/>
    </row>
    <row r="535" spans="1:14" s="3" customFormat="1" ht="12.2" customHeight="1" thickTop="1" x14ac:dyDescent="0.15">
      <c r="A535" s="97" t="s">
        <v>67</v>
      </c>
      <c r="B535" s="41">
        <v>21</v>
      </c>
      <c r="C535" s="41">
        <v>12</v>
      </c>
      <c r="D535" s="115" t="s">
        <v>432</v>
      </c>
      <c r="E535" s="41"/>
      <c r="F535" s="70">
        <f>SUM(F532:F534)</f>
        <v>192694.09</v>
      </c>
      <c r="G535" s="70">
        <f t="shared" ref="G535:L535" si="38">SUM(G532:G534)</f>
        <v>50410.630000000005</v>
      </c>
      <c r="H535" s="70">
        <f t="shared" si="38"/>
        <v>766.34</v>
      </c>
      <c r="I535" s="70">
        <f t="shared" si="38"/>
        <v>0</v>
      </c>
      <c r="J535" s="70">
        <f t="shared" si="38"/>
        <v>0</v>
      </c>
      <c r="K535" s="70">
        <f t="shared" si="38"/>
        <v>200</v>
      </c>
      <c r="L535" s="70">
        <f t="shared" si="38"/>
        <v>244071.06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29650.21</v>
      </c>
      <c r="I537" s="18"/>
      <c r="J537" s="18"/>
      <c r="K537" s="18"/>
      <c r="L537" s="69">
        <f>SUM(F537:K537)</f>
        <v>29650.21</v>
      </c>
      <c r="M537" s="8"/>
      <c r="N537" s="165"/>
    </row>
    <row r="538" spans="1:14" s="3" customFormat="1" ht="12.2" customHeight="1" x14ac:dyDescent="0.15">
      <c r="A538" s="21" t="s">
        <v>634</v>
      </c>
      <c r="B538" s="22">
        <v>21</v>
      </c>
      <c r="C538" s="22">
        <v>14</v>
      </c>
      <c r="D538" s="2" t="s">
        <v>432</v>
      </c>
      <c r="E538" s="22"/>
      <c r="F538" s="18"/>
      <c r="G538" s="18"/>
      <c r="H538" s="18">
        <v>15886.85</v>
      </c>
      <c r="I538" s="18"/>
      <c r="J538" s="18"/>
      <c r="K538" s="18"/>
      <c r="L538" s="69">
        <f>SUM(F538:K538)</f>
        <v>15886.85</v>
      </c>
      <c r="M538" s="8"/>
      <c r="N538" s="165"/>
    </row>
    <row r="539" spans="1:14" s="3" customFormat="1" ht="12.2" customHeight="1" thickBot="1" x14ac:dyDescent="0.2">
      <c r="A539" s="21" t="s">
        <v>635</v>
      </c>
      <c r="B539" s="22">
        <v>21</v>
      </c>
      <c r="C539" s="22">
        <v>15</v>
      </c>
      <c r="D539" s="2" t="s">
        <v>432</v>
      </c>
      <c r="E539" s="22"/>
      <c r="F539" s="18"/>
      <c r="G539" s="18"/>
      <c r="H539" s="18">
        <v>33110.699999999997</v>
      </c>
      <c r="I539" s="18"/>
      <c r="J539" s="18"/>
      <c r="K539" s="18"/>
      <c r="L539" s="69">
        <f>SUM(F539:K539)</f>
        <v>33110.699999999997</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78647.759999999995</v>
      </c>
      <c r="I540" s="70">
        <f t="shared" si="39"/>
        <v>0</v>
      </c>
      <c r="J540" s="70">
        <f t="shared" si="39"/>
        <v>0</v>
      </c>
      <c r="K540" s="70">
        <f t="shared" si="39"/>
        <v>0</v>
      </c>
      <c r="L540" s="70">
        <f t="shared" si="39"/>
        <v>78647.759999999995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242071.59000000003</v>
      </c>
      <c r="I542" s="18"/>
      <c r="J542" s="18"/>
      <c r="K542" s="18"/>
      <c r="L542" s="69">
        <f>SUM(F542:K542)</f>
        <v>242071.59000000003</v>
      </c>
      <c r="M542" s="8"/>
      <c r="N542" s="165"/>
    </row>
    <row r="543" spans="1:14" s="3" customFormat="1" ht="12.2" customHeight="1" x14ac:dyDescent="0.15">
      <c r="A543" s="21" t="s">
        <v>634</v>
      </c>
      <c r="B543" s="22">
        <v>21</v>
      </c>
      <c r="C543" s="22">
        <v>18</v>
      </c>
      <c r="D543" s="2" t="s">
        <v>432</v>
      </c>
      <c r="E543" s="22"/>
      <c r="F543" s="18"/>
      <c r="G543" s="18"/>
      <c r="H543" s="18">
        <v>74854.37000000001</v>
      </c>
      <c r="I543" s="18"/>
      <c r="J543" s="18"/>
      <c r="K543" s="18"/>
      <c r="L543" s="69">
        <f>SUM(F543:K543)</f>
        <v>74854.37000000001</v>
      </c>
      <c r="M543" s="8"/>
      <c r="N543" s="165"/>
    </row>
    <row r="544" spans="1:14" s="3" customFormat="1" ht="12.2" customHeight="1" thickBot="1" x14ac:dyDescent="0.2">
      <c r="A544" s="21" t="s">
        <v>635</v>
      </c>
      <c r="B544" s="22">
        <v>21</v>
      </c>
      <c r="C544" s="22">
        <v>19</v>
      </c>
      <c r="D544" s="2" t="s">
        <v>432</v>
      </c>
      <c r="E544" s="22"/>
      <c r="F544" s="18"/>
      <c r="G544" s="18"/>
      <c r="H544" s="18">
        <v>226672.92</v>
      </c>
      <c r="I544" s="18"/>
      <c r="J544" s="18"/>
      <c r="K544" s="18"/>
      <c r="L544" s="69">
        <f>SUM(F544:K544)</f>
        <v>226672.92</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543598.88</v>
      </c>
      <c r="I545" s="141">
        <f t="shared" si="40"/>
        <v>0</v>
      </c>
      <c r="J545" s="141">
        <f t="shared" si="40"/>
        <v>0</v>
      </c>
      <c r="K545" s="141">
        <f t="shared" si="40"/>
        <v>0</v>
      </c>
      <c r="L545" s="141">
        <f t="shared" si="40"/>
        <v>543598.88</v>
      </c>
      <c r="M545" s="8"/>
      <c r="N545" s="165"/>
    </row>
    <row r="546" spans="1:14" s="3" customFormat="1" ht="12.2" customHeight="1" thickTop="1" x14ac:dyDescent="0.15">
      <c r="A546" s="75" t="s">
        <v>72</v>
      </c>
      <c r="B546" s="41">
        <v>21</v>
      </c>
      <c r="C546" s="41">
        <v>21</v>
      </c>
      <c r="D546" s="115" t="s">
        <v>432</v>
      </c>
      <c r="E546" s="41"/>
      <c r="F546" s="70">
        <f>F525+F530+F535+F540+F545</f>
        <v>7537106.9799999995</v>
      </c>
      <c r="G546" s="70">
        <f t="shared" ref="G546:L546" si="41">G525+G530+G535+G540+G545</f>
        <v>3034655.79</v>
      </c>
      <c r="H546" s="70">
        <f t="shared" si="41"/>
        <v>3537750.6999999997</v>
      </c>
      <c r="I546" s="70">
        <f t="shared" si="41"/>
        <v>90246.73000000001</v>
      </c>
      <c r="J546" s="70">
        <f t="shared" si="41"/>
        <v>15821.91</v>
      </c>
      <c r="K546" s="70">
        <f t="shared" si="41"/>
        <v>200</v>
      </c>
      <c r="L546" s="70">
        <f t="shared" si="41"/>
        <v>14215782.110000001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5348383.13</v>
      </c>
      <c r="G550" s="69">
        <f>L527</f>
        <v>697402.62</v>
      </c>
      <c r="H550" s="69">
        <f>L532</f>
        <v>56290.42</v>
      </c>
      <c r="I550" s="69">
        <f>L537</f>
        <v>29650.21</v>
      </c>
      <c r="J550" s="69">
        <f>L542</f>
        <v>242071.59000000003</v>
      </c>
      <c r="K550" s="69">
        <f>SUM(F550:J550)</f>
        <v>6373797.9699999997</v>
      </c>
      <c r="L550" s="23" t="s">
        <v>288</v>
      </c>
      <c r="M550" s="8"/>
      <c r="N550" s="165"/>
    </row>
    <row r="551" spans="1:14" s="3" customFormat="1" ht="12.2" customHeight="1" x14ac:dyDescent="0.15">
      <c r="A551" s="21" t="s">
        <v>634</v>
      </c>
      <c r="B551" s="22">
        <v>21</v>
      </c>
      <c r="C551" s="22">
        <v>23</v>
      </c>
      <c r="D551" s="2" t="s">
        <v>432</v>
      </c>
      <c r="E551" s="22"/>
      <c r="F551" s="69">
        <f>L523</f>
        <v>2170699.33</v>
      </c>
      <c r="G551" s="69">
        <f>L528</f>
        <v>322613.15999999997</v>
      </c>
      <c r="H551" s="69">
        <f>L533</f>
        <v>55524.08</v>
      </c>
      <c r="I551" s="69">
        <f>L538</f>
        <v>15886.85</v>
      </c>
      <c r="J551" s="69">
        <f>L543</f>
        <v>74854.37000000001</v>
      </c>
      <c r="K551" s="69">
        <f>SUM(F551:J551)</f>
        <v>2639577.7900000005</v>
      </c>
      <c r="L551" s="23" t="s">
        <v>288</v>
      </c>
      <c r="M551" s="8"/>
      <c r="N551" s="165"/>
    </row>
    <row r="552" spans="1:14" s="3" customFormat="1" ht="12.2" customHeight="1" thickBot="1" x14ac:dyDescent="0.2">
      <c r="A552" s="21" t="s">
        <v>635</v>
      </c>
      <c r="B552" s="22">
        <v>21</v>
      </c>
      <c r="C552" s="22">
        <v>24</v>
      </c>
      <c r="D552" s="2" t="s">
        <v>432</v>
      </c>
      <c r="E552" s="22"/>
      <c r="F552" s="69">
        <f>L524</f>
        <v>4174474.89</v>
      </c>
      <c r="G552" s="69">
        <f>L529</f>
        <v>635891.28000000014</v>
      </c>
      <c r="H552" s="69">
        <f>L534</f>
        <v>132256.56</v>
      </c>
      <c r="I552" s="69">
        <f>L539</f>
        <v>33110.699999999997</v>
      </c>
      <c r="J552" s="69">
        <f>L544</f>
        <v>226672.92</v>
      </c>
      <c r="K552" s="69">
        <f>SUM(F552:J552)</f>
        <v>5202406.3499999996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11693557.35</v>
      </c>
      <c r="G553" s="70">
        <f t="shared" si="42"/>
        <v>1655907.06</v>
      </c>
      <c r="H553" s="70">
        <f t="shared" si="42"/>
        <v>244071.06</v>
      </c>
      <c r="I553" s="70">
        <f t="shared" si="42"/>
        <v>78647.759999999995</v>
      </c>
      <c r="J553" s="70">
        <f t="shared" si="42"/>
        <v>543598.88</v>
      </c>
      <c r="K553" s="70">
        <f t="shared" si="42"/>
        <v>14215782.109999999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177603.30000000002</v>
      </c>
      <c r="G563" s="18">
        <v>37715.82</v>
      </c>
      <c r="H563" s="18"/>
      <c r="I563" s="18">
        <v>3195.73</v>
      </c>
      <c r="J563" s="18">
        <v>2392</v>
      </c>
      <c r="K563" s="18"/>
      <c r="L563" s="69">
        <f>SUM(F563:K563)</f>
        <v>220906.85000000003</v>
      </c>
      <c r="M563" s="8"/>
      <c r="N563" s="165"/>
    </row>
    <row r="564" spans="1:14" s="3" customFormat="1" ht="12.2" customHeight="1" x14ac:dyDescent="0.15">
      <c r="A564" s="21" t="s">
        <v>634</v>
      </c>
      <c r="B564" s="22">
        <v>22</v>
      </c>
      <c r="C564" s="22">
        <v>6</v>
      </c>
      <c r="D564" s="2" t="s">
        <v>432</v>
      </c>
      <c r="E564" s="22"/>
      <c r="F564" s="18">
        <v>86009.13</v>
      </c>
      <c r="G564" s="18">
        <v>23120.239999999998</v>
      </c>
      <c r="H564" s="18"/>
      <c r="I564" s="18"/>
      <c r="J564" s="18"/>
      <c r="K564" s="18"/>
      <c r="L564" s="69">
        <f>SUM(F564:K564)</f>
        <v>109129.37</v>
      </c>
      <c r="M564" s="8"/>
      <c r="N564" s="165"/>
    </row>
    <row r="565" spans="1:14" s="3" customFormat="1" ht="12.2" customHeight="1" thickBot="1" x14ac:dyDescent="0.2">
      <c r="A565" s="21" t="s">
        <v>635</v>
      </c>
      <c r="B565" s="22">
        <v>22</v>
      </c>
      <c r="C565" s="22">
        <v>7</v>
      </c>
      <c r="D565" s="2" t="s">
        <v>432</v>
      </c>
      <c r="E565" s="22"/>
      <c r="F565" s="18">
        <v>64653.21</v>
      </c>
      <c r="G565" s="18">
        <v>14121.44</v>
      </c>
      <c r="H565" s="18"/>
      <c r="I565" s="18"/>
      <c r="J565" s="18"/>
      <c r="K565" s="18"/>
      <c r="L565" s="69">
        <f>SUM(F565:K565)</f>
        <v>78774.649999999994</v>
      </c>
      <c r="M565" s="8"/>
      <c r="N565" s="165"/>
    </row>
    <row r="566" spans="1:14" s="3" customFormat="1" ht="12.2" customHeight="1" thickTop="1" x14ac:dyDescent="0.15">
      <c r="A566" s="97" t="s">
        <v>65</v>
      </c>
      <c r="B566" s="41">
        <v>22</v>
      </c>
      <c r="C566" s="41">
        <v>8</v>
      </c>
      <c r="D566" s="115" t="s">
        <v>432</v>
      </c>
      <c r="E566" s="41"/>
      <c r="F566" s="70">
        <f t="shared" ref="F566:L566" si="44">SUM(F563:F565)</f>
        <v>328265.64000000007</v>
      </c>
      <c r="G566" s="70">
        <f t="shared" si="44"/>
        <v>74957.5</v>
      </c>
      <c r="H566" s="70">
        <f t="shared" si="44"/>
        <v>0</v>
      </c>
      <c r="I566" s="70">
        <f t="shared" si="44"/>
        <v>3195.73</v>
      </c>
      <c r="J566" s="70">
        <f t="shared" si="44"/>
        <v>2392</v>
      </c>
      <c r="K566" s="70">
        <f t="shared" si="44"/>
        <v>0</v>
      </c>
      <c r="L566" s="70">
        <f t="shared" si="44"/>
        <v>408810.87</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328265.64000000007</v>
      </c>
      <c r="G572" s="70">
        <f t="shared" ref="G572:L572" si="46">G561+G566+G571</f>
        <v>74957.5</v>
      </c>
      <c r="H572" s="70">
        <f t="shared" si="46"/>
        <v>0</v>
      </c>
      <c r="I572" s="70">
        <f t="shared" si="46"/>
        <v>3195.73</v>
      </c>
      <c r="J572" s="70">
        <f t="shared" si="46"/>
        <v>2392</v>
      </c>
      <c r="K572" s="70">
        <f t="shared" si="46"/>
        <v>0</v>
      </c>
      <c r="L572" s="70">
        <f t="shared" si="46"/>
        <v>408810.87</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f>6364.61+48925</f>
        <v>55289.61</v>
      </c>
      <c r="I580" s="69">
        <f t="shared" si="47"/>
        <v>55289.61</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797922.51</v>
      </c>
      <c r="G583" s="18">
        <v>240196.24</v>
      </c>
      <c r="H583" s="18">
        <v>1006919.62</v>
      </c>
      <c r="I583" s="69">
        <f t="shared" si="47"/>
        <v>2045038.37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5904</v>
      </c>
      <c r="I585" s="69">
        <f t="shared" si="47"/>
        <v>5904</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262151.51</v>
      </c>
      <c r="I592" s="18">
        <v>140463.14000000001</v>
      </c>
      <c r="J592" s="18">
        <v>292747.44</v>
      </c>
      <c r="K592" s="80">
        <f t="shared" ref="K592:K598" si="48">SUM(H592:J592)</f>
        <v>695362.09000000008</v>
      </c>
      <c r="L592" s="23" t="s">
        <v>288</v>
      </c>
      <c r="M592" s="8"/>
      <c r="N592" s="165"/>
    </row>
    <row r="593" spans="1:14" s="3" customFormat="1" ht="12.2" customHeight="1" x14ac:dyDescent="0.15">
      <c r="A593" s="3" t="s">
        <v>638</v>
      </c>
      <c r="B593" s="22">
        <v>23</v>
      </c>
      <c r="C593" s="22">
        <v>2</v>
      </c>
      <c r="D593" s="2" t="s">
        <v>432</v>
      </c>
      <c r="E593" s="22"/>
      <c r="F593" s="78">
        <v>2722</v>
      </c>
      <c r="G593" s="79" t="s">
        <v>97</v>
      </c>
      <c r="H593" s="18">
        <v>218118.37</v>
      </c>
      <c r="I593" s="18">
        <v>66584.81</v>
      </c>
      <c r="J593" s="18">
        <v>258895.7</v>
      </c>
      <c r="K593" s="80">
        <f t="shared" si="48"/>
        <v>543598.88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14939.33</v>
      </c>
      <c r="J595" s="18">
        <v>110582.98</v>
      </c>
      <c r="K595" s="80">
        <f t="shared" si="48"/>
        <v>125522.31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26891.06</v>
      </c>
      <c r="I596" s="18">
        <v>25592.18</v>
      </c>
      <c r="J596" s="18">
        <v>94716.88</v>
      </c>
      <c r="K596" s="80">
        <f t="shared" si="48"/>
        <v>147200.12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507160.94</v>
      </c>
      <c r="I599" s="81">
        <f>SUM(I592:I598)</f>
        <v>247579.46</v>
      </c>
      <c r="J599" s="81">
        <f>SUM(J592:J598)</f>
        <v>756943</v>
      </c>
      <c r="K599" s="81">
        <f>SUM(K592:K598)</f>
        <v>1511683.4000000004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5595.81</v>
      </c>
      <c r="I604" s="18">
        <v>2998.29</v>
      </c>
      <c r="J604" s="18">
        <v>28572.260000000002</v>
      </c>
      <c r="K604" s="80">
        <f>SUM(H604:J604)</f>
        <v>37166.36</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155225.12</v>
      </c>
      <c r="I605" s="18">
        <v>115418.4</v>
      </c>
      <c r="J605" s="18">
        <v>136239.85999999999</v>
      </c>
      <c r="K605" s="80">
        <f>SUM(H605:J605)</f>
        <v>406883.38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160820.93</v>
      </c>
      <c r="I606" s="81">
        <f>SUM(I603:I605)</f>
        <v>118416.68999999999</v>
      </c>
      <c r="J606" s="81">
        <f>SUM(J603:J605)</f>
        <v>164812.12</v>
      </c>
      <c r="K606" s="81">
        <f>SUM(K603:K605)</f>
        <v>444049.74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13447.55</v>
      </c>
      <c r="G612" s="18">
        <v>2462.62</v>
      </c>
      <c r="H612" s="18">
        <v>1500</v>
      </c>
      <c r="I612" s="18">
        <v>796.89</v>
      </c>
      <c r="J612" s="18"/>
      <c r="K612" s="18">
        <v>5358.6</v>
      </c>
      <c r="L612" s="69">
        <f>SUM(F612:K612)</f>
        <v>23565.659999999996</v>
      </c>
      <c r="M612" s="8"/>
      <c r="N612" s="165"/>
    </row>
    <row r="613" spans="1:14" s="3" customFormat="1" ht="12.2" customHeight="1" x14ac:dyDescent="0.15">
      <c r="A613" s="21" t="s">
        <v>634</v>
      </c>
      <c r="B613" s="22">
        <v>23</v>
      </c>
      <c r="C613" s="22">
        <v>14</v>
      </c>
      <c r="D613" s="2" t="s">
        <v>432</v>
      </c>
      <c r="E613" s="22"/>
      <c r="F613" s="18">
        <v>813.54</v>
      </c>
      <c r="G613" s="18">
        <f>76.19+32.25+171.01</f>
        <v>279.45</v>
      </c>
      <c r="H613" s="18"/>
      <c r="I613" s="18"/>
      <c r="J613" s="18"/>
      <c r="K613" s="18"/>
      <c r="L613" s="69">
        <f>SUM(F613:K613)</f>
        <v>1092.99</v>
      </c>
      <c r="M613" s="8"/>
      <c r="N613" s="165"/>
    </row>
    <row r="614" spans="1:14" s="3" customFormat="1" ht="12.2" customHeight="1" thickBot="1" x14ac:dyDescent="0.2">
      <c r="A614" s="21" t="s">
        <v>645</v>
      </c>
      <c r="B614" s="22">
        <v>23</v>
      </c>
      <c r="C614" s="22">
        <v>15</v>
      </c>
      <c r="D614" s="2" t="s">
        <v>432</v>
      </c>
      <c r="E614" s="22"/>
      <c r="F614" s="18">
        <f>5000+22943</f>
        <v>27943</v>
      </c>
      <c r="G614" s="18">
        <f>383.23+1051+1746.48+4586.15</f>
        <v>7766.86</v>
      </c>
      <c r="H614" s="18"/>
      <c r="I614" s="18"/>
      <c r="J614" s="18"/>
      <c r="K614" s="18"/>
      <c r="L614" s="69">
        <f>SUM(F614:K614)</f>
        <v>35709.86</v>
      </c>
      <c r="M614" s="8"/>
      <c r="N614" s="165"/>
    </row>
    <row r="615" spans="1:14" s="3" customFormat="1" ht="12.2" customHeight="1" thickTop="1" x14ac:dyDescent="0.15">
      <c r="A615" s="75" t="s">
        <v>340</v>
      </c>
      <c r="B615" s="41">
        <v>23</v>
      </c>
      <c r="C615" s="41">
        <v>16</v>
      </c>
      <c r="D615" s="36" t="s">
        <v>432</v>
      </c>
      <c r="E615" s="41"/>
      <c r="F615" s="81">
        <f t="shared" ref="F615:L615" si="49">SUM(F612:F614)</f>
        <v>42204.09</v>
      </c>
      <c r="G615" s="81">
        <f t="shared" si="49"/>
        <v>10508.93</v>
      </c>
      <c r="H615" s="81">
        <f t="shared" si="49"/>
        <v>1500</v>
      </c>
      <c r="I615" s="81">
        <f t="shared" si="49"/>
        <v>796.89</v>
      </c>
      <c r="J615" s="81">
        <f t="shared" si="49"/>
        <v>0</v>
      </c>
      <c r="K615" s="81">
        <f t="shared" si="49"/>
        <v>5358.6</v>
      </c>
      <c r="L615" s="70">
        <f t="shared" si="49"/>
        <v>60368.509999999995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0</v>
      </c>
      <c r="H618" s="80">
        <f>SUM(F52)</f>
        <v>0</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259889.36</v>
      </c>
      <c r="H619" s="80">
        <f>SUM(G52)</f>
        <v>259889.36</v>
      </c>
      <c r="I619" s="87" t="s">
        <v>875</v>
      </c>
      <c r="J619" s="80">
        <f>G619-H619</f>
        <v>0</v>
      </c>
      <c r="K619" s="80"/>
      <c r="L619" s="80"/>
      <c r="M619" s="8"/>
    </row>
    <row r="620" spans="1:14" s="3" customFormat="1" ht="12.2" customHeight="1" x14ac:dyDescent="0.15">
      <c r="A620" s="74"/>
      <c r="B620" s="22"/>
      <c r="C620" s="22"/>
      <c r="D620" s="22"/>
      <c r="E620" s="22"/>
      <c r="F620" s="87" t="s">
        <v>685</v>
      </c>
      <c r="G620" s="80">
        <f>SUM(H19)</f>
        <v>908380.28</v>
      </c>
      <c r="H620" s="80">
        <f>SUM(H52)</f>
        <v>908380.28</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878</v>
      </c>
      <c r="J622" s="80">
        <f>G622-H622</f>
        <v>0</v>
      </c>
      <c r="K622" s="80"/>
      <c r="L622" s="80"/>
      <c r="M622" s="8"/>
    </row>
    <row r="623" spans="1:14" s="3" customFormat="1" ht="12.2" customHeight="1" x14ac:dyDescent="0.15">
      <c r="A623" s="74"/>
      <c r="B623" s="22"/>
      <c r="C623" s="22"/>
      <c r="D623" s="22"/>
      <c r="E623" s="22"/>
      <c r="F623" s="87" t="s">
        <v>864</v>
      </c>
      <c r="G623" s="80">
        <f>F51</f>
        <v>0</v>
      </c>
      <c r="H623" s="80">
        <f>F477</f>
        <v>0</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192462.02</v>
      </c>
      <c r="H624" s="80">
        <f>G477</f>
        <v>192462.01999999979</v>
      </c>
      <c r="I624" s="87" t="s">
        <v>102</v>
      </c>
      <c r="J624" s="80">
        <f t="shared" si="50"/>
        <v>0</v>
      </c>
      <c r="K624" s="80"/>
      <c r="L624" s="80"/>
      <c r="M624" s="8"/>
    </row>
    <row r="625" spans="1:13" s="3" customFormat="1" ht="12.2" customHeight="1" x14ac:dyDescent="0.15">
      <c r="A625" s="74"/>
      <c r="B625" s="22"/>
      <c r="C625" s="22"/>
      <c r="D625" s="22"/>
      <c r="E625" s="22"/>
      <c r="F625" s="86" t="s">
        <v>866</v>
      </c>
      <c r="G625" s="80">
        <f>H51</f>
        <v>908380.28</v>
      </c>
      <c r="H625" s="80">
        <f>H477</f>
        <v>908380.28000000026</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0</v>
      </c>
      <c r="H627" s="80">
        <f>J477</f>
        <v>0</v>
      </c>
      <c r="I627" s="87" t="s">
        <v>105</v>
      </c>
      <c r="J627" s="80">
        <f t="shared" si="50"/>
        <v>0</v>
      </c>
      <c r="K627" s="67"/>
      <c r="L627" s="69"/>
      <c r="M627" s="8"/>
    </row>
    <row r="628" spans="1:13" s="3" customFormat="1" ht="12.2" customHeight="1" x14ac:dyDescent="0.15">
      <c r="A628" s="21"/>
      <c r="B628" s="22"/>
      <c r="C628" s="22"/>
      <c r="D628" s="22"/>
      <c r="E628" s="22"/>
      <c r="F628" s="86" t="s">
        <v>658</v>
      </c>
      <c r="G628" s="80">
        <f>F194</f>
        <v>57913930.219999999</v>
      </c>
      <c r="H628" s="80">
        <f>SUM(F469)</f>
        <v>57913930.219999999</v>
      </c>
      <c r="I628" s="87" t="s">
        <v>106</v>
      </c>
      <c r="J628" s="80">
        <f>G628-H628</f>
        <v>0</v>
      </c>
      <c r="K628" s="67"/>
      <c r="L628" s="69"/>
      <c r="M628" s="8"/>
    </row>
    <row r="629" spans="1:13" s="3" customFormat="1" ht="12.2" customHeight="1" x14ac:dyDescent="0.15">
      <c r="A629" s="21"/>
      <c r="B629" s="22"/>
      <c r="C629" s="22"/>
      <c r="D629" s="22"/>
      <c r="E629" s="22"/>
      <c r="F629" s="86" t="s">
        <v>659</v>
      </c>
      <c r="G629" s="80">
        <f>G194</f>
        <v>965140.58</v>
      </c>
      <c r="H629" s="80">
        <f>SUM(G469)</f>
        <v>965140.58</v>
      </c>
      <c r="I629" s="87" t="s">
        <v>107</v>
      </c>
      <c r="J629" s="80">
        <f>G629-H629</f>
        <v>0</v>
      </c>
      <c r="K629" s="67"/>
      <c r="L629" s="69"/>
      <c r="M629" s="8"/>
    </row>
    <row r="630" spans="1:13" s="3" customFormat="1" ht="12.2" customHeight="1" x14ac:dyDescent="0.15">
      <c r="A630" s="21"/>
      <c r="B630" s="22"/>
      <c r="C630" s="22"/>
      <c r="D630" s="22"/>
      <c r="E630" s="22"/>
      <c r="F630" s="86" t="s">
        <v>660</v>
      </c>
      <c r="G630" s="80">
        <f>H194</f>
        <v>5262959.04</v>
      </c>
      <c r="H630" s="80">
        <f>SUM(H469)</f>
        <v>5262959.04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57913930.219999999</v>
      </c>
      <c r="H633" s="80">
        <f>SUM(F473)</f>
        <v>57913930.219999999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4967105.0199999996</v>
      </c>
      <c r="H634" s="80">
        <f>SUM(H473)</f>
        <v>4967105.0199999996</v>
      </c>
      <c r="I634" s="87" t="s">
        <v>112</v>
      </c>
      <c r="J634" s="80">
        <f>G634-H634</f>
        <v>0</v>
      </c>
      <c r="K634" s="67"/>
      <c r="L634" s="69"/>
      <c r="M634" s="8"/>
    </row>
    <row r="635" spans="1:13" s="124" customFormat="1" ht="12.2" customHeight="1" x14ac:dyDescent="0.15">
      <c r="A635" s="21"/>
      <c r="B635" s="22"/>
      <c r="C635" s="22"/>
      <c r="D635" s="22"/>
      <c r="E635" s="22"/>
      <c r="F635" s="99" t="s">
        <v>247</v>
      </c>
      <c r="G635" s="80">
        <f>I363</f>
        <v>476345.04</v>
      </c>
      <c r="H635" s="80">
        <f>I370</f>
        <v>476345.04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1070688.6099999999</v>
      </c>
      <c r="H636" s="80">
        <f>SUM(G473)</f>
        <v>1070688.6100000001</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0</v>
      </c>
      <c r="H643" s="80">
        <f>SUM(I462)</f>
        <v>0</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1511683.4000000004</v>
      </c>
      <c r="H648" s="80">
        <f>L209+L227+L245</f>
        <v>1511683.4</v>
      </c>
      <c r="I648" s="87" t="s">
        <v>396</v>
      </c>
      <c r="J648" s="80">
        <f t="shared" si="50"/>
        <v>0</v>
      </c>
      <c r="K648" s="67"/>
      <c r="L648" s="69"/>
      <c r="M648" s="8"/>
    </row>
    <row r="649" spans="1:13" s="3" customFormat="1" ht="12.2" customHeight="1" x14ac:dyDescent="0.15">
      <c r="A649" s="21"/>
      <c r="B649" s="22"/>
      <c r="C649" s="22"/>
      <c r="D649" s="22"/>
      <c r="E649" s="22"/>
      <c r="F649" s="86" t="s">
        <v>52</v>
      </c>
      <c r="G649" s="80">
        <f>K606</f>
        <v>444049.74</v>
      </c>
      <c r="H649" s="80">
        <f>(J258+J339)-(J256+J337)</f>
        <v>444049.74000000005</v>
      </c>
      <c r="I649" s="87" t="s">
        <v>699</v>
      </c>
      <c r="J649" s="80">
        <f t="shared" si="50"/>
        <v>0</v>
      </c>
      <c r="K649" s="67"/>
      <c r="L649" s="69"/>
      <c r="M649" s="8"/>
    </row>
    <row r="650" spans="1:13" s="3" customFormat="1" ht="12.2" customHeight="1" x14ac:dyDescent="0.15">
      <c r="A650" s="21"/>
      <c r="B650" s="22"/>
      <c r="C650" s="22"/>
      <c r="D650" s="22"/>
      <c r="E650" s="22"/>
      <c r="F650" s="86" t="s">
        <v>387</v>
      </c>
      <c r="G650" s="80">
        <f>L209</f>
        <v>507160.94</v>
      </c>
      <c r="H650" s="80">
        <f>H599</f>
        <v>507160.94</v>
      </c>
      <c r="I650" s="87" t="s">
        <v>388</v>
      </c>
      <c r="J650" s="80">
        <f t="shared" si="50"/>
        <v>0</v>
      </c>
      <c r="K650" s="67"/>
      <c r="L650" s="69"/>
      <c r="M650" s="8"/>
    </row>
    <row r="651" spans="1:13" s="3" customFormat="1" ht="12.2" customHeight="1" x14ac:dyDescent="0.15">
      <c r="A651" s="21"/>
      <c r="B651" s="22"/>
      <c r="C651" s="22"/>
      <c r="D651" s="22"/>
      <c r="E651" s="22"/>
      <c r="F651" s="86" t="s">
        <v>392</v>
      </c>
      <c r="G651" s="80">
        <f>L227</f>
        <v>247579.46</v>
      </c>
      <c r="H651" s="80">
        <f>I599</f>
        <v>247579.46</v>
      </c>
      <c r="I651" s="87" t="s">
        <v>389</v>
      </c>
      <c r="J651" s="80">
        <f t="shared" si="50"/>
        <v>0</v>
      </c>
      <c r="K651" s="67"/>
      <c r="L651" s="69"/>
      <c r="M651" s="8"/>
    </row>
    <row r="652" spans="1:13" s="3" customFormat="1" ht="12.2" customHeight="1" x14ac:dyDescent="0.15">
      <c r="A652" s="21"/>
      <c r="B652" s="22"/>
      <c r="C652" s="22"/>
      <c r="D652" s="22"/>
      <c r="E652" s="22"/>
      <c r="F652" s="86" t="s">
        <v>393</v>
      </c>
      <c r="G652" s="80">
        <f>L245</f>
        <v>756943</v>
      </c>
      <c r="H652" s="80">
        <f>J599</f>
        <v>756943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26939.51</v>
      </c>
      <c r="H653" s="80">
        <f>K264+K346</f>
        <v>26939.51</v>
      </c>
      <c r="I653" s="87" t="s">
        <v>397</v>
      </c>
      <c r="J653" s="80">
        <f t="shared" si="50"/>
        <v>0</v>
      </c>
      <c r="K653" s="67"/>
      <c r="L653" s="69"/>
      <c r="M653" s="8"/>
    </row>
    <row r="654" spans="1:13" s="3" customFormat="1" ht="12.2" customHeight="1" x14ac:dyDescent="0.15">
      <c r="A654" s="21"/>
      <c r="B654" s="22"/>
      <c r="C654" s="22"/>
      <c r="D654" s="22"/>
      <c r="E654" s="22"/>
      <c r="F654" s="86" t="s">
        <v>666</v>
      </c>
      <c r="G654" s="80">
        <f>H180</f>
        <v>1022871</v>
      </c>
      <c r="H654" s="80">
        <f>K265</f>
        <v>1022871</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24611744.600000001</v>
      </c>
      <c r="G661" s="13">
        <f>(L230+L310+L360)</f>
        <v>12746850.710000001</v>
      </c>
      <c r="H661" s="13">
        <f>(L248+L329+L361)</f>
        <v>25543318.029999997</v>
      </c>
      <c r="I661" s="13">
        <f>SUM(F661:H661)</f>
        <v>62901913.340000004</v>
      </c>
      <c r="J661" s="13"/>
      <c r="K661" s="13"/>
      <c r="L661" s="13"/>
      <c r="M661" s="9"/>
    </row>
    <row r="662" spans="1:13" s="3" customFormat="1" ht="12.2" customHeight="1" x14ac:dyDescent="0.2">
      <c r="A662" s="1" t="s">
        <v>127</v>
      </c>
      <c r="F662" s="13">
        <f>(L359/IF(SUM(L359:L361)=0,1,SUM(L359:L361))*(SUM(G97:G110)))</f>
        <v>198476.20904828576</v>
      </c>
      <c r="G662" s="13">
        <f>(L360/IF(SUM(L359:L361)=0,1,SUM(L359:L361))*(SUM(G97:G110)))</f>
        <v>119462.12387282433</v>
      </c>
      <c r="H662" s="13">
        <f>(L361/IF(SUM(L359:L361)=0,1,SUM(L359:L361))*(SUM(G97:G110)))</f>
        <v>165571.59707888993</v>
      </c>
      <c r="I662" s="13">
        <f>SUM(F662:H662)</f>
        <v>483509.93000000005</v>
      </c>
      <c r="J662"/>
      <c r="K662" s="13"/>
      <c r="L662" s="13"/>
      <c r="M662" s="8"/>
    </row>
    <row r="663" spans="1:13" s="3" customFormat="1" ht="12.2" customHeight="1" x14ac:dyDescent="0.2">
      <c r="A663" s="1" t="s">
        <v>128</v>
      </c>
      <c r="F663" s="13">
        <f>(L209+L288)-(J209+J288)</f>
        <v>507160.94</v>
      </c>
      <c r="G663" s="13">
        <f>(L227+L307)-(J227+J307)</f>
        <v>247579.46</v>
      </c>
      <c r="H663" s="13">
        <f>(L245+L326)-(J245+J326)</f>
        <v>756982</v>
      </c>
      <c r="I663" s="13">
        <f>SUM(F663:H663)</f>
        <v>1511722.4</v>
      </c>
      <c r="J663"/>
      <c r="K663" s="13"/>
      <c r="L663" s="13"/>
      <c r="M663" s="9"/>
    </row>
    <row r="664" spans="1:13" s="3" customFormat="1" ht="12.2" customHeight="1" x14ac:dyDescent="0.15">
      <c r="A664" s="142" t="s">
        <v>129</v>
      </c>
      <c r="B664" s="124"/>
      <c r="C664" s="124"/>
      <c r="D664" s="124"/>
      <c r="E664" s="124"/>
      <c r="F664" s="143">
        <f>SUM(F576:F588)+SUM(H603:H605)+SUM(L612)</f>
        <v>982309.1</v>
      </c>
      <c r="G664" s="143">
        <f>SUM(G576:G588)+SUM(I603:I605)+L613</f>
        <v>359705.92</v>
      </c>
      <c r="H664" s="143">
        <f>SUM(H576:H588)+SUM(J603:J605)+L614</f>
        <v>1268635.2100000002</v>
      </c>
      <c r="I664" s="13">
        <f>SUM(F664:H664)</f>
        <v>2610650.2300000004</v>
      </c>
      <c r="J664" s="13"/>
      <c r="K664" s="13"/>
      <c r="L664" s="13"/>
      <c r="M664" s="9"/>
    </row>
    <row r="665" spans="1:13" s="3" customFormat="1" ht="12.2" customHeight="1" x14ac:dyDescent="0.15">
      <c r="A665" s="1" t="s">
        <v>130</v>
      </c>
      <c r="F665" s="13">
        <f>F661-SUM(F662:F664)</f>
        <v>22923798.350951716</v>
      </c>
      <c r="G665" s="13">
        <f>G661-SUM(G662:G664)</f>
        <v>12020103.206127176</v>
      </c>
      <c r="H665" s="13">
        <f>H661-SUM(H662:H664)</f>
        <v>23352129.222921107</v>
      </c>
      <c r="I665" s="13">
        <f>I661-SUM(I662:I664)</f>
        <v>58296030.780000001</v>
      </c>
      <c r="J665" s="13"/>
      <c r="K665" s="13"/>
      <c r="L665" s="13"/>
      <c r="M665" s="8"/>
    </row>
    <row r="666" spans="1:13" s="3" customFormat="1" ht="12.2" customHeight="1" x14ac:dyDescent="0.2">
      <c r="A666" s="1" t="s">
        <v>131</v>
      </c>
      <c r="F666" s="183">
        <v>928.28</v>
      </c>
      <c r="G666" s="184">
        <v>497.49</v>
      </c>
      <c r="H666" s="184">
        <v>1020.71</v>
      </c>
      <c r="I666" s="13">
        <f>SUM(F666:H666)</f>
        <v>2446.48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24694.92</v>
      </c>
      <c r="G668" s="13">
        <f>ROUND(G665/G666,2)</f>
        <v>24161.5</v>
      </c>
      <c r="H668" s="13">
        <f>ROUND(H665/H666,2)</f>
        <v>22878.32</v>
      </c>
      <c r="I668" s="13">
        <f>ROUND(I665/I666,2)</f>
        <v>23828.53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v>
      </c>
      <c r="I671" s="13">
        <f>SUM(F671:H671)</f>
        <v>-1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24694.92</v>
      </c>
      <c r="G673" s="13">
        <f>ROUND((G665+G670)/(G666+G671),2)</f>
        <v>24161.5</v>
      </c>
      <c r="H673" s="13">
        <f>ROUND((H665+H670)/(H666+H671),2)</f>
        <v>22900.76</v>
      </c>
      <c r="I673" s="13">
        <f>ROUND((I665+I670)/(I666+I671),2)</f>
        <v>23838.28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160770.85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5000+5000+18793.36</f>
        <v>28793.360000000001</v>
      </c>
      <c r="F9" s="272" t="s">
        <v>1627</v>
      </c>
    </row>
    <row r="10" spans="2:8" x14ac:dyDescent="0.25">
      <c r="B10" s="271"/>
      <c r="C10" s="271"/>
      <c r="D10" s="271"/>
      <c r="E10" s="271"/>
      <c r="F10" s="271"/>
    </row>
    <row r="11" spans="2:8" x14ac:dyDescent="0.25">
      <c r="B11" s="271"/>
      <c r="C11" s="275" t="s">
        <v>1631</v>
      </c>
      <c r="D11" s="272" t="s">
        <v>1634</v>
      </c>
      <c r="E11" s="260">
        <f>3033.21+13392.95</f>
        <v>16426.16</v>
      </c>
      <c r="F11" s="272" t="s">
        <v>1628</v>
      </c>
    </row>
    <row r="12" spans="2:8" x14ac:dyDescent="0.25">
      <c r="B12" s="271"/>
      <c r="C12" s="271"/>
      <c r="D12" s="272"/>
      <c r="E12" s="271"/>
      <c r="F12" s="271"/>
    </row>
    <row r="13" spans="2:8" x14ac:dyDescent="0.25">
      <c r="B13" s="271"/>
      <c r="C13" s="272" t="s">
        <v>1621</v>
      </c>
      <c r="D13" s="272" t="s">
        <v>1635</v>
      </c>
      <c r="E13" s="260">
        <f>20632.75+9705.36</f>
        <v>30338.11</v>
      </c>
      <c r="F13" s="272" t="s">
        <v>1629</v>
      </c>
    </row>
    <row r="14" spans="2:8" x14ac:dyDescent="0.25">
      <c r="B14" s="271"/>
      <c r="C14" s="271"/>
      <c r="D14" s="272"/>
      <c r="E14" s="271"/>
      <c r="F14" s="271"/>
    </row>
    <row r="15" spans="2:8" x14ac:dyDescent="0.25">
      <c r="B15" s="271"/>
      <c r="C15" s="272" t="s">
        <v>1623</v>
      </c>
      <c r="D15" s="272" t="s">
        <v>1636</v>
      </c>
      <c r="E15" s="260">
        <v>85213.22</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Portsmouth</v>
      </c>
      <c r="C5" s="317"/>
      <c r="D5" s="317"/>
      <c r="E5" s="317"/>
      <c r="F5" s="317"/>
    </row>
    <row r="8" spans="1:9" ht="18" x14ac:dyDescent="0.25">
      <c r="A8" s="240" t="s">
        <v>1560</v>
      </c>
      <c r="F8" s="247" t="s">
        <v>1578</v>
      </c>
    </row>
    <row r="9" spans="1:9" ht="15" x14ac:dyDescent="0.2">
      <c r="A9" s="238" t="s">
        <v>1561</v>
      </c>
      <c r="B9" s="241">
        <f>'DOE25'!G97</f>
        <v>450424.22</v>
      </c>
      <c r="F9" s="238" t="s">
        <v>1574</v>
      </c>
    </row>
    <row r="10" spans="1:9" ht="15" x14ac:dyDescent="0.2">
      <c r="A10" s="238" t="s">
        <v>1562</v>
      </c>
      <c r="B10" s="241">
        <f>'DOE25'!G112-'DOE25'!G97</f>
        <v>33085.710000000021</v>
      </c>
      <c r="F10" s="238" t="s">
        <v>1575</v>
      </c>
    </row>
    <row r="11" spans="1:9" ht="15" x14ac:dyDescent="0.2">
      <c r="A11" s="238" t="s">
        <v>1563</v>
      </c>
      <c r="B11" s="241">
        <f>'DOE25'!G140</f>
        <v>10982.44</v>
      </c>
      <c r="F11" s="238" t="s">
        <v>1576</v>
      </c>
    </row>
    <row r="12" spans="1:9" ht="15" x14ac:dyDescent="0.2">
      <c r="A12" s="238" t="s">
        <v>1564</v>
      </c>
      <c r="B12" s="241">
        <f>'DOE25'!G170</f>
        <v>443708.69999999995</v>
      </c>
      <c r="F12" s="238" t="s">
        <v>1577</v>
      </c>
    </row>
    <row r="13" spans="1:9" ht="15" x14ac:dyDescent="0.2">
      <c r="A13" s="238" t="s">
        <v>1565</v>
      </c>
      <c r="B13" s="241">
        <f>'DOE25'!G193-'DOE25'!G180</f>
        <v>0</v>
      </c>
      <c r="F13" s="238" t="s">
        <v>1587</v>
      </c>
    </row>
    <row r="14" spans="1:9" ht="18" x14ac:dyDescent="0.25">
      <c r="A14" s="240" t="s">
        <v>732</v>
      </c>
      <c r="B14" s="242">
        <f>SUM(B9:B13)</f>
        <v>938201.07</v>
      </c>
    </row>
    <row r="16" spans="1:9" ht="18" x14ac:dyDescent="0.25">
      <c r="A16" s="240" t="s">
        <v>786</v>
      </c>
      <c r="F16" s="247" t="s">
        <v>1579</v>
      </c>
    </row>
    <row r="17" spans="1:6" ht="15" x14ac:dyDescent="0.2">
      <c r="A17" s="238" t="s">
        <v>1566</v>
      </c>
      <c r="B17" s="241">
        <f>'DOE25'!L363-'DOE25'!L362</f>
        <v>1070688.6099999999</v>
      </c>
      <c r="F17" s="238" t="s">
        <v>1580</v>
      </c>
    </row>
    <row r="18" spans="1:6" ht="15" x14ac:dyDescent="0.2">
      <c r="A18" s="238" t="s">
        <v>1567</v>
      </c>
      <c r="B18" s="251">
        <v>0</v>
      </c>
      <c r="F18" s="247" t="s">
        <v>1604</v>
      </c>
    </row>
    <row r="19" spans="1:6" ht="18" x14ac:dyDescent="0.25">
      <c r="A19" s="240" t="s">
        <v>725</v>
      </c>
      <c r="B19" s="242">
        <f>SUM(B17:B18)</f>
        <v>1070688.6099999999</v>
      </c>
    </row>
    <row r="21" spans="1:6" ht="18.75" thickBot="1" x14ac:dyDescent="0.3">
      <c r="A21" s="240" t="s">
        <v>1568</v>
      </c>
    </row>
    <row r="22" spans="1:6" ht="18.75" thickTop="1" x14ac:dyDescent="0.25">
      <c r="A22" s="240" t="s">
        <v>1569</v>
      </c>
      <c r="B22" s="246">
        <f>B14-B19</f>
        <v>-132487.53999999992</v>
      </c>
      <c r="F22" s="238" t="s">
        <v>1581</v>
      </c>
    </row>
    <row r="26" spans="1:6" ht="18" x14ac:dyDescent="0.25">
      <c r="A26" s="240" t="s">
        <v>186</v>
      </c>
    </row>
    <row r="27" spans="1:6" ht="15" x14ac:dyDescent="0.2">
      <c r="A27" s="238" t="s">
        <v>1570</v>
      </c>
      <c r="B27" s="241">
        <f>'DOE25'!G180</f>
        <v>26939.51</v>
      </c>
      <c r="F27" s="238" t="s">
        <v>1582</v>
      </c>
    </row>
    <row r="28" spans="1:6" ht="15" x14ac:dyDescent="0.2">
      <c r="A28" s="238" t="s">
        <v>1572</v>
      </c>
      <c r="B28" s="241">
        <f>'DOE25'!L362</f>
        <v>0</v>
      </c>
      <c r="F28" s="238" t="s">
        <v>1583</v>
      </c>
    </row>
    <row r="31" spans="1:6" ht="15" x14ac:dyDescent="0.2">
      <c r="A31" s="238" t="s">
        <v>1797</v>
      </c>
      <c r="B31" s="241">
        <f>'DOE25'!G466</f>
        <v>298010.05</v>
      </c>
      <c r="F31" s="238" t="s">
        <v>1584</v>
      </c>
    </row>
    <row r="33" spans="1:6" ht="15" x14ac:dyDescent="0.2">
      <c r="A33" s="238" t="s">
        <v>1798</v>
      </c>
      <c r="B33" s="241">
        <f>'DOE25'!G477</f>
        <v>192462.01999999979</v>
      </c>
      <c r="F33" s="238" t="s">
        <v>1585</v>
      </c>
    </row>
    <row r="36" spans="1:6" ht="15" x14ac:dyDescent="0.2">
      <c r="A36" s="238" t="s">
        <v>1571</v>
      </c>
      <c r="B36" s="252">
        <v>57341.67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Portsmouth</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15815534.51</v>
      </c>
      <c r="C9" s="167">
        <f>'DOE25'!G198+'DOE25'!G216+'DOE25'!G234+'DOE25'!G277+'DOE25'!G296+'DOE25'!G315</f>
        <v>9504109.5600000005</v>
      </c>
    </row>
    <row r="10" spans="1:3" x14ac:dyDescent="0.2">
      <c r="A10" t="s">
        <v>775</v>
      </c>
      <c r="B10" s="177">
        <f>14735799.62+442643.39</f>
        <v>15178443.01</v>
      </c>
      <c r="C10" s="177">
        <f>3103543.97+1097111.3+83276.39+5100244.83</f>
        <v>9384176.4900000002</v>
      </c>
    </row>
    <row r="11" spans="1:3" x14ac:dyDescent="0.2">
      <c r="A11" t="s">
        <v>776</v>
      </c>
      <c r="B11" s="177">
        <v>44666.86</v>
      </c>
      <c r="C11" s="177">
        <f>5610.08+3182.39+31537.16+6325.12</f>
        <v>46654.75</v>
      </c>
    </row>
    <row r="12" spans="1:3" x14ac:dyDescent="0.2">
      <c r="A12" t="s">
        <v>777</v>
      </c>
      <c r="B12" s="177">
        <v>592424.64</v>
      </c>
      <c r="C12" s="177">
        <f>2102.64+44107.17+27068.51</f>
        <v>73278.319999999992</v>
      </c>
    </row>
    <row r="13" spans="1:3" x14ac:dyDescent="0.2">
      <c r="A13" t="str">
        <f>IF(B9=B13,IF(C9=C13,"Check Total OK","Check Total Error"),"Check Total Error")</f>
        <v>Check Total OK</v>
      </c>
      <c r="B13" s="169">
        <f>SUM(B10:B12)</f>
        <v>15815534.51</v>
      </c>
      <c r="C13" s="169">
        <f>SUM(C10:C12)</f>
        <v>9504109.5600000005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6243013.9299999997</v>
      </c>
      <c r="C18" s="167">
        <f>'DOE25'!G199+'DOE25'!G217+'DOE25'!G235+'DOE25'!G278+'DOE25'!G297+'DOE25'!G316</f>
        <v>2673600.62</v>
      </c>
    </row>
    <row r="19" spans="1:3" x14ac:dyDescent="0.2">
      <c r="A19" t="s">
        <v>775</v>
      </c>
      <c r="B19" s="177">
        <f>2717265.44+1427497.7</f>
        <v>4144763.1399999997</v>
      </c>
      <c r="C19" s="177">
        <f>594457.34+200864.82+252921.24+106145.77+1002155.39</f>
        <v>2156544.56</v>
      </c>
    </row>
    <row r="20" spans="1:3" x14ac:dyDescent="0.2">
      <c r="A20" t="s">
        <v>776</v>
      </c>
      <c r="B20" s="177">
        <f>1186043.88+861475.29</f>
        <v>2047519.17</v>
      </c>
      <c r="C20" s="177">
        <f>27135.95+89432.35+33288.6+63266.75+300122.91</f>
        <v>513246.55999999994</v>
      </c>
    </row>
    <row r="21" spans="1:3" x14ac:dyDescent="0.2">
      <c r="A21" t="s">
        <v>777</v>
      </c>
      <c r="B21" s="177">
        <f>10560.01+40171.61</f>
        <v>50731.62</v>
      </c>
      <c r="C21" s="177">
        <f>797.84+3011.66</f>
        <v>3809.5</v>
      </c>
    </row>
    <row r="22" spans="1:3" x14ac:dyDescent="0.2">
      <c r="A22" t="str">
        <f>IF(B18=B22,IF(C18=C22,"Check Total OK","Check Total Error"),"Check Total Error")</f>
        <v>Check Total OK</v>
      </c>
      <c r="B22" s="169">
        <f>SUM(B19:B21)</f>
        <v>6243013.9299999997</v>
      </c>
      <c r="C22" s="169">
        <f>SUM(C19:C21)</f>
        <v>2673600.62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1175188.04</v>
      </c>
      <c r="C27" s="172">
        <f>'DOE25'!G200+'DOE25'!G218+'DOE25'!G236+'DOE25'!G279+'DOE25'!G298+'DOE25'!G317</f>
        <v>721351.45</v>
      </c>
    </row>
    <row r="28" spans="1:3" x14ac:dyDescent="0.2">
      <c r="A28" t="s">
        <v>775</v>
      </c>
      <c r="B28" s="177">
        <v>1145080.97</v>
      </c>
      <c r="C28" s="177">
        <f>326711.45+388103.75</f>
        <v>714815.2</v>
      </c>
    </row>
    <row r="29" spans="1:3" x14ac:dyDescent="0.2">
      <c r="A29" t="s">
        <v>776</v>
      </c>
      <c r="B29" s="177">
        <v>0</v>
      </c>
      <c r="C29" s="177">
        <v>0</v>
      </c>
    </row>
    <row r="30" spans="1:3" x14ac:dyDescent="0.2">
      <c r="A30" t="s">
        <v>777</v>
      </c>
      <c r="B30" s="177">
        <v>30107.07</v>
      </c>
      <c r="C30" s="177">
        <v>6536.25</v>
      </c>
    </row>
    <row r="31" spans="1:3" x14ac:dyDescent="0.2">
      <c r="A31" t="str">
        <f>IF(B27=B31,IF(C27=C31,"Check Total OK","Check Total Error"),"Check Total Error")</f>
        <v>Check Total OK</v>
      </c>
      <c r="B31" s="169">
        <f>SUM(B28:B30)</f>
        <v>1175188.04</v>
      </c>
      <c r="C31" s="169">
        <f>SUM(C28:C30)</f>
        <v>721351.45</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531642.29</v>
      </c>
      <c r="C36" s="173">
        <f>'DOE25'!G201+'DOE25'!G219+'DOE25'!G237+'DOE25'!G280+'DOE25'!G299+'DOE25'!G318</f>
        <v>266702.38</v>
      </c>
    </row>
    <row r="37" spans="1:3" x14ac:dyDescent="0.2">
      <c r="A37" t="s">
        <v>775</v>
      </c>
      <c r="B37" s="177">
        <f>482848.9-8795.52+34303.54+11589.3</f>
        <v>519946.22</v>
      </c>
      <c r="C37" s="177">
        <f>56545.48+35620.68+7950.89+3354.96+160660.35</f>
        <v>264132.36</v>
      </c>
    </row>
    <row r="38" spans="1:3" x14ac:dyDescent="0.2">
      <c r="A38" t="s">
        <v>776</v>
      </c>
      <c r="B38" s="177">
        <v>0</v>
      </c>
      <c r="C38" s="177">
        <v>0</v>
      </c>
    </row>
    <row r="39" spans="1:3" x14ac:dyDescent="0.2">
      <c r="A39" t="s">
        <v>777</v>
      </c>
      <c r="B39" s="177">
        <f>8795.52+2900.55</f>
        <v>11696.07</v>
      </c>
      <c r="C39" s="177">
        <f>672.82+1236.65+440.06+220.49</f>
        <v>2570.0200000000004</v>
      </c>
    </row>
    <row r="40" spans="1:3" x14ac:dyDescent="0.2">
      <c r="A40" t="str">
        <f>IF(B36=B40,IF(C36=C40,"Check Total OK","Check Total Error"),"Check Total Error")</f>
        <v>Check Total OK</v>
      </c>
      <c r="B40" s="169">
        <f>SUM(B37:B39)</f>
        <v>531642.28999999992</v>
      </c>
      <c r="C40" s="169">
        <f>SUM(C37:C39)</f>
        <v>266702.38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90" zoomScaleNormal="90" workbookViewId="0">
      <pane ySplit="4" topLeftCell="A8"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Portsmouth</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36407968.099999994</v>
      </c>
      <c r="D5" s="19">
        <f>SUM('DOE25'!L198:L201)+SUM('DOE25'!L216:L219)+SUM('DOE25'!L234:L237)-F5-G5-H5</f>
        <v>36338454.919999994</v>
      </c>
      <c r="E5" s="180"/>
      <c r="F5" s="181">
        <v>0</v>
      </c>
      <c r="G5" s="19">
        <f>SUM('DOE25'!J198:J201)+SUM('DOE25'!J216:J219)+SUM('DOE25'!J234:J237)</f>
        <v>68003.11</v>
      </c>
      <c r="H5" s="19">
        <f>SUM('DOE25'!K198:K201)+SUM('DOE25'!K216:K219)+SUM('DOE25'!K234:K237)</f>
        <v>1510.0700000000002</v>
      </c>
      <c r="I5" s="192"/>
    </row>
    <row r="6" spans="1:9" x14ac:dyDescent="0.2">
      <c r="A6" s="31">
        <v>2100</v>
      </c>
      <c r="B6" t="s">
        <v>796</v>
      </c>
      <c r="C6" s="206">
        <f t="shared" si="0"/>
        <v>6334383.4200000009</v>
      </c>
      <c r="D6" s="19">
        <f>'DOE25'!L203+'DOE25'!L221+'DOE25'!L239-F6-G6-H6</f>
        <v>6299870.0900000008</v>
      </c>
      <c r="E6" s="180"/>
      <c r="F6" s="181">
        <v>0</v>
      </c>
      <c r="G6" s="19">
        <f>'DOE25'!J203+'DOE25'!J221+'DOE25'!J239</f>
        <v>4549</v>
      </c>
      <c r="H6" s="19">
        <f>'DOE25'!K203+'DOE25'!K221+'DOE25'!K239</f>
        <v>29964.33</v>
      </c>
      <c r="I6" s="192"/>
    </row>
    <row r="7" spans="1:9" x14ac:dyDescent="0.2">
      <c r="A7" s="31">
        <v>2200</v>
      </c>
      <c r="B7" t="s">
        <v>820</v>
      </c>
      <c r="C7" s="206">
        <f t="shared" si="0"/>
        <v>1047393.8300000001</v>
      </c>
      <c r="D7" s="19">
        <f>'DOE25'!L204+'DOE25'!L222+'DOE25'!L240-F7-G7-H7</f>
        <v>892181.62000000011</v>
      </c>
      <c r="E7" s="180"/>
      <c r="F7" s="181">
        <v>0</v>
      </c>
      <c r="G7" s="19">
        <f>'DOE25'!J204+'DOE25'!J222+'DOE25'!J240</f>
        <v>155212.21000000002</v>
      </c>
      <c r="H7" s="19">
        <f>'DOE25'!K204+'DOE25'!K222+'DOE25'!K240</f>
        <v>0</v>
      </c>
      <c r="I7" s="192"/>
    </row>
    <row r="8" spans="1:9" x14ac:dyDescent="0.2">
      <c r="A8" s="31">
        <v>2300</v>
      </c>
      <c r="B8" t="s">
        <v>797</v>
      </c>
      <c r="C8" s="206">
        <f t="shared" si="0"/>
        <v>1847531.76</v>
      </c>
      <c r="D8" s="180"/>
      <c r="E8" s="19">
        <f>'DOE25'!L205+'DOE25'!L223+'DOE25'!L241-F8-G8-H8-D9-D11</f>
        <v>1743830.94</v>
      </c>
      <c r="F8" s="181">
        <f>(41000-25000)</f>
        <v>16000</v>
      </c>
      <c r="G8" s="19">
        <f>'DOE25'!J205+'DOE25'!J223+'DOE25'!J241</f>
        <v>2535.09</v>
      </c>
      <c r="H8" s="19">
        <f>'DOE25'!K205+'DOE25'!K223+'DOE25'!K241</f>
        <v>85165.73</v>
      </c>
      <c r="I8" s="192"/>
    </row>
    <row r="9" spans="1:9" ht="14.25" x14ac:dyDescent="0.2">
      <c r="A9" s="31">
        <v>2310</v>
      </c>
      <c r="B9" s="71" t="s">
        <v>887</v>
      </c>
      <c r="C9" s="206">
        <f t="shared" si="0"/>
        <v>64515.82</v>
      </c>
      <c r="D9" s="181">
        <v>64515.82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2962134.09</v>
      </c>
      <c r="D12" s="19">
        <f>'DOE25'!L206+'DOE25'!L224+'DOE25'!L242-F12-G12-H12</f>
        <v>2949241.98</v>
      </c>
      <c r="E12" s="180"/>
      <c r="F12" s="181">
        <v>0</v>
      </c>
      <c r="G12" s="19">
        <f>'DOE25'!J206+'DOE25'!J224+'DOE25'!J242</f>
        <v>0</v>
      </c>
      <c r="H12" s="19">
        <f>'DOE25'!K206+'DOE25'!K224+'DOE25'!K242</f>
        <v>12892.11</v>
      </c>
      <c r="I12" s="192"/>
    </row>
    <row r="13" spans="1:9" x14ac:dyDescent="0.2">
      <c r="A13" s="31">
        <v>2500</v>
      </c>
      <c r="B13" t="s">
        <v>798</v>
      </c>
      <c r="C13" s="206">
        <f t="shared" si="0"/>
        <v>742634.82000000007</v>
      </c>
      <c r="D13" s="180"/>
      <c r="E13" s="19">
        <f>'DOE25'!L207+'DOE25'!L225+'DOE25'!L243-F13-G13-H13</f>
        <v>739060.76000000013</v>
      </c>
      <c r="F13" s="181">
        <v>0</v>
      </c>
      <c r="G13" s="19">
        <f>'DOE25'!J207+'DOE25'!J225+'DOE25'!J243</f>
        <v>1866.96</v>
      </c>
      <c r="H13" s="19">
        <f>'DOE25'!K207+'DOE25'!K225+'DOE25'!K243</f>
        <v>1707.1000000000001</v>
      </c>
      <c r="I13" s="192"/>
    </row>
    <row r="14" spans="1:9" x14ac:dyDescent="0.2">
      <c r="A14" s="31">
        <v>2600</v>
      </c>
      <c r="B14" t="s">
        <v>818</v>
      </c>
      <c r="C14" s="206">
        <f t="shared" si="0"/>
        <v>4658534.1899999995</v>
      </c>
      <c r="D14" s="19">
        <f>'DOE25'!L208+'DOE25'!L226+'DOE25'!L244-F14-G14-H14</f>
        <v>4524341.37</v>
      </c>
      <c r="E14" s="180"/>
      <c r="F14" s="181">
        <f>(28050.8-25000)+(16075+17385+13900+20960+38970-25000)</f>
        <v>85340.800000000003</v>
      </c>
      <c r="G14" s="19">
        <f>'DOE25'!J208+'DOE25'!J226+'DOE25'!J244</f>
        <v>41590.67</v>
      </c>
      <c r="H14" s="19">
        <f>'DOE25'!K208+'DOE25'!K226+'DOE25'!K244</f>
        <v>7261.35</v>
      </c>
      <c r="I14" s="192"/>
    </row>
    <row r="15" spans="1:9" x14ac:dyDescent="0.2">
      <c r="A15" s="31">
        <v>2700</v>
      </c>
      <c r="B15" t="s">
        <v>799</v>
      </c>
      <c r="C15" s="206">
        <f t="shared" si="0"/>
        <v>1511683.4</v>
      </c>
      <c r="D15" s="19">
        <f>'DOE25'!L209+'DOE25'!L227+'DOE25'!L245-F15-G15-H15</f>
        <v>554923.35</v>
      </c>
      <c r="E15" s="180"/>
      <c r="F15" s="181">
        <f>(745362.09-25000)+(261397.96-25000)</f>
        <v>956760.04999999993</v>
      </c>
      <c r="G15" s="19">
        <f>'DOE25'!J209+'DOE25'!J227+'DOE25'!J245</f>
        <v>0</v>
      </c>
      <c r="H15" s="19">
        <f>'DOE25'!K209+'DOE25'!K227+'DOE25'!K245</f>
        <v>0</v>
      </c>
      <c r="I15" s="192"/>
    </row>
    <row r="16" spans="1:9" x14ac:dyDescent="0.2">
      <c r="A16" s="31">
        <v>2800</v>
      </c>
      <c r="B16" t="s">
        <v>800</v>
      </c>
      <c r="C16" s="206">
        <f t="shared" si="0"/>
        <v>1287340.2799999998</v>
      </c>
      <c r="D16" s="180"/>
      <c r="E16" s="19">
        <f>'DOE25'!L210+'DOE25'!L228+'DOE25'!L246-F16-G16-H16</f>
        <v>1246605.0799999998</v>
      </c>
      <c r="F16" s="181">
        <f>(43907.2-25000)</f>
        <v>18907.199999999997</v>
      </c>
      <c r="G16" s="19">
        <f>'DOE25'!J210+'DOE25'!J228+'DOE25'!J246</f>
        <v>19920</v>
      </c>
      <c r="H16" s="19">
        <f>'DOE25'!K210+'DOE25'!K228+'DOE25'!K246</f>
        <v>1908</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698521.8899999999</v>
      </c>
      <c r="D29" s="212">
        <f>'DOE25'!L359+'DOE25'!L360+'DOE25'!L361-'DOE25'!I368-F29-G29-H29-F39</f>
        <v>696651.16999999993</v>
      </c>
      <c r="E29" s="180"/>
      <c r="F29" s="180"/>
      <c r="G29" s="19">
        <f>'DOE25'!J359+'DOE25'!J360+'DOE25'!J361</f>
        <v>1449.69</v>
      </c>
      <c r="H29" s="19">
        <f>'DOE25'!K359+'DOE25'!K360+'DOE25'!K361</f>
        <v>421.03</v>
      </c>
      <c r="I29" s="192"/>
    </row>
    <row r="30" spans="1:9" x14ac:dyDescent="0.2">
      <c r="A30" s="31"/>
      <c r="C30" s="207"/>
      <c r="D30" s="19"/>
      <c r="F30" s="201"/>
      <c r="G30" s="19"/>
      <c r="H30" s="19"/>
      <c r="I30" s="192"/>
    </row>
    <row r="31" spans="1:9" x14ac:dyDescent="0.2">
      <c r="A31" s="31" t="s">
        <v>817</v>
      </c>
      <c r="B31" t="s">
        <v>816</v>
      </c>
      <c r="C31" s="206">
        <f>SUM(D31:I31)</f>
        <v>4967105.0199999996</v>
      </c>
      <c r="D31" s="19">
        <f>'DOE25'!L291+'DOE25'!L310+'DOE25'!L329+'DOE25'!L334+'DOE25'!L335+'DOE25'!L336-F31-G31-H31</f>
        <v>4748614.9099999992</v>
      </c>
      <c r="E31" s="180"/>
      <c r="F31" s="181">
        <v>0</v>
      </c>
      <c r="G31" s="19">
        <f>'DOE25'!J291+'DOE25'!J310+'DOE25'!J329+'DOE25'!J334+'DOE25'!J335+'DOE25'!J336</f>
        <v>150372.70000000001</v>
      </c>
      <c r="H31" s="19">
        <f>'DOE25'!K291+'DOE25'!K310+'DOE25'!K329+'DOE25'!K334+'DOE25'!K335+'DOE25'!K336</f>
        <v>68117.41</v>
      </c>
      <c r="I31" s="192"/>
    </row>
    <row r="32" spans="1:9" ht="12" thickBot="1" x14ac:dyDescent="0.25">
      <c r="C32" s="207"/>
      <c r="G32" s="188"/>
      <c r="H32" s="188"/>
      <c r="I32" s="194"/>
    </row>
    <row r="33" spans="1:9" ht="12" thickTop="1" x14ac:dyDescent="0.2">
      <c r="B33" t="s">
        <v>809</v>
      </c>
      <c r="D33" s="182">
        <f t="shared" ref="D33:I33" si="1">SUM(D5:D31)</f>
        <v>57068795.229999989</v>
      </c>
      <c r="E33" s="182">
        <f t="shared" si="1"/>
        <v>3729496.7800000003</v>
      </c>
      <c r="F33" s="182">
        <f t="shared" si="1"/>
        <v>1077008.0499999998</v>
      </c>
      <c r="G33" s="182">
        <f t="shared" si="1"/>
        <v>445499.43</v>
      </c>
      <c r="H33" s="182">
        <f t="shared" si="1"/>
        <v>208947.13</v>
      </c>
      <c r="I33" s="182">
        <f t="shared" si="1"/>
        <v>0</v>
      </c>
    </row>
    <row r="34" spans="1:9" ht="12" thickBot="1" x14ac:dyDescent="0.25"/>
    <row r="35" spans="1:9" ht="12" thickBot="1" x14ac:dyDescent="0.25">
      <c r="B35" s="188" t="s">
        <v>830</v>
      </c>
      <c r="D35" s="189">
        <f>E33</f>
        <v>3729496.7800000003</v>
      </c>
      <c r="E35" s="185"/>
      <c r="F35" s="295" t="s">
        <v>1608</v>
      </c>
      <c r="G35" s="296"/>
      <c r="H35" s="296"/>
      <c r="I35" s="297"/>
    </row>
    <row r="36" spans="1:9" ht="12" thickTop="1" x14ac:dyDescent="0.2">
      <c r="B36" t="s">
        <v>810</v>
      </c>
      <c r="D36" s="19">
        <f>D33</f>
        <v>57068795.229999989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Normal="100" workbookViewId="0">
      <selection activeCell="D15" sqref="D1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Portsmouth</v>
      </c>
      <c r="B2">
        <f>'DOE25'!B2</f>
        <v>449</v>
      </c>
      <c r="J2" s="224" t="s">
        <v>1808</v>
      </c>
      <c r="K2" s="309">
        <f>SUM('DOE25'!L198:L201)+SUM('DOE25'!L216:L219)+SUM('DOE25'!L234:L237)+SUM('DOE25'!L277:L280)+SUM('DOE25'!L296:L299)+SUM('DOE25'!L315:L318)</f>
        <v>40473380.569999993</v>
      </c>
      <c r="L2" s="309">
        <f>'DOE25'!L203+'DOE25'!L221+'DOE25'!L239+'DOE25'!L282+'DOE25'!L301+'DOE25'!L320</f>
        <v>6630284.1100000003</v>
      </c>
      <c r="M2" s="309">
        <f>'DOE25'!L204+'DOE25'!L222+'DOE25'!L240+'DOE25'!L283+'DOE25'!L302+'DOE25'!L321</f>
        <v>1219243.1199999999</v>
      </c>
      <c r="N2" s="309">
        <f>'DOE25'!L206+'DOE25'!L224+'DOE25'!L242+'DOE25'!L285+'DOE25'!L304+'DOE25'!L323</f>
        <v>3110739.6799999997</v>
      </c>
      <c r="O2" s="309">
        <f>'Salaries-Benefits'!B10+'Salaries-Benefits'!B12+'Salaries-Benefits'!B19+'Salaries-Benefits'!B21+'Salaries-Benefits'!B28+'Salaries-Benefits'!B30+'Salaries-Benefits'!B37+'Salaries-Benefits'!B39</f>
        <v>21673192.739999998</v>
      </c>
      <c r="P2" s="309">
        <f>'Salaries-Benefits'!B11+'Salaries-Benefits'!B20+'Salaries-Benefits'!B29+'Salaries-Benefits'!B38</f>
        <v>2092186.03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-21673192.739999998</v>
      </c>
      <c r="P3" s="311">
        <f t="shared" si="0"/>
        <v>-2092186.03</v>
      </c>
      <c r="Q3" s="310"/>
      <c r="R3" s="306"/>
      <c r="S3" s="215"/>
      <c r="T3" s="215"/>
      <c r="U3" s="216"/>
    </row>
    <row r="4" spans="1:21" ht="55.5" customHeight="1" thickBot="1" x14ac:dyDescent="0.25">
      <c r="A4" s="224" t="s">
        <v>1522</v>
      </c>
      <c r="B4" s="224" t="s">
        <v>1523</v>
      </c>
      <c r="C4" s="224" t="s">
        <v>896</v>
      </c>
      <c r="D4" s="224" t="s">
        <v>786</v>
      </c>
      <c r="E4" s="224" t="s">
        <v>786</v>
      </c>
      <c r="F4" s="228">
        <f>SUM(F5:F20)</f>
        <v>24172237.149999999</v>
      </c>
      <c r="G4" s="229">
        <f>'DOE25'!L212+'DOE25'!L291</f>
        <v>24172237.150000002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Little Harbour School</v>
      </c>
      <c r="B6" s="230">
        <f>IFERROR(VLOOKUP(A6,'School Tables'!$C$3:$D$365,2,FALSE),"")</f>
        <v>22515</v>
      </c>
      <c r="C6" s="223" t="str">
        <f>IFERROR(INDEX('School Tables'!$B$3:$B$365,MATCH('School Level Expenditures'!B6,'School Tables'!$D$3:$D$365,0)),"")</f>
        <v>Portsmouth</v>
      </c>
      <c r="D6" s="220">
        <f>8614771.88+119582.53-32650.63</f>
        <v>8701703.7799999993</v>
      </c>
      <c r="E6" s="220">
        <v>9250.91</v>
      </c>
      <c r="F6" s="232">
        <f t="shared" ref="F6:F20" si="1">D6+E6</f>
        <v>8710954.6899999995</v>
      </c>
      <c r="G6" s="223"/>
      <c r="H6" s="223"/>
      <c r="J6" t="str">
        <f>A6</f>
        <v>Little Harbour School</v>
      </c>
      <c r="K6" s="20"/>
      <c r="L6" s="20"/>
      <c r="M6" s="20"/>
      <c r="N6" s="20"/>
      <c r="O6" s="20"/>
      <c r="P6" s="20"/>
      <c r="Q6" s="20">
        <f>(27981.68+619.84)+657</f>
        <v>29258.52</v>
      </c>
    </row>
    <row r="7" spans="1:21" x14ac:dyDescent="0.2">
      <c r="A7" t="str" cm="1">
        <f t="array" ref="A7">IFERROR(INDEX('School Tables'!$A$4:$G$325,'School Tables'!$J5,3),"")</f>
        <v>Mary C. Dondero Elementary School</v>
      </c>
      <c r="B7" s="230">
        <f>IFERROR(VLOOKUP(A7,'School Tables'!$C$3:$D$365,2,FALSE),"")</f>
        <v>22545</v>
      </c>
      <c r="C7" s="223" t="str">
        <f>IFERROR(INDEX('School Tables'!$B$3:$B$365,MATCH('School Level Expenditures'!B7,'School Tables'!$D$3:$D$365,0)),"")</f>
        <v>Portsmouth</v>
      </c>
      <c r="D7" s="220">
        <f>7334577.22+115512.85-30739.82</f>
        <v>7419350.2499999991</v>
      </c>
      <c r="E7" s="220">
        <v>258994.76</v>
      </c>
      <c r="F7" s="232">
        <f t="shared" si="1"/>
        <v>7678345.0099999988</v>
      </c>
      <c r="G7" s="223"/>
      <c r="H7" s="223"/>
      <c r="J7" t="str">
        <f t="shared" ref="J7:J20" si="2">A7</f>
        <v>Mary C. Dondero Elementary School</v>
      </c>
      <c r="K7" s="20"/>
      <c r="L7" s="20"/>
      <c r="M7" s="20"/>
      <c r="N7" s="20"/>
      <c r="O7" s="20"/>
      <c r="P7" s="20"/>
      <c r="Q7" s="20">
        <f>(27483.69+1516.82)+657</f>
        <v>29657.51</v>
      </c>
    </row>
    <row r="8" spans="1:21" x14ac:dyDescent="0.2">
      <c r="A8" t="str" cm="1">
        <f t="array" ref="A8">IFERROR(INDEX('School Tables'!$A$4:$G$325,'School Tables'!$J6,3),"")</f>
        <v>New Franklin School</v>
      </c>
      <c r="B8" s="230">
        <f>IFERROR(VLOOKUP(A8,'School Tables'!$C$3:$D$365,2,FALSE),"")</f>
        <v>22525</v>
      </c>
      <c r="C8" s="223" t="str">
        <f>IFERROR(INDEX('School Tables'!$B$3:$B$365,MATCH('School Level Expenditures'!B8,'School Tables'!$D$3:$D$365,0)),"")</f>
        <v>Portsmouth</v>
      </c>
      <c r="D8" s="220">
        <f>6407762.81+504748.58-24262.29</f>
        <v>6888249.0999999996</v>
      </c>
      <c r="E8" s="220">
        <v>422853.01</v>
      </c>
      <c r="F8" s="232">
        <f t="shared" si="1"/>
        <v>7311102.1099999994</v>
      </c>
      <c r="G8" s="223"/>
      <c r="H8" s="223"/>
      <c r="J8" t="str">
        <f t="shared" si="2"/>
        <v>New Franklin School</v>
      </c>
      <c r="K8" s="20"/>
      <c r="L8" s="20"/>
      <c r="M8" s="308"/>
      <c r="N8" s="20"/>
      <c r="O8" s="20"/>
      <c r="P8" s="20"/>
      <c r="Q8" s="20">
        <f>(31059.5+226.45)+659.15</f>
        <v>31945.100000000002</v>
      </c>
    </row>
    <row r="9" spans="1:21" x14ac:dyDescent="0.2">
      <c r="A9" t="str" cm="1">
        <f t="array" ref="A9">IFERROR(INDEX('School Tables'!$A$4:$G$325,'School Tables'!$J7,3),"")</f>
        <v>PEEP School - Pre School Program</v>
      </c>
      <c r="B9" s="230">
        <f>IFERROR(VLOOKUP(A9,'School Tables'!$C$3:$D$365,2,FALSE),"")</f>
        <v>22560</v>
      </c>
      <c r="C9" s="223" t="str">
        <f>IFERROR(INDEX('School Tables'!$B$3:$B$365,MATCH('School Level Expenditures'!B9,'School Tables'!$D$3:$D$365,0)),"")</f>
        <v>Portsmouth</v>
      </c>
      <c r="D9" s="220">
        <f>456105.71</f>
        <v>456105.71</v>
      </c>
      <c r="E9" s="220">
        <v>15729.63</v>
      </c>
      <c r="F9" s="232">
        <f t="shared" si="1"/>
        <v>471835.34</v>
      </c>
      <c r="G9" s="223"/>
      <c r="H9" s="223"/>
      <c r="J9" t="str">
        <f t="shared" si="2"/>
        <v>PEEP School - Pre School Program</v>
      </c>
      <c r="K9" s="20"/>
      <c r="L9" s="20"/>
      <c r="M9" s="308"/>
      <c r="N9" s="20"/>
      <c r="O9" s="20"/>
      <c r="P9" s="20"/>
      <c r="Q9" s="20">
        <v>0</v>
      </c>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v>1154446.51</v>
      </c>
      <c r="L12" s="20">
        <v>3358361.1900000009</v>
      </c>
      <c r="M12" s="308">
        <v>536451.42000000004</v>
      </c>
      <c r="N12" s="20">
        <v>1109766.48</v>
      </c>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f>14748101.5</f>
        <v>14748101.5</v>
      </c>
      <c r="L13" s="20">
        <v>2691.47</v>
      </c>
      <c r="M13" s="308">
        <v>101567.88999999998</v>
      </c>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23465408.839999996</v>
      </c>
      <c r="E21" s="262">
        <f>SUM(E5:E20)</f>
        <v>706828.30999999994</v>
      </c>
      <c r="F21" s="217"/>
      <c r="G21" s="217"/>
      <c r="H21" s="217"/>
      <c r="K21" s="263">
        <f t="shared" ref="K21:Q21" si="3">SUM(K5:K20)</f>
        <v>15902548.01</v>
      </c>
      <c r="L21" s="263">
        <f t="shared" si="3"/>
        <v>3361052.6600000011</v>
      </c>
      <c r="M21" s="263">
        <f t="shared" si="3"/>
        <v>638019.31000000006</v>
      </c>
      <c r="N21" s="263">
        <f t="shared" si="3"/>
        <v>1109766.48</v>
      </c>
      <c r="O21" s="263">
        <f t="shared" si="3"/>
        <v>0</v>
      </c>
      <c r="P21" s="263">
        <f t="shared" si="3"/>
        <v>0</v>
      </c>
      <c r="Q21" s="263">
        <f t="shared" si="3"/>
        <v>90861.13</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12482312.74</v>
      </c>
      <c r="G24" s="229">
        <f>'DOE25'!L230+'DOE25'!L310</f>
        <v>12482312.74</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Portsmouth Middle School</v>
      </c>
      <c r="B26" s="230">
        <f>IFERROR(VLOOKUP(A26,'School Tables'!$N$4:$O$75,2,FALSE),"")</f>
        <v>22510</v>
      </c>
      <c r="C26" s="223" t="str">
        <f>IFERROR(INDEX('School Tables'!$M$4:$M$75,MATCH('School Level Expenditures'!A26,'School Tables'!$N$4:$N$75,0)),"")</f>
        <v>Portsmouth</v>
      </c>
      <c r="D26" s="220">
        <f>11379237.72+611440.9+175368.34</f>
        <v>12166046.960000001</v>
      </c>
      <c r="E26" s="220">
        <f>316265.78</f>
        <v>316265.78000000003</v>
      </c>
      <c r="F26" s="232">
        <f t="shared" ref="F26:F32" si="4">D26+E26</f>
        <v>12482312.74</v>
      </c>
      <c r="G26" s="223"/>
      <c r="H26" s="223"/>
      <c r="J26" t="str">
        <f t="shared" ref="J26:J32" si="5">A26</f>
        <v>Portsmouth Middle School</v>
      </c>
      <c r="K26" s="20">
        <f>7604016.22+841838.72</f>
        <v>8445854.9399999995</v>
      </c>
      <c r="L26" s="20">
        <f>1161429.37+219458.06</f>
        <v>1380887.4300000002</v>
      </c>
      <c r="M26" s="308">
        <f>190501.11+13277.18</f>
        <v>203778.28999999998</v>
      </c>
      <c r="N26" s="20">
        <v>584431.06999999995</v>
      </c>
      <c r="O26" s="20"/>
      <c r="P26" s="20"/>
      <c r="Q26" s="20">
        <f>(24866.07+142.42)+3084</f>
        <v>28092.489999999998</v>
      </c>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12166046.960000001</v>
      </c>
      <c r="E33" s="262">
        <f>SUM(E25:E32)</f>
        <v>316265.78000000003</v>
      </c>
      <c r="F33" s="217"/>
      <c r="G33" s="217"/>
      <c r="H33" s="217"/>
      <c r="K33" s="263">
        <f t="shared" ref="K33:Q33" si="6">SUM(K25:K32)</f>
        <v>8445854.9399999995</v>
      </c>
      <c r="L33" s="263">
        <f t="shared" si="6"/>
        <v>1380887.4300000002</v>
      </c>
      <c r="M33" s="263">
        <f t="shared" si="6"/>
        <v>203778.28999999998</v>
      </c>
      <c r="N33" s="263">
        <f t="shared" si="6"/>
        <v>584431.06999999995</v>
      </c>
      <c r="O33" s="263">
        <f t="shared" si="6"/>
        <v>0</v>
      </c>
      <c r="P33" s="263">
        <f t="shared" si="6"/>
        <v>0</v>
      </c>
      <c r="Q33" s="263">
        <f t="shared" si="6"/>
        <v>28092.489999999998</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25176674.84</v>
      </c>
      <c r="G36" s="229">
        <f>'DOE25'!L248+'DOE25'!L329</f>
        <v>25176674.839999996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Portsmouth High School</v>
      </c>
      <c r="B38" s="230">
        <f>IFERROR(VLOOKUP(A38,'School Tables'!$Y$4:$Z$100,2,FALSE),"")</f>
        <v>22565</v>
      </c>
      <c r="C38" s="223" t="str">
        <f>IFERROR(INDEX('School Tables'!$X$4:$X$100,MATCH('School Level Expenditures'!A38,'School Tables'!$Y$4:$Y$100,0)),"")</f>
        <v>Portsmouth</v>
      </c>
      <c r="D38" s="220">
        <f>22624543.27+1792935.56+628.92+196204.76</f>
        <v>24614312.510000002</v>
      </c>
      <c r="E38" s="220">
        <f>562362.33</f>
        <v>562362.32999999996</v>
      </c>
      <c r="F38" s="232">
        <f t="shared" si="7"/>
        <v>25176674.84</v>
      </c>
      <c r="G38" s="223"/>
      <c r="H38" s="223"/>
      <c r="J38" t="str">
        <f t="shared" ref="J38:J42" si="8">A38</f>
        <v>Portsmouth High School</v>
      </c>
      <c r="K38" s="20">
        <f>14055850.38+2069127.24</f>
        <v>16124977.620000001</v>
      </c>
      <c r="L38" s="20">
        <f>1814592.86+73751.16</f>
        <v>1888344.02</v>
      </c>
      <c r="M38" s="308">
        <f>320441.3+57004.22</f>
        <v>377445.52</v>
      </c>
      <c r="N38" s="20">
        <f>1267936.54+148605.59</f>
        <v>1416542.1300000001</v>
      </c>
      <c r="O38" s="20"/>
      <c r="P38" s="20"/>
      <c r="Q38" s="20">
        <f>(48419.09+2144.96)+179</f>
        <v>50743.049999999996</v>
      </c>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24614312.510000002</v>
      </c>
      <c r="E43" s="263">
        <f>SUM(E37:E42)</f>
        <v>562362.32999999996</v>
      </c>
      <c r="K43" s="263">
        <f t="shared" ref="K43:Q43" si="9">SUM(K37:K42)</f>
        <v>16124977.620000001</v>
      </c>
      <c r="L43" s="263">
        <f t="shared" si="9"/>
        <v>1888344.02</v>
      </c>
      <c r="M43" s="263">
        <f t="shared" si="9"/>
        <v>377445.52</v>
      </c>
      <c r="N43" s="263">
        <f t="shared" si="9"/>
        <v>1416542.1300000001</v>
      </c>
      <c r="O43" s="263">
        <f t="shared" si="9"/>
        <v>0</v>
      </c>
      <c r="P43" s="263">
        <f t="shared" si="9"/>
        <v>0</v>
      </c>
      <c r="Q43" s="263">
        <f t="shared" si="9"/>
        <v>50743.049999999996</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D51" sqref="D5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Portsmouth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1408</v>
      </c>
      <c r="E8" s="73">
        <f>'DOE25'!H9</f>
        <v>0</v>
      </c>
      <c r="F8" s="73">
        <f>'DOE25'!I9</f>
        <v>0</v>
      </c>
      <c r="G8" s="73">
        <f>'DOE25'!J9</f>
        <v>0</v>
      </c>
      <c r="H8" s="13">
        <f>SUM(C8:G8)</f>
        <v>1408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136463.60999999999</v>
      </c>
      <c r="E11" s="73">
        <f>'DOE25'!H12</f>
        <v>0</v>
      </c>
      <c r="F11" s="73">
        <f>'DOE25'!I12</f>
        <v>0</v>
      </c>
      <c r="G11" s="73">
        <f>'DOE25'!J12</f>
        <v>0</v>
      </c>
      <c r="H11" s="13">
        <f t="shared" si="0"/>
        <v>136463.60999999999</v>
      </c>
      <c r="I11" s="90"/>
    </row>
    <row r="12" spans="1:9" x14ac:dyDescent="0.2">
      <c r="A12" s="1" t="s">
        <v>143</v>
      </c>
      <c r="B12" s="6">
        <v>140</v>
      </c>
      <c r="C12" s="73">
        <f>'DOE25'!F13</f>
        <v>0</v>
      </c>
      <c r="D12" s="73">
        <f>'DOE25'!G13</f>
        <v>58487.35</v>
      </c>
      <c r="E12" s="73">
        <f>'DOE25'!H13</f>
        <v>908380.28</v>
      </c>
      <c r="F12" s="73">
        <f>'DOE25'!I13</f>
        <v>0</v>
      </c>
      <c r="G12" s="73">
        <f>'DOE25'!J13</f>
        <v>0</v>
      </c>
      <c r="H12" s="13">
        <f t="shared" si="0"/>
        <v>966867.63</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63530.400000000001</v>
      </c>
      <c r="E15" s="73">
        <f>'DOE25'!H16</f>
        <v>0</v>
      </c>
      <c r="F15" s="73">
        <f>'DOE25'!I16</f>
        <v>0</v>
      </c>
      <c r="G15" s="23" t="s">
        <v>288</v>
      </c>
      <c r="H15" s="13">
        <f t="shared" si="0"/>
        <v>63530.400000000001</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0</v>
      </c>
      <c r="D18" s="38">
        <f>SUM(D8:D17)</f>
        <v>259889.36</v>
      </c>
      <c r="E18" s="38">
        <f>SUM(E8:E17)</f>
        <v>908380.28</v>
      </c>
      <c r="F18" s="38">
        <f>SUM(F8:F17)</f>
        <v>0</v>
      </c>
      <c r="G18" s="38">
        <f>SUM(G8:G17)</f>
        <v>0</v>
      </c>
      <c r="H18" s="38">
        <f t="shared" si="0"/>
        <v>1168269.6400000001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3236.52</v>
      </c>
      <c r="E23" s="73">
        <f>'DOE25'!H24</f>
        <v>0</v>
      </c>
      <c r="F23" s="73">
        <f>'DOE25'!I24</f>
        <v>0</v>
      </c>
      <c r="G23" s="73">
        <f>'DOE25'!J24</f>
        <v>0</v>
      </c>
      <c r="H23" s="13">
        <f t="shared" si="1"/>
        <v>3236.52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64190.819999999992</v>
      </c>
      <c r="E29" s="73">
        <f>'DOE25'!H30</f>
        <v>0</v>
      </c>
      <c r="F29" s="73">
        <f>'DOE25'!I30</f>
        <v>0</v>
      </c>
      <c r="G29" s="23" t="s">
        <v>288</v>
      </c>
      <c r="H29" s="13">
        <f t="shared" si="1"/>
        <v>64190.819999999992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67427.34</v>
      </c>
      <c r="E31" s="38">
        <f>SUM(E21:E30)</f>
        <v>0</v>
      </c>
      <c r="F31" s="38">
        <f>SUM(F21:F30)</f>
        <v>0</v>
      </c>
      <c r="G31" s="38">
        <f>SUM(G21:G30)</f>
        <v>0</v>
      </c>
      <c r="H31" s="38">
        <f t="shared" si="1"/>
        <v>67427.34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192462.02</v>
      </c>
      <c r="E39" s="23" t="s">
        <v>288</v>
      </c>
      <c r="F39" s="23" t="s">
        <v>288</v>
      </c>
      <c r="G39" s="23" t="s">
        <v>288</v>
      </c>
      <c r="H39" s="13">
        <f t="shared" si="2"/>
        <v>192462.02</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908380.28</v>
      </c>
      <c r="F47" s="73">
        <f>'DOE25'!I48</f>
        <v>0</v>
      </c>
      <c r="G47" s="73">
        <f>'DOE25'!J48</f>
        <v>0</v>
      </c>
      <c r="H47" s="13">
        <f t="shared" si="2"/>
        <v>908380.28</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0</v>
      </c>
      <c r="D50" s="38">
        <f>SUM(D34:D49)</f>
        <v>192462.02</v>
      </c>
      <c r="E50" s="38">
        <f>SUM(E34:E49)</f>
        <v>908380.28</v>
      </c>
      <c r="F50" s="38">
        <f>SUM(F34:F49)</f>
        <v>0</v>
      </c>
      <c r="G50" s="38">
        <f>SUM(G34:G49)</f>
        <v>0</v>
      </c>
      <c r="H50" s="38">
        <f t="shared" si="2"/>
        <v>1100842.3</v>
      </c>
      <c r="I50" s="90"/>
    </row>
    <row r="51" spans="1:9" ht="12" thickTop="1" x14ac:dyDescent="0.2">
      <c r="A51" s="35" t="s">
        <v>884</v>
      </c>
      <c r="B51" s="2"/>
      <c r="C51" s="38">
        <f>C50+C31</f>
        <v>0</v>
      </c>
      <c r="D51" s="38">
        <f>D50+D31</f>
        <v>259889.36</v>
      </c>
      <c r="E51" s="38">
        <f>E50+E31</f>
        <v>908380.28</v>
      </c>
      <c r="F51" s="38">
        <f>F50+F31</f>
        <v>0</v>
      </c>
      <c r="G51" s="38">
        <f>G50+G31</f>
        <v>0</v>
      </c>
      <c r="H51" s="38">
        <f t="shared" si="2"/>
        <v>1168269.6400000001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36421070.060000002</v>
      </c>
      <c r="D56" s="73">
        <f>'DOE25'!G60</f>
        <v>0</v>
      </c>
      <c r="E56" s="73">
        <f>'DOE25'!H60</f>
        <v>652071.12</v>
      </c>
      <c r="F56" s="73">
        <f>'DOE25'!I60</f>
        <v>0</v>
      </c>
      <c r="G56" s="73">
        <f>'DOE25'!J60</f>
        <v>0</v>
      </c>
      <c r="H56" s="13">
        <f t="shared" ref="H56:H63" si="3">SUM(C56:G56)</f>
        <v>37073141.18</v>
      </c>
      <c r="I56"/>
    </row>
    <row r="57" spans="1:9" x14ac:dyDescent="0.2">
      <c r="A57" s="1" t="s">
        <v>164</v>
      </c>
      <c r="B57" s="6" t="s">
        <v>165</v>
      </c>
      <c r="C57" s="73">
        <f>'DOE25'!F79</f>
        <v>6810046.5800000001</v>
      </c>
      <c r="D57" s="23" t="s">
        <v>288</v>
      </c>
      <c r="E57" s="73">
        <f>'DOE25'!H79</f>
        <v>856313.84</v>
      </c>
      <c r="F57" s="23" t="s">
        <v>288</v>
      </c>
      <c r="G57" s="23" t="s">
        <v>288</v>
      </c>
      <c r="H57" s="13">
        <f t="shared" si="3"/>
        <v>7666360.4199999999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450424.22</v>
      </c>
      <c r="E60" s="23" t="s">
        <v>288</v>
      </c>
      <c r="F60" s="23" t="s">
        <v>288</v>
      </c>
      <c r="G60" s="23" t="s">
        <v>288</v>
      </c>
      <c r="H60" s="13">
        <f t="shared" si="3"/>
        <v>450424.22</v>
      </c>
      <c r="I60"/>
    </row>
    <row r="61" spans="1:9" ht="12" thickBot="1" x14ac:dyDescent="0.25">
      <c r="A61" s="1" t="s">
        <v>172</v>
      </c>
      <c r="B61" s="22" t="s">
        <v>173</v>
      </c>
      <c r="C61" s="73">
        <f>SUM('DOE25'!F98:F110)</f>
        <v>29806.22</v>
      </c>
      <c r="D61" s="73">
        <f>SUM('DOE25'!G98:G110)</f>
        <v>33085.71</v>
      </c>
      <c r="E61" s="73">
        <f>SUM('DOE25'!H98:H110)</f>
        <v>285181.82999999996</v>
      </c>
      <c r="F61" s="73">
        <f>SUM('DOE25'!I98:I110)</f>
        <v>0</v>
      </c>
      <c r="G61" s="73">
        <f>SUM('DOE25'!J98:J110)</f>
        <v>0</v>
      </c>
      <c r="H61" s="13">
        <f t="shared" si="3"/>
        <v>348073.75999999995</v>
      </c>
      <c r="I61"/>
    </row>
    <row r="62" spans="1:9" ht="12.75" thickTop="1" thickBot="1" x14ac:dyDescent="0.25">
      <c r="A62" s="28" t="s">
        <v>174</v>
      </c>
      <c r="B62" s="6"/>
      <c r="C62" s="93">
        <f>SUM(C57:C61)</f>
        <v>6839852.7999999998</v>
      </c>
      <c r="D62" s="93">
        <f>SUM(D57:D61)</f>
        <v>483509.93</v>
      </c>
      <c r="E62" s="93">
        <f>SUM(E57:E61)</f>
        <v>1141495.67</v>
      </c>
      <c r="F62" s="93">
        <f>SUM(F57:F61)</f>
        <v>0</v>
      </c>
      <c r="G62" s="93">
        <f>SUM(G57:G61)</f>
        <v>0</v>
      </c>
      <c r="H62" s="13">
        <f t="shared" si="3"/>
        <v>8464858.3999999985</v>
      </c>
      <c r="I62"/>
    </row>
    <row r="63" spans="1:9" ht="12" thickTop="1" x14ac:dyDescent="0.2">
      <c r="A63" s="28" t="s">
        <v>175</v>
      </c>
      <c r="B63" s="6"/>
      <c r="C63" s="21">
        <f>C56+C62</f>
        <v>43260922.859999999</v>
      </c>
      <c r="D63" s="21">
        <f>D56+D62</f>
        <v>483509.93</v>
      </c>
      <c r="E63" s="21">
        <f>E56+E62</f>
        <v>1793566.79</v>
      </c>
      <c r="F63" s="21">
        <f>F56+F62</f>
        <v>0</v>
      </c>
      <c r="G63" s="21">
        <f>G56+G62</f>
        <v>0</v>
      </c>
      <c r="H63" s="13">
        <f t="shared" si="3"/>
        <v>45537999.579999998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3285215</v>
      </c>
      <c r="D66" s="23" t="s">
        <v>288</v>
      </c>
      <c r="E66" s="23" t="s">
        <v>288</v>
      </c>
      <c r="F66" s="23" t="s">
        <v>288</v>
      </c>
      <c r="G66" s="23" t="s">
        <v>288</v>
      </c>
      <c r="H66" s="13">
        <f t="shared" ref="H66:H81" si="4">SUM(C66:G66)</f>
        <v>3285215</v>
      </c>
      <c r="I66"/>
    </row>
    <row r="67" spans="1:9" x14ac:dyDescent="0.2">
      <c r="A67" s="1" t="s">
        <v>770</v>
      </c>
      <c r="B67" s="6">
        <v>3112</v>
      </c>
      <c r="C67" s="73">
        <f>'DOE25'!F118</f>
        <v>8597476</v>
      </c>
      <c r="D67" s="23"/>
      <c r="E67" s="23"/>
      <c r="F67" s="23"/>
      <c r="G67" s="23"/>
      <c r="H67" s="13">
        <f t="shared" si="4"/>
        <v>8597476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364657.99</v>
      </c>
      <c r="D69" s="73">
        <f>'DOE25'!G120</f>
        <v>0</v>
      </c>
      <c r="E69" s="73">
        <f>'DOE25'!H120</f>
        <v>6093.2</v>
      </c>
      <c r="F69" s="73">
        <f>'DOE25'!I120</f>
        <v>0</v>
      </c>
      <c r="G69" s="73">
        <f>'DOE25'!J120</f>
        <v>0</v>
      </c>
      <c r="H69" s="13">
        <f t="shared" si="4"/>
        <v>370751.19</v>
      </c>
      <c r="I69"/>
    </row>
    <row r="70" spans="1:9" ht="12" thickTop="1" x14ac:dyDescent="0.2">
      <c r="A70" s="28" t="s">
        <v>252</v>
      </c>
      <c r="B70" s="2"/>
      <c r="C70" s="97">
        <f>SUM(C66:C69)</f>
        <v>12247348.99</v>
      </c>
      <c r="D70" s="97">
        <f>D69</f>
        <v>0</v>
      </c>
      <c r="E70" s="97">
        <f>E69</f>
        <v>6093.2</v>
      </c>
      <c r="F70" s="97">
        <f>F69</f>
        <v>0</v>
      </c>
      <c r="G70" s="97">
        <f>G69</f>
        <v>0</v>
      </c>
      <c r="H70" s="13">
        <f t="shared" si="4"/>
        <v>12253442.189999999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1757196.45</v>
      </c>
      <c r="D72" s="23" t="s">
        <v>288</v>
      </c>
      <c r="E72" s="23" t="s">
        <v>288</v>
      </c>
      <c r="F72" s="73">
        <f>'DOE25'!I123</f>
        <v>0</v>
      </c>
      <c r="G72" s="23" t="s">
        <v>288</v>
      </c>
      <c r="H72" s="13">
        <f t="shared" si="4"/>
        <v>1757196.45</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645977.92000000004</v>
      </c>
      <c r="D75" s="23" t="s">
        <v>288</v>
      </c>
      <c r="E75" s="23" t="s">
        <v>288</v>
      </c>
      <c r="F75" s="23" t="s">
        <v>288</v>
      </c>
      <c r="G75" s="23" t="s">
        <v>288</v>
      </c>
      <c r="H75" s="13">
        <f t="shared" si="4"/>
        <v>645977.92000000004</v>
      </c>
      <c r="I75"/>
    </row>
    <row r="76" spans="1:9" x14ac:dyDescent="0.2">
      <c r="A76" s="1" t="s">
        <v>257</v>
      </c>
      <c r="B76" s="6" t="s">
        <v>179</v>
      </c>
      <c r="C76" s="73">
        <f>SUM('DOE25'!F127:F130)</f>
        <v>2484</v>
      </c>
      <c r="D76" s="23" t="s">
        <v>288</v>
      </c>
      <c r="E76" s="73">
        <f>SUM('DOE25'!H127:H130)</f>
        <v>0</v>
      </c>
      <c r="F76" s="73">
        <f>SUM('DOE25'!I127:I130)</f>
        <v>0</v>
      </c>
      <c r="G76" s="23" t="s">
        <v>288</v>
      </c>
      <c r="H76" s="13">
        <f t="shared" si="4"/>
        <v>2484</v>
      </c>
      <c r="I76"/>
    </row>
    <row r="77" spans="1:9" ht="12" thickBot="1" x14ac:dyDescent="0.25">
      <c r="A77" s="1" t="s">
        <v>258</v>
      </c>
      <c r="B77" s="6" t="s">
        <v>180</v>
      </c>
      <c r="C77" s="73">
        <f>SUM('DOE25'!F131:F135)</f>
        <v>0</v>
      </c>
      <c r="D77" s="73">
        <f>SUM('DOE25'!G131:G135)</f>
        <v>10982.44</v>
      </c>
      <c r="E77" s="73">
        <f>SUM('DOE25'!H131:H135)</f>
        <v>0</v>
      </c>
      <c r="F77" s="73">
        <f>SUM('DOE25'!I131:I135)</f>
        <v>0</v>
      </c>
      <c r="G77" s="73">
        <f>SUM('DOE25'!J131:J135)</f>
        <v>0</v>
      </c>
      <c r="H77" s="13">
        <f t="shared" si="4"/>
        <v>10982.44</v>
      </c>
      <c r="I77"/>
    </row>
    <row r="78" spans="1:9" ht="12.75" thickTop="1" thickBot="1" x14ac:dyDescent="0.25">
      <c r="A78" s="28" t="s">
        <v>259</v>
      </c>
      <c r="B78" s="6"/>
      <c r="C78" s="93">
        <f>SUM(C72:C77)</f>
        <v>2405658.37</v>
      </c>
      <c r="D78" s="93">
        <f>SUM(D72:D77)</f>
        <v>10982.44</v>
      </c>
      <c r="E78" s="93">
        <f>SUM(E72:E77)</f>
        <v>0</v>
      </c>
      <c r="F78" s="93">
        <f>SUM(F72:F77)</f>
        <v>0</v>
      </c>
      <c r="G78" s="93">
        <f>SUM(G72:G77)</f>
        <v>0</v>
      </c>
      <c r="H78" s="13">
        <f t="shared" si="4"/>
        <v>2416640.81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14653007.359999999</v>
      </c>
      <c r="D81" s="93">
        <f>SUM(D79:D80)+D78+D70</f>
        <v>10982.44</v>
      </c>
      <c r="E81" s="93">
        <f>SUM(E79:E80)+E78+E70</f>
        <v>6093.2</v>
      </c>
      <c r="F81" s="93">
        <f>SUM(F79:F80)+F78+F70</f>
        <v>0</v>
      </c>
      <c r="G81" s="93">
        <f>SUM(G79:G80)+G78+G70</f>
        <v>0</v>
      </c>
      <c r="H81" s="93">
        <f t="shared" si="4"/>
        <v>14670082.999999998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443708.69999999995</v>
      </c>
      <c r="E88" s="253">
        <f>SUM('DOE25'!H153:H162)</f>
        <v>2440428.0499999998</v>
      </c>
      <c r="F88" s="253">
        <f>SUM('DOE25'!I153:I162)</f>
        <v>0</v>
      </c>
      <c r="G88" s="23" t="s">
        <v>288</v>
      </c>
      <c r="H88" s="13">
        <f t="shared" si="5"/>
        <v>2884136.75</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443708.69999999995</v>
      </c>
      <c r="E91" s="94">
        <f>SUM(E85:E90)</f>
        <v>2440428.0499999998</v>
      </c>
      <c r="F91" s="94">
        <f>SUM(F85:F90)</f>
        <v>0</v>
      </c>
      <c r="G91" s="23" t="s">
        <v>288</v>
      </c>
      <c r="H91" s="13">
        <f t="shared" si="5"/>
        <v>2884136.75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26939.51</v>
      </c>
      <c r="E96" s="73">
        <f>'DOE25'!H180</f>
        <v>1022871</v>
      </c>
      <c r="F96" s="73">
        <f>'DOE25'!I180</f>
        <v>0</v>
      </c>
      <c r="G96" s="73">
        <f>'DOE25'!J180</f>
        <v>0</v>
      </c>
      <c r="H96" s="13">
        <f t="shared" si="5"/>
        <v>1049810.51</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26939.51</v>
      </c>
      <c r="E103" s="68">
        <f>SUM(E93:E102)</f>
        <v>1022871</v>
      </c>
      <c r="F103" s="68">
        <f>SUM(F93:F102)</f>
        <v>0</v>
      </c>
      <c r="G103" s="68">
        <f>SUM(G93:G102)</f>
        <v>0</v>
      </c>
      <c r="H103" s="68">
        <f t="shared" si="5"/>
        <v>1049810.51</v>
      </c>
    </row>
    <row r="104" spans="1:8" ht="12.75" thickTop="1" thickBot="1" x14ac:dyDescent="0.25">
      <c r="A104" s="32" t="s">
        <v>761</v>
      </c>
      <c r="C104" s="68">
        <f>C63+C81+C91+C103</f>
        <v>57913930.219999999</v>
      </c>
      <c r="D104" s="68">
        <f>D63+D81+D91+D103</f>
        <v>965140.58</v>
      </c>
      <c r="E104" s="68">
        <f>E63+E81+E91+E103</f>
        <v>5262959.04</v>
      </c>
      <c r="F104" s="68">
        <f>F63+F81+F91+F103</f>
        <v>0</v>
      </c>
      <c r="G104" s="68">
        <f>G63+G81+G103</f>
        <v>0</v>
      </c>
      <c r="H104" s="68">
        <f t="shared" si="5"/>
        <v>64142029.839999996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25110251.539999999</v>
      </c>
      <c r="D109" s="23" t="s">
        <v>288</v>
      </c>
      <c r="E109" s="73">
        <f>('DOE25'!L277)+('DOE25'!L296)+('DOE25'!L315)</f>
        <v>773651.27999999991</v>
      </c>
      <c r="F109" s="23" t="s">
        <v>288</v>
      </c>
      <c r="G109" s="23" t="s">
        <v>288</v>
      </c>
      <c r="H109" s="13">
        <f t="shared" ref="H109:H115" si="6">SUM(C109:G109)</f>
        <v>25883902.82</v>
      </c>
    </row>
    <row r="110" spans="1:8" x14ac:dyDescent="0.2">
      <c r="A110" t="s">
        <v>198</v>
      </c>
      <c r="B110" s="31" t="s">
        <v>199</v>
      </c>
      <c r="C110" s="73">
        <f>('DOE25'!L199)+('DOE25'!L217)+('DOE25'!L235)</f>
        <v>8424908.4299999997</v>
      </c>
      <c r="D110" s="23" t="s">
        <v>288</v>
      </c>
      <c r="E110" s="73">
        <f>('DOE25'!L278)+('DOE25'!L297)+('DOE25'!L316)</f>
        <v>2914487</v>
      </c>
      <c r="F110" s="23" t="s">
        <v>288</v>
      </c>
      <c r="G110" s="23" t="s">
        <v>288</v>
      </c>
      <c r="H110" s="13">
        <f t="shared" si="6"/>
        <v>11339395.43</v>
      </c>
    </row>
    <row r="111" spans="1:8" x14ac:dyDescent="0.2">
      <c r="A111" t="s">
        <v>200</v>
      </c>
      <c r="B111" s="31" t="s">
        <v>165</v>
      </c>
      <c r="C111" s="73">
        <f>('DOE25'!L200)+('DOE25'!L218)+('DOE25'!L236)</f>
        <v>1910118.56</v>
      </c>
      <c r="D111" s="23" t="s">
        <v>288</v>
      </c>
      <c r="E111" s="73">
        <f>('DOE25'!L279)+('DOE25'!L298)+('DOE25'!L317)</f>
        <v>125241.89</v>
      </c>
      <c r="F111" s="23" t="s">
        <v>288</v>
      </c>
      <c r="G111" s="23" t="s">
        <v>288</v>
      </c>
      <c r="H111" s="13">
        <f t="shared" si="6"/>
        <v>2035360.45</v>
      </c>
    </row>
    <row r="112" spans="1:8" x14ac:dyDescent="0.2">
      <c r="A112" t="s">
        <v>201</v>
      </c>
      <c r="B112" s="31" t="s">
        <v>167</v>
      </c>
      <c r="C112" s="73">
        <f>('DOE25'!L201)+('DOE25'!L219)+('DOE25'!L237)</f>
        <v>962689.57</v>
      </c>
      <c r="D112" s="23" t="s">
        <v>288</v>
      </c>
      <c r="E112" s="73">
        <f>+('DOE25'!L280)+('DOE25'!L299)+('DOE25'!L318)</f>
        <v>252032.3</v>
      </c>
      <c r="F112" s="23" t="s">
        <v>288</v>
      </c>
      <c r="G112" s="23" t="s">
        <v>288</v>
      </c>
      <c r="H112" s="13">
        <f t="shared" si="6"/>
        <v>1214721.8699999999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36407968.100000001</v>
      </c>
      <c r="D115" s="68">
        <f>SUM(D109:D114)</f>
        <v>0</v>
      </c>
      <c r="E115" s="68">
        <f>SUM(E109:E114)</f>
        <v>4065412.4699999997</v>
      </c>
      <c r="F115" s="68">
        <f>SUM(F109:F114)</f>
        <v>0</v>
      </c>
      <c r="G115" s="68">
        <f>SUM(G109:G114)</f>
        <v>0</v>
      </c>
      <c r="H115" s="68">
        <f t="shared" si="6"/>
        <v>40473380.57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6334383.4200000009</v>
      </c>
      <c r="D118" s="23" t="s">
        <v>288</v>
      </c>
      <c r="E118" s="73">
        <f>+('DOE25'!L282)+('DOE25'!L301)+('DOE25'!L320)</f>
        <v>295900.69</v>
      </c>
      <c r="F118" s="23" t="s">
        <v>288</v>
      </c>
      <c r="G118" s="23" t="s">
        <v>288</v>
      </c>
      <c r="H118" s="13">
        <f t="shared" ref="H118:H145" si="7">SUM(C118:G118)</f>
        <v>6630284.1100000013</v>
      </c>
    </row>
    <row r="119" spans="1:8" x14ac:dyDescent="0.2">
      <c r="A119" t="s">
        <v>208</v>
      </c>
      <c r="B119" s="31" t="s">
        <v>209</v>
      </c>
      <c r="C119" s="73">
        <f>('DOE25'!L204)+('DOE25'!L222)+('DOE25'!L240)</f>
        <v>1047393.8300000001</v>
      </c>
      <c r="D119" s="23" t="s">
        <v>288</v>
      </c>
      <c r="E119" s="73">
        <f>+('DOE25'!L283)+('DOE25'!L302)+('DOE25'!L321)</f>
        <v>171849.28999999998</v>
      </c>
      <c r="F119" s="23" t="s">
        <v>288</v>
      </c>
      <c r="G119" s="23" t="s">
        <v>288</v>
      </c>
      <c r="H119" s="13">
        <f t="shared" si="7"/>
        <v>1219243.1200000001</v>
      </c>
    </row>
    <row r="120" spans="1:8" x14ac:dyDescent="0.2">
      <c r="A120" t="s">
        <v>210</v>
      </c>
      <c r="B120" s="31" t="s">
        <v>211</v>
      </c>
      <c r="C120" s="73">
        <f>('DOE25'!L205)+('DOE25'!L223)+('DOE25'!L241)</f>
        <v>1912047.58</v>
      </c>
      <c r="D120" s="23" t="s">
        <v>288</v>
      </c>
      <c r="E120" s="73">
        <f>+('DOE25'!L284)+('DOE25'!L303)+('DOE25'!L322)</f>
        <v>180193.19</v>
      </c>
      <c r="F120" s="23" t="s">
        <v>288</v>
      </c>
      <c r="G120" s="23" t="s">
        <v>288</v>
      </c>
      <c r="H120" s="13">
        <f t="shared" si="7"/>
        <v>2092240.77</v>
      </c>
    </row>
    <row r="121" spans="1:8" x14ac:dyDescent="0.2">
      <c r="A121" t="s">
        <v>212</v>
      </c>
      <c r="B121" s="31" t="s">
        <v>213</v>
      </c>
      <c r="C121" s="73">
        <f>('DOE25'!L206)+('DOE25'!L224)+('DOE25'!L242)</f>
        <v>2962134.09</v>
      </c>
      <c r="D121" s="23" t="s">
        <v>288</v>
      </c>
      <c r="E121" s="73">
        <f>+('DOE25'!L285)+('DOE25'!L304)+('DOE25'!L323)</f>
        <v>148605.59</v>
      </c>
      <c r="F121" s="23" t="s">
        <v>288</v>
      </c>
      <c r="G121" s="23" t="s">
        <v>288</v>
      </c>
      <c r="H121" s="13">
        <f t="shared" si="7"/>
        <v>3110739.6799999997</v>
      </c>
    </row>
    <row r="122" spans="1:8" x14ac:dyDescent="0.2">
      <c r="A122" t="s">
        <v>214</v>
      </c>
      <c r="B122" s="31" t="s">
        <v>215</v>
      </c>
      <c r="C122" s="73">
        <f>('DOE25'!L207)+('DOE25'!L225)+('DOE25'!L243)</f>
        <v>742634.82000000007</v>
      </c>
      <c r="D122" s="23" t="s">
        <v>288</v>
      </c>
      <c r="E122" s="73">
        <f>+('DOE25'!L286)+('DOE25'!L305)+('DOE25'!L324)</f>
        <v>296.67</v>
      </c>
      <c r="F122" s="23" t="s">
        <v>288</v>
      </c>
      <c r="G122" s="23" t="s">
        <v>288</v>
      </c>
      <c r="H122" s="13">
        <f t="shared" si="7"/>
        <v>742931.49000000011</v>
      </c>
    </row>
    <row r="123" spans="1:8" x14ac:dyDescent="0.2">
      <c r="A123" t="s">
        <v>216</v>
      </c>
      <c r="B123" s="31" t="s">
        <v>217</v>
      </c>
      <c r="C123" s="73">
        <f>('DOE25'!L208)+('DOE25'!L226)+('DOE25'!L244)</f>
        <v>4658534.1899999995</v>
      </c>
      <c r="D123" s="23" t="s">
        <v>288</v>
      </c>
      <c r="E123" s="73">
        <f>+('DOE25'!L287)+('DOE25'!L306)+('DOE25'!L325)</f>
        <v>73667.06</v>
      </c>
      <c r="F123" s="23" t="s">
        <v>288</v>
      </c>
      <c r="G123" s="23" t="s">
        <v>288</v>
      </c>
      <c r="H123" s="13">
        <f t="shared" si="7"/>
        <v>4732201.2499999991</v>
      </c>
    </row>
    <row r="124" spans="1:8" x14ac:dyDescent="0.2">
      <c r="A124" t="s">
        <v>218</v>
      </c>
      <c r="B124" s="31" t="s">
        <v>219</v>
      </c>
      <c r="C124" s="73">
        <f>('DOE25'!L209)+('DOE25'!L227)+('DOE25'!L245+'DOE25'!L255)</f>
        <v>1511683.4</v>
      </c>
      <c r="D124" s="23" t="s">
        <v>288</v>
      </c>
      <c r="E124" s="73">
        <f>+('DOE25'!L288)+('DOE25'!L307)+('DOE25'!L326)</f>
        <v>39</v>
      </c>
      <c r="F124" s="23" t="s">
        <v>288</v>
      </c>
      <c r="G124" s="23" t="s">
        <v>288</v>
      </c>
      <c r="H124" s="13">
        <f t="shared" si="7"/>
        <v>1511722.4</v>
      </c>
    </row>
    <row r="125" spans="1:8" x14ac:dyDescent="0.2">
      <c r="A125" t="s">
        <v>220</v>
      </c>
      <c r="B125" s="31" t="s">
        <v>221</v>
      </c>
      <c r="C125" s="73">
        <f>('DOE25'!L210)+('DOE25'!L228)+('DOE25'!L246)</f>
        <v>1287340.2799999998</v>
      </c>
      <c r="D125" s="23" t="s">
        <v>288</v>
      </c>
      <c r="E125" s="73">
        <f>+('DOE25'!L289)+('DOE25'!L308)+('DOE25'!L327)</f>
        <v>31141.059999999998</v>
      </c>
      <c r="F125" s="23" t="s">
        <v>288</v>
      </c>
      <c r="G125" s="23" t="s">
        <v>288</v>
      </c>
      <c r="H125" s="13">
        <f t="shared" si="7"/>
        <v>1318481.3399999999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1070688.6099999999</v>
      </c>
      <c r="E127" s="23" t="s">
        <v>288</v>
      </c>
      <c r="F127" s="23" t="s">
        <v>288</v>
      </c>
      <c r="G127" s="23" t="s">
        <v>288</v>
      </c>
      <c r="H127" s="13">
        <f t="shared" si="7"/>
        <v>1070688.6099999999</v>
      </c>
    </row>
    <row r="128" spans="1:8" ht="12.75" thickTop="1" thickBot="1" x14ac:dyDescent="0.25">
      <c r="A128" s="32" t="s">
        <v>226</v>
      </c>
      <c r="C128" s="68">
        <f>SUM(C118:C127)</f>
        <v>20456151.609999999</v>
      </c>
      <c r="D128" s="68">
        <f>SUM(D118:D127)</f>
        <v>1070688.6099999999</v>
      </c>
      <c r="E128" s="68">
        <f>SUM(E118:E127)</f>
        <v>901692.55</v>
      </c>
      <c r="F128" s="68">
        <f>SUM(F118:F127)</f>
        <v>0</v>
      </c>
      <c r="G128" s="68">
        <f>SUM(G118:G127)</f>
        <v>0</v>
      </c>
      <c r="H128" s="68">
        <f t="shared" si="7"/>
        <v>22428532.77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26939.51</v>
      </c>
      <c r="D135" s="23" t="s">
        <v>288</v>
      </c>
      <c r="E135" s="92">
        <f>'DOE25'!L346</f>
        <v>0</v>
      </c>
      <c r="F135" s="23" t="s">
        <v>288</v>
      </c>
      <c r="G135" s="23" t="s">
        <v>288</v>
      </c>
      <c r="H135" s="13">
        <f t="shared" si="7"/>
        <v>26939.51</v>
      </c>
    </row>
    <row r="136" spans="1:8" x14ac:dyDescent="0.2">
      <c r="A136" t="s">
        <v>235</v>
      </c>
      <c r="B136" s="31" t="s">
        <v>236</v>
      </c>
      <c r="C136" s="73">
        <f>'DOE25'!L265</f>
        <v>1022871</v>
      </c>
      <c r="D136" s="23" t="s">
        <v>288</v>
      </c>
      <c r="E136" s="23" t="s">
        <v>288</v>
      </c>
      <c r="F136" s="23" t="s">
        <v>288</v>
      </c>
      <c r="G136" s="23" t="s">
        <v>288</v>
      </c>
      <c r="H136" s="13">
        <f t="shared" si="7"/>
        <v>1022871</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1049810.51</v>
      </c>
      <c r="D144" s="98">
        <f>SUM(D130:D143)</f>
        <v>0</v>
      </c>
      <c r="E144" s="98">
        <f>SUM(E130:E143)</f>
        <v>0</v>
      </c>
      <c r="F144" s="98">
        <f>SUM(F130:F143)</f>
        <v>0</v>
      </c>
      <c r="G144" s="98">
        <f>SUM(G130:G143)</f>
        <v>0</v>
      </c>
      <c r="H144" s="98">
        <f t="shared" si="7"/>
        <v>1049810.51</v>
      </c>
    </row>
    <row r="145" spans="1:9" ht="12.75" thickTop="1" thickBot="1" x14ac:dyDescent="0.25">
      <c r="A145" s="32" t="s">
        <v>244</v>
      </c>
      <c r="C145" s="68">
        <f>(C115+C128+C144)</f>
        <v>57913930.219999999</v>
      </c>
      <c r="D145" s="68">
        <f>(D115+D128+D144)</f>
        <v>1070688.6099999999</v>
      </c>
      <c r="E145" s="68">
        <f>(E115+E128+E144)</f>
        <v>4967105.0199999996</v>
      </c>
      <c r="F145" s="68">
        <f>(F115+F128+F144)</f>
        <v>0</v>
      </c>
      <c r="G145" s="68">
        <f>(G115+G128+G144)</f>
        <v>0</v>
      </c>
      <c r="H145" s="68">
        <f t="shared" si="7"/>
        <v>63951723.849999994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horizontalCentered="1" gridLines="1" gridLinesSet="0"/>
  <pageMargins left="0.5" right="0.5" top="1" bottom="1" header="0.5" footer="0.5"/>
  <pageSetup scale="85"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Portsmouth</v>
      </c>
    </row>
    <row r="3" spans="1:4" x14ac:dyDescent="0.2">
      <c r="B3" s="137" t="s">
        <v>1799</v>
      </c>
    </row>
    <row r="4" spans="1:4" x14ac:dyDescent="0.2">
      <c r="B4" t="s">
        <v>61</v>
      </c>
      <c r="C4" s="129">
        <f>IF('DOE25'!F666+'DOE25'!F671=0,0,ROUND('DOE25'!F673,0))</f>
        <v>24695</v>
      </c>
    </row>
    <row r="5" spans="1:4" x14ac:dyDescent="0.2">
      <c r="B5" t="s">
        <v>700</v>
      </c>
      <c r="C5" s="129">
        <f>IF('DOE25'!G666+'DOE25'!G671=0,0,ROUND('DOE25'!G673,0))</f>
        <v>24162</v>
      </c>
    </row>
    <row r="6" spans="1:4" x14ac:dyDescent="0.2">
      <c r="B6" t="s">
        <v>62</v>
      </c>
      <c r="C6" s="129">
        <f>IF('DOE25'!H666+'DOE25'!H671=0,0,ROUND('DOE25'!H673,0))</f>
        <v>22901</v>
      </c>
    </row>
    <row r="7" spans="1:4" x14ac:dyDescent="0.2">
      <c r="B7" t="s">
        <v>701</v>
      </c>
      <c r="C7" s="129">
        <f>IF('DOE25'!I666+'DOE25'!I671=0,0,ROUND('DOE25'!I673,0))</f>
        <v>23838</v>
      </c>
    </row>
    <row r="9" spans="1:4" x14ac:dyDescent="0.2">
      <c r="A9" s="136" t="s">
        <v>94</v>
      </c>
      <c r="B9" s="137" t="s">
        <v>1800</v>
      </c>
      <c r="C9" s="131" t="s">
        <v>720</v>
      </c>
      <c r="D9" s="131" t="s">
        <v>721</v>
      </c>
    </row>
    <row r="10" spans="1:4" x14ac:dyDescent="0.2">
      <c r="A10">
        <v>1100</v>
      </c>
      <c r="B10" t="s">
        <v>702</v>
      </c>
      <c r="C10" s="129">
        <f>ROUND('DOE25'!L198+'DOE25'!L216+'DOE25'!L234+'DOE25'!L277+'DOE25'!L296+'DOE25'!L315,0)</f>
        <v>25883903</v>
      </c>
      <c r="D10" s="132">
        <f>ROUND((C10/$C$28)*100,1)</f>
        <v>41.5</v>
      </c>
    </row>
    <row r="11" spans="1:4" x14ac:dyDescent="0.2">
      <c r="A11">
        <v>1200</v>
      </c>
      <c r="B11" t="s">
        <v>703</v>
      </c>
      <c r="C11" s="129">
        <f>ROUND('DOE25'!L199+'DOE25'!L217+'DOE25'!L235+'DOE25'!L278+'DOE25'!L297+'DOE25'!L316,0)</f>
        <v>11339395</v>
      </c>
      <c r="D11" s="132">
        <f>ROUND((C11/$C$28)*100,1)</f>
        <v>18.2</v>
      </c>
    </row>
    <row r="12" spans="1:4" x14ac:dyDescent="0.2">
      <c r="A12">
        <v>1300</v>
      </c>
      <c r="B12" t="s">
        <v>704</v>
      </c>
      <c r="C12" s="129">
        <f>ROUND('DOE25'!L200+'DOE25'!L218+'DOE25'!L236+'DOE25'!L279+'DOE25'!L298+'DOE25'!L317,0)</f>
        <v>2035360</v>
      </c>
      <c r="D12" s="132">
        <f>ROUND((C12/$C$28)*100,1)</f>
        <v>3.3</v>
      </c>
    </row>
    <row r="13" spans="1:4" x14ac:dyDescent="0.2">
      <c r="A13">
        <v>1400</v>
      </c>
      <c r="B13" t="s">
        <v>705</v>
      </c>
      <c r="C13" s="129">
        <f>ROUND('DOE25'!L201+'DOE25'!L219+'DOE25'!L237+'DOE25'!L280+'DOE25'!L299+'DOE25'!L318,0)</f>
        <v>1214722</v>
      </c>
      <c r="D13" s="132">
        <f>ROUND((C13/$C$28)*100,1)</f>
        <v>1.9</v>
      </c>
    </row>
    <row r="14" spans="1:4" x14ac:dyDescent="0.2">
      <c r="D14" s="132"/>
    </row>
    <row r="15" spans="1:4" x14ac:dyDescent="0.2">
      <c r="A15">
        <v>2100</v>
      </c>
      <c r="B15" t="s">
        <v>706</v>
      </c>
      <c r="C15" s="129">
        <f>ROUND('DOE25'!L203+'DOE25'!L221+'DOE25'!L239+'DOE25'!L282+'DOE25'!L301+'DOE25'!L320,0)</f>
        <v>6630284</v>
      </c>
      <c r="D15" s="132">
        <f t="shared" ref="D15:D27" si="0">ROUND((C15/$C$28)*100,1)</f>
        <v>10.6</v>
      </c>
    </row>
    <row r="16" spans="1:4" x14ac:dyDescent="0.2">
      <c r="A16">
        <v>2200</v>
      </c>
      <c r="B16" t="s">
        <v>707</v>
      </c>
      <c r="C16" s="129">
        <f>ROUND('DOE25'!L204+'DOE25'!L222+'DOE25'!L240+'DOE25'!L283+'DOE25'!L302+'DOE25'!L321,0)</f>
        <v>1219243</v>
      </c>
      <c r="D16" s="132">
        <f t="shared" si="0"/>
        <v>2</v>
      </c>
    </row>
    <row r="17" spans="1:4" x14ac:dyDescent="0.2">
      <c r="A17" s="133" t="s">
        <v>723</v>
      </c>
      <c r="B17" t="s">
        <v>738</v>
      </c>
      <c r="C17" s="129">
        <f>ROUND('DOE25'!L205+'DOE25'!L210+'DOE25'!L223+'DOE25'!L228+'DOE25'!L241+'DOE25'!L246+'DOE25'!L284+'DOE25'!L289+'DOE25'!L303+'DOE25'!L308+'DOE25'!L322+'DOE25'!L327,0)</f>
        <v>3410722</v>
      </c>
      <c r="D17" s="132">
        <f t="shared" si="0"/>
        <v>5.5</v>
      </c>
    </row>
    <row r="18" spans="1:4" x14ac:dyDescent="0.2">
      <c r="A18">
        <v>2400</v>
      </c>
      <c r="B18" t="s">
        <v>711</v>
      </c>
      <c r="C18" s="129">
        <f>ROUND('DOE25'!L206+'DOE25'!L224+'DOE25'!L242+'DOE25'!L285+'DOE25'!L304+'DOE25'!L323,0)</f>
        <v>3110740</v>
      </c>
      <c r="D18" s="132">
        <f t="shared" si="0"/>
        <v>5</v>
      </c>
    </row>
    <row r="19" spans="1:4" x14ac:dyDescent="0.2">
      <c r="A19">
        <v>2500</v>
      </c>
      <c r="B19" t="s">
        <v>708</v>
      </c>
      <c r="C19" s="129">
        <f>ROUND('DOE25'!L207+'DOE25'!L225+'DOE25'!L243+'DOE25'!L286+'DOE25'!L305+'DOE25'!L324,0)</f>
        <v>742931</v>
      </c>
      <c r="D19" s="132">
        <f t="shared" si="0"/>
        <v>1.2</v>
      </c>
    </row>
    <row r="20" spans="1:4" x14ac:dyDescent="0.2">
      <c r="A20">
        <v>2600</v>
      </c>
      <c r="B20" t="s">
        <v>709</v>
      </c>
      <c r="C20" s="129">
        <f>ROUND('DOE25'!L208+'DOE25'!L226+'DOE25'!L244+'DOE25'!L287+'DOE25'!L306+'DOE25'!L325,0)</f>
        <v>4732201</v>
      </c>
      <c r="D20" s="132">
        <f t="shared" si="0"/>
        <v>7.6</v>
      </c>
    </row>
    <row r="21" spans="1:4" x14ac:dyDescent="0.2">
      <c r="A21">
        <v>2700</v>
      </c>
      <c r="B21" t="s">
        <v>710</v>
      </c>
      <c r="C21" s="129">
        <f>ROUND('DOE25'!L209+'DOE25'!L227+'DOE25'!L245+'DOE25'!L288+'DOE25'!L307+'DOE25'!L326,0)</f>
        <v>1511722</v>
      </c>
      <c r="D21" s="132">
        <f t="shared" si="0"/>
        <v>2.4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587179.07000000007</v>
      </c>
      <c r="D27" s="132">
        <f t="shared" si="0"/>
        <v>0.9</v>
      </c>
    </row>
    <row r="28" spans="1:4" x14ac:dyDescent="0.2">
      <c r="B28" s="136" t="s">
        <v>719</v>
      </c>
      <c r="C28" s="130">
        <f>SUM(C10:C27)</f>
        <v>62418402.07</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62418402.07</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37073141</v>
      </c>
      <c r="D35" s="132">
        <f t="shared" ref="D35:D40" si="1">ROUND((C35/$C$41)*100,1)</f>
        <v>59.2</v>
      </c>
    </row>
    <row r="36" spans="1:4" x14ac:dyDescent="0.2">
      <c r="B36" s="71" t="s">
        <v>739</v>
      </c>
      <c r="C36" s="129">
        <f>SUM('DOE25'!F112:J112)-SUM('DOE25'!G97:G110)+('DOE25'!F175+'DOE25'!F176+'DOE25'!I175+'DOE25'!I176)-C35</f>
        <v>7981348.6499999985</v>
      </c>
      <c r="D36" s="132">
        <f t="shared" si="1"/>
        <v>12.7</v>
      </c>
    </row>
    <row r="37" spans="1:4" x14ac:dyDescent="0.2">
      <c r="A37" s="133" t="s">
        <v>834</v>
      </c>
      <c r="B37" s="71" t="s">
        <v>728</v>
      </c>
      <c r="C37" s="129">
        <f>ROUND('DOE25'!F117+'DOE25'!F118,0)</f>
        <v>11882691</v>
      </c>
      <c r="D37" s="132">
        <f t="shared" si="1"/>
        <v>19</v>
      </c>
    </row>
    <row r="38" spans="1:4" x14ac:dyDescent="0.2">
      <c r="A38" s="133" t="s">
        <v>734</v>
      </c>
      <c r="B38" s="71" t="s">
        <v>729</v>
      </c>
      <c r="C38" s="129">
        <f>ROUND(SUM('DOE25'!F140:J140)-SUM('DOE25'!F117:F119),0)</f>
        <v>2787392</v>
      </c>
      <c r="D38" s="132">
        <f t="shared" si="1"/>
        <v>4.5</v>
      </c>
    </row>
    <row r="39" spans="1:4" x14ac:dyDescent="0.2">
      <c r="A39">
        <v>4000</v>
      </c>
      <c r="B39" s="71" t="s">
        <v>730</v>
      </c>
      <c r="C39" s="129">
        <f>ROUND('DOE25'!F170+'DOE25'!G170+'DOE25'!H170+'DOE25'!I170,0)</f>
        <v>2884137</v>
      </c>
      <c r="D39" s="132">
        <f t="shared" si="1"/>
        <v>4.5999999999999996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62608709.649999999</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Portsmouth</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163</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56</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76</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177</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208</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230</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f>IF('School Level Expenditures'!$B$2='School Tables'!L59,'School Tables'!S59,"")</f>
        <v>56</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f>IF('School Level Expenditures'!$B$2='School Tables'!W79,'School Tables'!AD79,"")</f>
        <v>76</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f>IF('School Level Expenditures'!$B$2=A166,'School Tables'!H166,"")</f>
        <v>163</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f>IF('School Level Expenditures'!$B$2=A180,'School Tables'!H180,"")</f>
        <v>177</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f>IF('School Level Expenditures'!$B$2=A211,'School Tables'!H211,"")</f>
        <v>208</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f>IF('School Level Expenditures'!$B$2=A233,'School Tables'!H233,"")</f>
        <v>230</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2023-09-29T16:31:26Z</cp:lastPrinted>
  <dcterms:created xsi:type="dcterms:W3CDTF">1997-12-04T19:04:30Z</dcterms:created>
  <dcterms:modified xsi:type="dcterms:W3CDTF">2023-12-29T14:14:21Z</dcterms:modified>
</cp:coreProperties>
</file>