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46FBCE9-8CFE-40BE-AD4E-BF5C43238B6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98" i="1" l="1"/>
  <c r="J598" i="1"/>
  <c r="F120" i="1"/>
  <c r="H48" i="1" l="1"/>
  <c r="H102" i="1"/>
  <c r="D26" i="14" l="1"/>
  <c r="B37" i="12" l="1"/>
  <c r="B28" i="12"/>
  <c r="B30" i="12"/>
  <c r="C20" i="12"/>
  <c r="C19" i="12"/>
  <c r="B20" i="12"/>
  <c r="B19" i="12"/>
  <c r="B21" i="12"/>
  <c r="C11" i="12"/>
  <c r="C10" i="12"/>
  <c r="B12" i="12"/>
  <c r="B10" i="12"/>
  <c r="H159" i="1"/>
  <c r="I315" i="1"/>
  <c r="I303" i="1"/>
  <c r="I296" i="1"/>
  <c r="H30" i="1"/>
  <c r="H369" i="1"/>
  <c r="G369" i="1"/>
  <c r="H368" i="1"/>
  <c r="G368" i="1"/>
  <c r="I361" i="1"/>
  <c r="I360" i="1"/>
  <c r="G30" i="1"/>
  <c r="G13" i="1"/>
  <c r="G529" i="1" l="1"/>
  <c r="F529" i="1"/>
  <c r="H529" i="1"/>
  <c r="I529" i="1"/>
  <c r="G528" i="1"/>
  <c r="F528" i="1"/>
  <c r="H528" i="1"/>
  <c r="G524" i="1"/>
  <c r="F524" i="1"/>
  <c r="I524" i="1"/>
  <c r="H524" i="1"/>
  <c r="G523" i="1"/>
  <c r="F523" i="1"/>
  <c r="H400" i="1"/>
  <c r="H398" i="1"/>
  <c r="H397" i="1"/>
  <c r="F316" i="1"/>
  <c r="K219" i="1"/>
  <c r="F24"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F147" i="1"/>
  <c r="F170" i="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H653" i="1"/>
  <c r="G654" i="1"/>
  <c r="H654" i="1"/>
  <c r="H655" i="1"/>
  <c r="H656" i="1"/>
  <c r="E111" i="2" l="1"/>
  <c r="E124" i="2"/>
  <c r="J140" i="1"/>
  <c r="H100" i="2"/>
  <c r="H132" i="2"/>
  <c r="H48" i="2"/>
  <c r="H79" i="2"/>
  <c r="H35" i="2"/>
  <c r="C125" i="2"/>
  <c r="H125" i="2" s="1"/>
  <c r="H113" i="2"/>
  <c r="H59" i="2"/>
  <c r="H477" i="1"/>
  <c r="H625" i="1" s="1"/>
  <c r="J625" i="1" s="1"/>
  <c r="H97" i="2"/>
  <c r="H69" i="2"/>
  <c r="H25" i="2"/>
  <c r="H17" i="2"/>
  <c r="H8" i="2"/>
  <c r="D144" i="2"/>
  <c r="H98" i="2"/>
  <c r="H89" i="2"/>
  <c r="H72" i="2"/>
  <c r="H58" i="2"/>
  <c r="H143" i="2"/>
  <c r="D18" i="13"/>
  <c r="C18" i="13" s="1"/>
  <c r="C110" i="2"/>
  <c r="H94" i="2"/>
  <c r="H101" i="2"/>
  <c r="H76" i="2"/>
  <c r="G409" i="1"/>
  <c r="H646" i="1" s="1"/>
  <c r="J646" i="1" s="1"/>
  <c r="H27" i="2"/>
  <c r="H22" i="2"/>
  <c r="G663" i="1"/>
  <c r="H102" i="2"/>
  <c r="H99" i="2"/>
  <c r="H87" i="2"/>
  <c r="H34" i="2"/>
  <c r="H24" i="2"/>
  <c r="H23" i="2"/>
  <c r="H15" i="2"/>
  <c r="H9" i="2"/>
  <c r="J112" i="1"/>
  <c r="E121" i="2"/>
  <c r="H61" i="2"/>
  <c r="H36" i="2"/>
  <c r="I409" i="1"/>
  <c r="H93" i="2"/>
  <c r="H80" i="2"/>
  <c r="H30" i="2"/>
  <c r="H96" i="2"/>
  <c r="H28" i="2"/>
  <c r="H26" i="2"/>
  <c r="I112" i="1"/>
  <c r="H38" i="2"/>
  <c r="H44" i="2"/>
  <c r="H47" i="2"/>
  <c r="H77" i="2"/>
  <c r="G477" i="1"/>
  <c r="B33" i="16" s="1"/>
  <c r="H29" i="2"/>
  <c r="G662" i="1"/>
  <c r="D29" i="13"/>
  <c r="C29" i="13" s="1"/>
  <c r="H13" i="2"/>
  <c r="H12" i="2"/>
  <c r="J652" i="1"/>
  <c r="N2" i="14"/>
  <c r="N3" i="14" s="1"/>
  <c r="M2" i="14"/>
  <c r="M3" i="14" s="1"/>
  <c r="L2" i="14"/>
  <c r="L3" i="14" s="1"/>
  <c r="C13" i="10"/>
  <c r="C32" i="10"/>
  <c r="G651" i="1"/>
  <c r="J651" i="1" s="1"/>
  <c r="D15" i="13"/>
  <c r="C15" i="13" s="1"/>
  <c r="C121" i="2"/>
  <c r="H121" i="2" s="1"/>
  <c r="C120" i="2"/>
  <c r="H120" i="2" s="1"/>
  <c r="C119" i="2"/>
  <c r="D6" i="13"/>
  <c r="C6" i="13" s="1"/>
  <c r="C112" i="2"/>
  <c r="H112" i="2" s="1"/>
  <c r="A40" i="12"/>
  <c r="C12" i="10"/>
  <c r="K2" i="14"/>
  <c r="K3" i="14" s="1"/>
  <c r="H11" i="2"/>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J51" i="1"/>
  <c r="G16" i="2"/>
  <c r="G18" i="2" s="1"/>
  <c r="J19" i="1"/>
  <c r="G622" i="1" s="1"/>
  <c r="F546" i="1"/>
  <c r="H435" i="1"/>
  <c r="D103" i="2"/>
  <c r="I140" i="1"/>
  <c r="A22" i="12"/>
  <c r="J653" i="1"/>
  <c r="G572" i="1"/>
  <c r="I435" i="1"/>
  <c r="G435" i="1"/>
  <c r="I664" i="1"/>
  <c r="H21" i="2" l="1"/>
  <c r="H103" i="2"/>
  <c r="H57" i="2"/>
  <c r="H624" i="1"/>
  <c r="J624" i="1" s="1"/>
  <c r="H62" i="2"/>
  <c r="H78" i="2"/>
  <c r="H122" i="2"/>
  <c r="L572" i="1"/>
  <c r="H134" i="2"/>
  <c r="H123" i="2"/>
  <c r="H16" i="2"/>
  <c r="D128" i="2"/>
  <c r="D145" i="2" s="1"/>
  <c r="H127" i="2"/>
  <c r="I662" i="1"/>
  <c r="G50" i="2"/>
  <c r="H50" i="2" s="1"/>
  <c r="H42" i="2"/>
  <c r="H18" i="2"/>
  <c r="E91" i="2"/>
  <c r="H91" i="2" s="1"/>
  <c r="H85" i="2"/>
  <c r="C81" i="2"/>
  <c r="H81" i="2" s="1"/>
  <c r="F194" i="1"/>
  <c r="G628" i="1" s="1"/>
  <c r="J628" i="1" s="1"/>
  <c r="H119" i="2"/>
  <c r="E128" i="2"/>
  <c r="H118" i="2"/>
  <c r="G24" i="14"/>
  <c r="H24" i="14" s="1"/>
  <c r="I24" i="14" s="1"/>
  <c r="I663" i="1"/>
  <c r="H31" i="2"/>
  <c r="E51" i="2"/>
  <c r="F661" i="1"/>
  <c r="F665" i="1" s="1"/>
  <c r="F670" i="1" s="1"/>
  <c r="E115" i="2"/>
  <c r="H109" i="2"/>
  <c r="F144" i="2"/>
  <c r="H130" i="2"/>
  <c r="H661" i="1"/>
  <c r="H665" i="1" s="1"/>
  <c r="H194" i="1"/>
  <c r="G630" i="1" s="1"/>
  <c r="J630" i="1" s="1"/>
  <c r="H649" i="1"/>
  <c r="J649" i="1" s="1"/>
  <c r="C141" i="2"/>
  <c r="F51" i="2"/>
  <c r="G36" i="14"/>
  <c r="H36" i="14" s="1"/>
  <c r="C36" i="10"/>
  <c r="L435" i="1"/>
  <c r="G639" i="1" s="1"/>
  <c r="J639" i="1" s="1"/>
  <c r="G104" i="2"/>
  <c r="L339" i="1"/>
  <c r="L353" i="1" s="1"/>
  <c r="G634" i="1" s="1"/>
  <c r="J634" i="1" s="1"/>
  <c r="I194" i="1"/>
  <c r="G631" i="1" s="1"/>
  <c r="J631" i="1" s="1"/>
  <c r="G636" i="1"/>
  <c r="J636" i="1" s="1"/>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51" i="2" l="1"/>
  <c r="H51" i="2"/>
  <c r="E104" i="2"/>
  <c r="H128" i="2"/>
  <c r="C144" i="2"/>
  <c r="H144" i="2" s="1"/>
  <c r="H141" i="2"/>
  <c r="C104" i="2"/>
  <c r="H63" i="2"/>
  <c r="M24" i="14"/>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H104"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<sst xmlns="http://schemas.openxmlformats.org/spreadsheetml/2006/main" count="6564" uniqueCount="1812">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</sst>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1361</v>
      </c>
      <c r="B2">
        <f>INDEX('School Tables'!$AH$3:$AH$209,MATCH('DOE25'!A2,'School Tables'!$AJ$3:$AJ$209,0))</f>
        <v>450</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209763.35</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48337.01</v>
      </c>
      <c r="G12" s="18">
        <v>8753.65</v>
      </c>
      <c r="H12" s="18">
        <v>16049.89</v>
      </c>
      <c r="I12" s="18"/>
      <c r="J12" s="13">
        <f>SUM(I442)</f>
        <v>454032.41</v>
      </c>
      <c r="K12" s="23" t="s">
        <v>288</v>
      </c>
      <c r="L12" s="23" t="s">
        <v>288</v>
      </c>
      <c r="M12" s="8"/>
      <c r="N12" s="165"/>
    </row>
    <row r="13" spans="1:14" s="3" customFormat="1" ht="12.2" customHeight="1" x14ac:dyDescent="0.15">
      <c r="A13" s="1" t="s">
        <v>604</v>
      </c>
      <c r="B13" s="2" t="s">
        <v>289</v>
      </c>
      <c r="C13" s="6">
        <v>5</v>
      </c>
      <c r="D13" s="2" t="s">
        <v>428</v>
      </c>
      <c r="E13" s="6">
        <v>140</v>
      </c>
      <c r="F13" s="18"/>
      <c r="G13" s="18">
        <f>74.43+6016.48</f>
        <v>6090.91</v>
      </c>
      <c r="H13" s="18">
        <v>49279.99</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11412.7</v>
      </c>
      <c r="G14" s="18">
        <v>3438.2</v>
      </c>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t="s">
        <v>286</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269513.06</v>
      </c>
      <c r="G19" s="38">
        <f>SUM(G9:G18)</f>
        <v>18282.759999999998</v>
      </c>
      <c r="H19" s="38">
        <f>SUM(H9:H18)</f>
        <v>65329.88</v>
      </c>
      <c r="I19" s="38">
        <f>SUM(I9:I18)</f>
        <v>0</v>
      </c>
      <c r="J19" s="38">
        <f>SUM(J9:J18)</f>
        <v>454032.41</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24803.54</v>
      </c>
      <c r="G22" s="18" t="s">
        <v>286</v>
      </c>
      <c r="H22" s="18">
        <v>48337.01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875.48+17174.38</f>
        <v>18049.86</v>
      </c>
      <c r="G24" s="18"/>
      <c r="H24" s="18">
        <v>942.98</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v>9892.5499999999993</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f>2745.21+5645</f>
        <v>8390.2099999999991</v>
      </c>
      <c r="H30" s="18">
        <f>611.14+1134.97+16.36+30.39+507.03+750</f>
        <v>3049.8900000000003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42853.4</v>
      </c>
      <c r="G32" s="38">
        <f>SUM(G22:G31)</f>
        <v>18282.759999999998</v>
      </c>
      <c r="H32" s="38">
        <f>SUM(H22:H31)</f>
        <v>52329.880000000005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454032.41</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13000</f>
        <v>13000</v>
      </c>
      <c r="I48" s="18"/>
      <c r="J48" s="13">
        <f>SUM(I460)</f>
        <v>0</v>
      </c>
      <c r="K48" s="23" t="s">
        <v>288</v>
      </c>
      <c r="L48" s="23" t="s">
        <v>288</v>
      </c>
      <c r="M48" s="8"/>
      <c r="N48" s="165"/>
    </row>
    <row r="49" spans="1:14" s="3" customFormat="1" ht="12.2" customHeight="1" x14ac:dyDescent="0.15">
      <c r="A49" s="1" t="s">
        <v>858</v>
      </c>
      <c r="B49" s="2" t="s">
        <v>289</v>
      </c>
      <c r="C49" s="6">
        <v>34</v>
      </c>
      <c r="D49" s="2"/>
      <c r="E49" s="6">
        <v>753</v>
      </c>
      <c r="F49" s="18">
        <v>47066.94</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179592.72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226659.66</v>
      </c>
      <c r="G51" s="38">
        <f>SUM(G35:G50)</f>
        <v>0</v>
      </c>
      <c r="H51" s="38">
        <f>SUM(H35:H50)</f>
        <v>13000</v>
      </c>
      <c r="I51" s="38">
        <f>SUM(I35:I50)</f>
        <v>0</v>
      </c>
      <c r="J51" s="38">
        <f>SUM(J35:J50)</f>
        <v>454032.41</v>
      </c>
      <c r="K51" s="42" t="s">
        <v>288</v>
      </c>
      <c r="L51" s="42" t="s">
        <v>288</v>
      </c>
      <c r="N51" s="131"/>
    </row>
    <row r="52" spans="1:14" s="3" customFormat="1" ht="12.2" customHeight="1" thickTop="1" x14ac:dyDescent="0.15">
      <c r="A52" s="35" t="s">
        <v>455</v>
      </c>
      <c r="B52" s="36" t="s">
        <v>289</v>
      </c>
      <c r="C52" s="6">
        <v>37</v>
      </c>
      <c r="D52" s="36" t="s">
        <v>653</v>
      </c>
      <c r="E52" s="36"/>
      <c r="F52" s="38">
        <f>F51+F32</f>
        <v>269513.06</v>
      </c>
      <c r="G52" s="38">
        <f>G51+G32</f>
        <v>18282.759999999998</v>
      </c>
      <c r="H52" s="38">
        <f>H51+H32</f>
        <v>65329.880000000005</v>
      </c>
      <c r="I52" s="38">
        <f>I51+I32</f>
        <v>0</v>
      </c>
      <c r="J52" s="38">
        <f>J51+J32</f>
        <v>454032.41</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3934913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t="s">
        <v>286</v>
      </c>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3934913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17000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72000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89000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612.72</v>
      </c>
      <c r="G96" s="18"/>
      <c r="H96" s="18"/>
      <c r="I96" s="18"/>
      <c r="J96" s="18">
        <v>15094.86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73603.509999999995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45.56</v>
      </c>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f>8695.03+11324.11</f>
        <v>20019.14</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2181.15</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9690.81</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12530.24</v>
      </c>
      <c r="G111" s="38">
        <f>SUM(G96:G110)</f>
        <v>73603.509999999995</v>
      </c>
      <c r="H111" s="38">
        <f>SUM(H96:H110)</f>
        <v>20019.14</v>
      </c>
      <c r="I111" s="38">
        <f>SUM(I96:I110)</f>
        <v>0</v>
      </c>
      <c r="J111" s="38">
        <f>SUM(J96:J110)</f>
        <v>15094.86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4036443.24</v>
      </c>
      <c r="G112" s="38">
        <f>G60+G111</f>
        <v>73603.509999999995</v>
      </c>
      <c r="H112" s="38">
        <f>H60+H79+H94+H111</f>
        <v>20019.14</v>
      </c>
      <c r="I112" s="38">
        <f>I60+I111</f>
        <v>0</v>
      </c>
      <c r="J112" s="38">
        <f>J60+J111</f>
        <v>15094.86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863388.78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603006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592.6+32827.09</f>
        <v>33419.689999999995</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1499814.47</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366886.36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t="s">
        <v>286</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t="s">
        <v>286</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2261.6</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1121.44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t="s">
        <v>286</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369147.95999999996</v>
      </c>
      <c r="G136" s="38">
        <f>SUM(G123:G135)</f>
        <v>1121.44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1868962.43</v>
      </c>
      <c r="G140" s="38">
        <f>G121+SUM(G136:G137)</f>
        <v>1121.44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3409</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3409</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0</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52535.19</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0</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43946.29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53736.43+4875.49</f>
        <v>58611.92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2498.31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v>8494.74</v>
      </c>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74423.990000000005</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2498.31</v>
      </c>
      <c r="G163" s="38">
        <f>SUM(G150:G162)</f>
        <v>52441.03</v>
      </c>
      <c r="H163" s="38">
        <f>SUM(H150:H162)</f>
        <v>185571.1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469.89</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2968.2</v>
      </c>
      <c r="G170" s="38">
        <f>G147+G163+SUM(G164:G169)</f>
        <v>52441.03</v>
      </c>
      <c r="H170" s="38">
        <f>H147+H163+SUM(H164:H169)</f>
        <v>188980.1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20921.099999999999</v>
      </c>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20921.099999999999</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20921.099999999999</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5908373.8700000001</v>
      </c>
      <c r="G194" s="38">
        <f>G112+G140+G170+G193</f>
        <v>148087.07999999999</v>
      </c>
      <c r="H194" s="38">
        <f>H112+H140+H170+H193</f>
        <v>208999.24</v>
      </c>
      <c r="I194" s="38">
        <f>I112+I140+I170+I193</f>
        <v>0</v>
      </c>
      <c r="J194" s="38">
        <f>J112+J140+J193</f>
        <v>15094.86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492663.26</v>
      </c>
      <c r="G216" s="18">
        <v>255460.05</v>
      </c>
      <c r="H216" s="18">
        <v>409.95</v>
      </c>
      <c r="I216" s="18">
        <v>11846.94</v>
      </c>
      <c r="J216" s="18">
        <v>1649.94</v>
      </c>
      <c r="K216" s="18"/>
      <c r="L216" s="13">
        <f>SUM(F216:K216)</f>
        <v>762030.1399999999</v>
      </c>
      <c r="M216" s="8"/>
      <c r="N216" s="165"/>
    </row>
    <row r="217" spans="1:14" s="3" customFormat="1" ht="12.2" customHeight="1" x14ac:dyDescent="0.15">
      <c r="A217" s="1" t="s">
        <v>439</v>
      </c>
      <c r="B217" s="2" t="s">
        <v>346</v>
      </c>
      <c r="C217" s="2" t="s">
        <v>291</v>
      </c>
      <c r="D217" s="2" t="s">
        <v>431</v>
      </c>
      <c r="E217" s="6">
        <v>1200</v>
      </c>
      <c r="F217" s="18">
        <v>74936.69</v>
      </c>
      <c r="G217" s="18">
        <v>35889.65</v>
      </c>
      <c r="H217" s="18">
        <v>4101.2</v>
      </c>
      <c r="I217" s="18">
        <v>658.59</v>
      </c>
      <c r="J217" s="18"/>
      <c r="K217" s="18"/>
      <c r="L217" s="13">
        <f>SUM(F217:K217)</f>
        <v>115586.12999999999</v>
      </c>
      <c r="M217" s="8"/>
      <c r="N217" s="165"/>
    </row>
    <row r="218" spans="1:14" s="3" customFormat="1" ht="12.2" customHeight="1" x14ac:dyDescent="0.15">
      <c r="A218" s="1" t="s">
        <v>440</v>
      </c>
      <c r="B218" s="2" t="s">
        <v>346</v>
      </c>
      <c r="C218" s="2" t="s">
        <v>292</v>
      </c>
      <c r="D218" s="2" t="s">
        <v>431</v>
      </c>
      <c r="E218" s="6">
        <v>1300</v>
      </c>
      <c r="F218" s="18">
        <v>46080.95</v>
      </c>
      <c r="G218" s="18">
        <v>18970.46</v>
      </c>
      <c r="H218" s="18"/>
      <c r="I218" s="18">
        <v>2955.05</v>
      </c>
      <c r="J218" s="18">
        <v>543.79999999999995</v>
      </c>
      <c r="K218" s="18"/>
      <c r="L218" s="13">
        <f>SUM(F218:K218)</f>
        <v>68550.259999999995</v>
      </c>
      <c r="M218" s="8"/>
      <c r="N218" s="165"/>
    </row>
    <row r="219" spans="1:14" s="3" customFormat="1" ht="12.2" customHeight="1" x14ac:dyDescent="0.15">
      <c r="A219" s="1" t="s">
        <v>441</v>
      </c>
      <c r="B219" s="2" t="s">
        <v>346</v>
      </c>
      <c r="C219" s="2" t="s">
        <v>293</v>
      </c>
      <c r="D219" s="2" t="s">
        <v>431</v>
      </c>
      <c r="E219" s="6">
        <v>1400</v>
      </c>
      <c r="F219" s="18">
        <v>31894.84</v>
      </c>
      <c r="G219" s="18">
        <v>6342.05</v>
      </c>
      <c r="H219" s="18">
        <v>9138.91</v>
      </c>
      <c r="I219" s="18">
        <v>2596.5500000000002</v>
      </c>
      <c r="J219" s="18">
        <v>5323.99</v>
      </c>
      <c r="K219" s="18">
        <f>3390+231.18</f>
        <v>3621.18</v>
      </c>
      <c r="L219" s="13">
        <f>SUM(F219:K219)</f>
        <v>58917.520000000004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70953</v>
      </c>
      <c r="G221" s="18">
        <v>45874.89</v>
      </c>
      <c r="H221" s="18">
        <v>31682.14</v>
      </c>
      <c r="I221" s="18">
        <v>648.63</v>
      </c>
      <c r="J221" s="18">
        <v>34.020000000000003</v>
      </c>
      <c r="K221" s="18"/>
      <c r="L221" s="13">
        <f t="shared" ref="L221:L227" si="2">SUM(F221:K221)</f>
        <v>149192.68</v>
      </c>
      <c r="M221" s="8"/>
      <c r="N221" s="165"/>
    </row>
    <row r="222" spans="1:14" s="3" customFormat="1" ht="12.2" customHeight="1" x14ac:dyDescent="0.15">
      <c r="A222" s="1" t="s">
        <v>443</v>
      </c>
      <c r="B222" s="2" t="s">
        <v>346</v>
      </c>
      <c r="C222" s="2" t="s">
        <v>295</v>
      </c>
      <c r="D222" s="2" t="s">
        <v>431</v>
      </c>
      <c r="E222" s="6">
        <v>2200</v>
      </c>
      <c r="F222" s="18">
        <v>45630.3</v>
      </c>
      <c r="G222" s="18">
        <v>30942.080000000002</v>
      </c>
      <c r="H222" s="18">
        <v>15260.01</v>
      </c>
      <c r="I222" s="18">
        <v>1842.23</v>
      </c>
      <c r="J222" s="18"/>
      <c r="K222" s="18">
        <v>9867.99</v>
      </c>
      <c r="L222" s="13">
        <f t="shared" si="2"/>
        <v>103542.61</v>
      </c>
      <c r="M222" s="8"/>
      <c r="N222" s="165"/>
    </row>
    <row r="223" spans="1:14" s="3" customFormat="1" ht="12.2" customHeight="1" x14ac:dyDescent="0.15">
      <c r="A223" s="1" t="s">
        <v>444</v>
      </c>
      <c r="B223" s="2" t="s">
        <v>346</v>
      </c>
      <c r="C223" s="2" t="s">
        <v>296</v>
      </c>
      <c r="D223" s="2" t="s">
        <v>431</v>
      </c>
      <c r="E223" s="6">
        <v>2300</v>
      </c>
      <c r="F223" s="18">
        <v>8830.25</v>
      </c>
      <c r="G223" s="18">
        <v>680.95</v>
      </c>
      <c r="H223" s="18">
        <v>126342.74</v>
      </c>
      <c r="I223" s="18"/>
      <c r="J223" s="18"/>
      <c r="K223" s="18">
        <v>3824.99</v>
      </c>
      <c r="L223" s="13">
        <f t="shared" si="2"/>
        <v>139678.93</v>
      </c>
      <c r="M223" s="8"/>
      <c r="N223" s="165"/>
    </row>
    <row r="224" spans="1:14" s="3" customFormat="1" ht="12.2" customHeight="1" x14ac:dyDescent="0.15">
      <c r="A224" s="1" t="s">
        <v>445</v>
      </c>
      <c r="B224" s="2" t="s">
        <v>346</v>
      </c>
      <c r="C224" s="2" t="s">
        <v>297</v>
      </c>
      <c r="D224" s="2" t="s">
        <v>431</v>
      </c>
      <c r="E224" s="6">
        <v>2400</v>
      </c>
      <c r="F224" s="18">
        <v>94859.66</v>
      </c>
      <c r="G224" s="18">
        <v>42513.73</v>
      </c>
      <c r="H224" s="18">
        <v>22572.880000000001</v>
      </c>
      <c r="I224" s="18">
        <v>5143.45</v>
      </c>
      <c r="J224" s="18"/>
      <c r="K224" s="18"/>
      <c r="L224" s="13">
        <f t="shared" si="2"/>
        <v>165089.72000000003</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v>44382.86</v>
      </c>
      <c r="G226" s="18">
        <v>12977.17</v>
      </c>
      <c r="H226" s="18">
        <v>48289.3</v>
      </c>
      <c r="I226" s="18">
        <v>57600.95</v>
      </c>
      <c r="J226" s="18">
        <v>884.68</v>
      </c>
      <c r="K226" s="18"/>
      <c r="L226" s="13">
        <f t="shared" si="2"/>
        <v>164134.96</v>
      </c>
      <c r="M226" s="8"/>
      <c r="N226" s="165"/>
    </row>
    <row r="227" spans="1:14" s="3" customFormat="1" ht="12.2" customHeight="1" x14ac:dyDescent="0.15">
      <c r="A227" s="1" t="s">
        <v>448</v>
      </c>
      <c r="B227" s="2" t="s">
        <v>346</v>
      </c>
      <c r="C227" s="2" t="s">
        <v>300</v>
      </c>
      <c r="D227" s="2" t="s">
        <v>431</v>
      </c>
      <c r="E227" s="6">
        <v>2700</v>
      </c>
      <c r="F227" s="18">
        <v>2181.38</v>
      </c>
      <c r="G227" s="18">
        <v>492.65</v>
      </c>
      <c r="H227" s="18">
        <v>29966.3</v>
      </c>
      <c r="I227" s="18">
        <v>1176.98</v>
      </c>
      <c r="J227" s="18"/>
      <c r="K227" s="18"/>
      <c r="L227" s="13">
        <f t="shared" si="2"/>
        <v>33817.31</v>
      </c>
      <c r="M227" s="8"/>
      <c r="N227" s="165"/>
    </row>
    <row r="228" spans="1:14" s="3" customFormat="1" ht="12.2" customHeight="1" x14ac:dyDescent="0.15">
      <c r="A228" s="1" t="s">
        <v>449</v>
      </c>
      <c r="B228" s="2" t="s">
        <v>346</v>
      </c>
      <c r="C228" s="2" t="s">
        <v>343</v>
      </c>
      <c r="D228" s="2" t="s">
        <v>431</v>
      </c>
      <c r="E228" s="6">
        <v>2800</v>
      </c>
      <c r="F228" s="18"/>
      <c r="G228" s="18"/>
      <c r="H228" s="18">
        <v>619.39</v>
      </c>
      <c r="I228" s="18">
        <v>4594.71</v>
      </c>
      <c r="J228" s="18">
        <v>9431.1299999999992</v>
      </c>
      <c r="K228" s="18"/>
      <c r="L228" s="13">
        <f>SUM(F228:K228)</f>
        <v>14645.23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912413.19</v>
      </c>
      <c r="G230" s="38">
        <f>SUM(G216:G229)</f>
        <v>450143.68000000005</v>
      </c>
      <c r="H230" s="38">
        <f>SUM(H216:H229)</f>
        <v>288382.82</v>
      </c>
      <c r="I230" s="38">
        <f>SUM(I216:I229)</f>
        <v>89064.08</v>
      </c>
      <c r="J230" s="38">
        <f>SUM(J216:J229)</f>
        <v>17867.559999999998</v>
      </c>
      <c r="K230" s="38">
        <f t="shared" si="3"/>
        <v>17314.16</v>
      </c>
      <c r="L230" s="38">
        <f t="shared" si="3"/>
        <v>1775185.49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1049351.53</v>
      </c>
      <c r="G234" s="18">
        <v>549992.43000000005</v>
      </c>
      <c r="H234" s="18">
        <v>6206.16</v>
      </c>
      <c r="I234" s="18">
        <v>17151.02</v>
      </c>
      <c r="J234" s="18">
        <v>3664.32</v>
      </c>
      <c r="K234" s="18"/>
      <c r="L234" s="13">
        <f>SUM(F234:K234)</f>
        <v>1626365.46</v>
      </c>
      <c r="M234" s="8"/>
      <c r="N234" s="165"/>
    </row>
    <row r="235" spans="1:14" s="3" customFormat="1" ht="12.2" customHeight="1" x14ac:dyDescent="0.15">
      <c r="A235" s="1" t="s">
        <v>439</v>
      </c>
      <c r="B235" s="2" t="s">
        <v>350</v>
      </c>
      <c r="C235" s="2" t="s">
        <v>291</v>
      </c>
      <c r="D235" s="2" t="s">
        <v>431</v>
      </c>
      <c r="E235" s="6">
        <v>1200</v>
      </c>
      <c r="F235" s="18">
        <v>184993.68</v>
      </c>
      <c r="G235" s="18">
        <v>127477.57</v>
      </c>
      <c r="H235" s="18">
        <v>200078.64</v>
      </c>
      <c r="I235" s="18">
        <v>7924.74</v>
      </c>
      <c r="J235" s="18"/>
      <c r="K235" s="18"/>
      <c r="L235" s="13">
        <f>SUM(F235:K235)</f>
        <v>520474.63</v>
      </c>
      <c r="M235" s="8"/>
      <c r="N235" s="165"/>
    </row>
    <row r="236" spans="1:14" s="3" customFormat="1" ht="12.2" customHeight="1" x14ac:dyDescent="0.15">
      <c r="A236" s="1" t="s">
        <v>440</v>
      </c>
      <c r="B236" s="2" t="s">
        <v>350</v>
      </c>
      <c r="C236" s="2" t="s">
        <v>292</v>
      </c>
      <c r="D236" s="2" t="s">
        <v>431</v>
      </c>
      <c r="E236" s="6">
        <v>1300</v>
      </c>
      <c r="F236" s="18">
        <v>85579.15</v>
      </c>
      <c r="G236" s="18">
        <v>35231.56</v>
      </c>
      <c r="H236" s="18">
        <v>18985.12</v>
      </c>
      <c r="I236" s="18">
        <v>5880.22</v>
      </c>
      <c r="J236" s="18">
        <v>1009.87</v>
      </c>
      <c r="K236" s="18"/>
      <c r="L236" s="13">
        <f>SUM(F236:K236)</f>
        <v>146685.91999999998</v>
      </c>
      <c r="M236" s="8"/>
      <c r="N236" s="165"/>
    </row>
    <row r="237" spans="1:14" s="3" customFormat="1" ht="12.2" customHeight="1" x14ac:dyDescent="0.15">
      <c r="A237" s="1" t="s">
        <v>441</v>
      </c>
      <c r="B237" s="2" t="s">
        <v>350</v>
      </c>
      <c r="C237" s="2" t="s">
        <v>293</v>
      </c>
      <c r="D237" s="2" t="s">
        <v>431</v>
      </c>
      <c r="E237" s="6">
        <v>1400</v>
      </c>
      <c r="F237" s="18">
        <v>65148.51</v>
      </c>
      <c r="G237" s="18">
        <v>11701.88</v>
      </c>
      <c r="H237" s="18">
        <v>17282.7</v>
      </c>
      <c r="I237" s="18">
        <v>4926.29</v>
      </c>
      <c r="J237" s="18">
        <v>9225.01</v>
      </c>
      <c r="K237" s="18">
        <v>8055.31</v>
      </c>
      <c r="L237" s="13">
        <f>SUM(F237:K237)</f>
        <v>116339.69999999998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108800.02</v>
      </c>
      <c r="G239" s="18">
        <v>69736.33</v>
      </c>
      <c r="H239" s="18">
        <v>53188.24</v>
      </c>
      <c r="I239" s="18">
        <v>2719.42</v>
      </c>
      <c r="J239" s="18">
        <v>63.17</v>
      </c>
      <c r="K239" s="18"/>
      <c r="L239" s="13">
        <f t="shared" ref="L239:L245" si="4">SUM(F239:K239)</f>
        <v>234507.18000000002</v>
      </c>
      <c r="M239" s="8"/>
      <c r="N239" s="165"/>
    </row>
    <row r="240" spans="1:14" s="3" customFormat="1" ht="12.2" customHeight="1" x14ac:dyDescent="0.15">
      <c r="A240" s="1" t="s">
        <v>443</v>
      </c>
      <c r="B240" s="2" t="s">
        <v>350</v>
      </c>
      <c r="C240" s="2" t="s">
        <v>295</v>
      </c>
      <c r="D240" s="2" t="s">
        <v>431</v>
      </c>
      <c r="E240" s="6">
        <v>2200</v>
      </c>
      <c r="F240" s="18">
        <v>84741.91</v>
      </c>
      <c r="G240" s="18">
        <v>57320.05</v>
      </c>
      <c r="H240" s="18">
        <v>0</v>
      </c>
      <c r="I240" s="18">
        <v>3421.21</v>
      </c>
      <c r="J240" s="18"/>
      <c r="K240" s="18">
        <v>14758.75</v>
      </c>
      <c r="L240" s="13">
        <f t="shared" si="4"/>
        <v>160241.92000000001</v>
      </c>
      <c r="M240" s="8"/>
      <c r="N240" s="165"/>
    </row>
    <row r="241" spans="1:14" s="3" customFormat="1" ht="12.2" customHeight="1" x14ac:dyDescent="0.15">
      <c r="A241" s="1" t="s">
        <v>444</v>
      </c>
      <c r="B241" s="2" t="s">
        <v>350</v>
      </c>
      <c r="C241" s="2" t="s">
        <v>296</v>
      </c>
      <c r="D241" s="2" t="s">
        <v>431</v>
      </c>
      <c r="E241" s="6">
        <v>2300</v>
      </c>
      <c r="F241" s="18">
        <v>5739.66</v>
      </c>
      <c r="G241" s="18">
        <v>442.62</v>
      </c>
      <c r="H241" s="18">
        <v>233270.74</v>
      </c>
      <c r="I241" s="18"/>
      <c r="J241" s="18"/>
      <c r="K241" s="18">
        <v>7101.35</v>
      </c>
      <c r="L241" s="13">
        <f t="shared" si="4"/>
        <v>246554.37</v>
      </c>
      <c r="M241" s="8"/>
      <c r="N241" s="165"/>
    </row>
    <row r="242" spans="1:14" s="3" customFormat="1" ht="12.2" customHeight="1" x14ac:dyDescent="0.15">
      <c r="A242" s="1" t="s">
        <v>445</v>
      </c>
      <c r="B242" s="2" t="s">
        <v>350</v>
      </c>
      <c r="C242" s="2" t="s">
        <v>297</v>
      </c>
      <c r="D242" s="2" t="s">
        <v>431</v>
      </c>
      <c r="E242" s="6">
        <v>2400</v>
      </c>
      <c r="F242" s="18">
        <v>163843.09</v>
      </c>
      <c r="G242" s="18">
        <v>75996.41</v>
      </c>
      <c r="H242" s="18">
        <v>39044.050000000003</v>
      </c>
      <c r="I242" s="18">
        <v>9237.7900000000009</v>
      </c>
      <c r="J242" s="18"/>
      <c r="K242" s="18">
        <v>3779.69</v>
      </c>
      <c r="L242" s="13">
        <f t="shared" si="4"/>
        <v>291901.02999999997</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v>82425.570000000007</v>
      </c>
      <c r="G244" s="18">
        <v>24101.84</v>
      </c>
      <c r="H244" s="18">
        <v>88893.4</v>
      </c>
      <c r="I244" s="18">
        <v>106973.08</v>
      </c>
      <c r="J244" s="18">
        <v>1587.27</v>
      </c>
      <c r="K244" s="18"/>
      <c r="L244" s="13">
        <f t="shared" si="4"/>
        <v>303981.16000000003</v>
      </c>
      <c r="M244" s="8"/>
      <c r="N244" s="165"/>
    </row>
    <row r="245" spans="1:14" s="3" customFormat="1" ht="12.2" customHeight="1" x14ac:dyDescent="0.15">
      <c r="A245" s="1" t="s">
        <v>448</v>
      </c>
      <c r="B245" s="2" t="s">
        <v>350</v>
      </c>
      <c r="C245" s="2" t="s">
        <v>300</v>
      </c>
      <c r="D245" s="2" t="s">
        <v>431</v>
      </c>
      <c r="E245" s="6">
        <v>2700</v>
      </c>
      <c r="F245" s="18">
        <v>4051.13</v>
      </c>
      <c r="G245" s="18">
        <v>914.87</v>
      </c>
      <c r="H245" s="18">
        <v>92270.75</v>
      </c>
      <c r="I245" s="18">
        <v>2043.47</v>
      </c>
      <c r="J245" s="18"/>
      <c r="K245" s="18"/>
      <c r="L245" s="13">
        <f t="shared" si="4"/>
        <v>99280.22</v>
      </c>
      <c r="M245" s="8"/>
      <c r="N245" s="165"/>
    </row>
    <row r="246" spans="1:14" s="3" customFormat="1" ht="12.2" customHeight="1" x14ac:dyDescent="0.15">
      <c r="A246" s="1" t="s">
        <v>449</v>
      </c>
      <c r="B246" s="2" t="s">
        <v>350</v>
      </c>
      <c r="C246" s="2" t="s">
        <v>343</v>
      </c>
      <c r="D246" s="2" t="s">
        <v>431</v>
      </c>
      <c r="E246" s="6">
        <v>2800</v>
      </c>
      <c r="F246" s="18"/>
      <c r="G246" s="18"/>
      <c r="H246" s="18">
        <v>1150.26</v>
      </c>
      <c r="I246" s="18">
        <v>8532.98</v>
      </c>
      <c r="J246" s="18">
        <v>17529.53</v>
      </c>
      <c r="K246" s="18"/>
      <c r="L246" s="13">
        <f>SUM(F246:K246)</f>
        <v>27212.769999999997</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1834674.2499999998</v>
      </c>
      <c r="G248" s="38">
        <f t="shared" si="5"/>
        <v>952915.56</v>
      </c>
      <c r="H248" s="38">
        <f t="shared" si="5"/>
        <v>750370.06000000017</v>
      </c>
      <c r="I248" s="38">
        <f t="shared" si="5"/>
        <v>168810.22000000003</v>
      </c>
      <c r="J248" s="38">
        <f t="shared" si="5"/>
        <v>33079.17</v>
      </c>
      <c r="K248" s="38">
        <f t="shared" si="5"/>
        <v>33695.100000000006</v>
      </c>
      <c r="L248" s="38">
        <f t="shared" si="5"/>
        <v>3773544.3600000003</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2747087.4399999995</v>
      </c>
      <c r="G258" s="38">
        <f t="shared" si="8"/>
        <v>1403059.2400000002</v>
      </c>
      <c r="H258" s="38">
        <f t="shared" si="8"/>
        <v>1038752.8800000001</v>
      </c>
      <c r="I258" s="38">
        <f t="shared" si="8"/>
        <v>257874.30000000005</v>
      </c>
      <c r="J258" s="38">
        <f t="shared" si="8"/>
        <v>50946.729999999996</v>
      </c>
      <c r="K258" s="38">
        <f t="shared" si="8"/>
        <v>51009.260000000009</v>
      </c>
      <c r="L258" s="38">
        <f t="shared" si="8"/>
        <v>5548729.8500000006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645000</v>
      </c>
      <c r="L261" s="13">
        <f>SUM(F261:K261)</f>
        <v>645000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91806.26</v>
      </c>
      <c r="L262" s="13">
        <f>SUM(F262:K262)</f>
        <v>91806.26</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20921.099999999999</v>
      </c>
      <c r="L264" s="13">
        <f>SUM(F264:K264)</f>
        <v>20921.099999999999</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12625</v>
      </c>
      <c r="L269" s="13">
        <f t="shared" si="9"/>
        <v>12625</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770352.36</v>
      </c>
      <c r="L271" s="38">
        <f t="shared" si="9"/>
        <v>770352.36</v>
      </c>
      <c r="M271" s="8"/>
      <c r="N271" s="165"/>
    </row>
    <row r="272" spans="1:14" s="33" customFormat="1" ht="12.2" customHeight="1" thickTop="1" x14ac:dyDescent="0.2">
      <c r="A272" s="40" t="s">
        <v>464</v>
      </c>
      <c r="B272" s="37">
        <v>10</v>
      </c>
      <c r="C272" s="37">
        <v>18</v>
      </c>
      <c r="D272" s="36" t="s">
        <v>431</v>
      </c>
      <c r="E272" s="37"/>
      <c r="F272" s="39">
        <f t="shared" ref="F272:L272" si="11">F258+F271</f>
        <v>2747087.4399999995</v>
      </c>
      <c r="G272" s="39">
        <f t="shared" si="11"/>
        <v>1403059.2400000002</v>
      </c>
      <c r="H272" s="39">
        <f t="shared" si="11"/>
        <v>1038752.8800000001</v>
      </c>
      <c r="I272" s="39">
        <f t="shared" si="11"/>
        <v>257874.30000000005</v>
      </c>
      <c r="J272" s="39">
        <f t="shared" si="11"/>
        <v>50946.729999999996</v>
      </c>
      <c r="K272" s="39">
        <f t="shared" si="11"/>
        <v>821361.62</v>
      </c>
      <c r="L272" s="39">
        <f t="shared" si="11"/>
        <v>6319082.2100000009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59004.12</v>
      </c>
      <c r="G296" s="18">
        <v>2311.2399999999998</v>
      </c>
      <c r="H296" s="18">
        <v>2059.64</v>
      </c>
      <c r="I296" s="18">
        <f>1423.04+333.64</f>
        <v>1756.6799999999998</v>
      </c>
      <c r="J296" s="18"/>
      <c r="K296" s="18"/>
      <c r="L296" s="13">
        <f>SUM(F296:K296)</f>
        <v>65131.68</v>
      </c>
      <c r="M296" s="8"/>
      <c r="N296" s="165"/>
    </row>
    <row r="297" spans="1:14" s="3" customFormat="1" ht="12.2" customHeight="1" x14ac:dyDescent="0.15">
      <c r="A297" s="1" t="s">
        <v>439</v>
      </c>
      <c r="B297" s="2" t="s">
        <v>358</v>
      </c>
      <c r="C297" s="2" t="s">
        <v>291</v>
      </c>
      <c r="D297" s="2" t="s">
        <v>431</v>
      </c>
      <c r="E297" s="6">
        <v>1200</v>
      </c>
      <c r="F297" s="18">
        <v>7195.37</v>
      </c>
      <c r="G297" s="18">
        <v>1879.9</v>
      </c>
      <c r="H297" s="18"/>
      <c r="I297" s="18"/>
      <c r="J297" s="18"/>
      <c r="K297" s="18"/>
      <c r="L297" s="13">
        <f>SUM(F297:K297)</f>
        <v>9075.27</v>
      </c>
      <c r="M297" s="8"/>
      <c r="N297" s="165"/>
    </row>
    <row r="298" spans="1:14" s="3" customFormat="1" ht="12.2" customHeight="1" x14ac:dyDescent="0.15">
      <c r="A298" s="1" t="s">
        <v>440</v>
      </c>
      <c r="B298" s="2" t="s">
        <v>358</v>
      </c>
      <c r="C298" s="2" t="s">
        <v>292</v>
      </c>
      <c r="D298" s="2" t="s">
        <v>431</v>
      </c>
      <c r="E298" s="6">
        <v>1300</v>
      </c>
      <c r="F298" s="18">
        <v>490.7</v>
      </c>
      <c r="G298" s="18">
        <v>140.68</v>
      </c>
      <c r="H298" s="18"/>
      <c r="I298" s="18"/>
      <c r="J298" s="18"/>
      <c r="K298" s="18"/>
      <c r="L298" s="13">
        <f>SUM(F298:K298)</f>
        <v>631.38</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964.19</v>
      </c>
      <c r="G301" s="18">
        <v>197.54</v>
      </c>
      <c r="H301" s="18"/>
      <c r="I301" s="18"/>
      <c r="J301" s="18"/>
      <c r="K301" s="18"/>
      <c r="L301" s="13">
        <f t="shared" ref="L301:L307" si="14">SUM(F301:K301)</f>
        <v>1161.73</v>
      </c>
      <c r="M301" s="8"/>
      <c r="N301" s="165"/>
    </row>
    <row r="302" spans="1:14" s="3" customFormat="1" ht="12.2" customHeight="1" x14ac:dyDescent="0.15">
      <c r="A302" s="1" t="s">
        <v>443</v>
      </c>
      <c r="B302" s="2" t="s">
        <v>358</v>
      </c>
      <c r="C302" s="2" t="s">
        <v>295</v>
      </c>
      <c r="D302" s="2" t="s">
        <v>431</v>
      </c>
      <c r="E302" s="6">
        <v>2200</v>
      </c>
      <c r="F302" s="18">
        <v>245.35</v>
      </c>
      <c r="G302" s="18">
        <v>70.34</v>
      </c>
      <c r="H302" s="18">
        <v>696.5</v>
      </c>
      <c r="I302" s="18"/>
      <c r="J302" s="18"/>
      <c r="K302" s="18"/>
      <c r="L302" s="13">
        <f t="shared" si="14"/>
        <v>1012.19</v>
      </c>
      <c r="M302" s="8"/>
      <c r="N302" s="165"/>
    </row>
    <row r="303" spans="1:14" s="3" customFormat="1" ht="12.2" customHeight="1" x14ac:dyDescent="0.15">
      <c r="A303" s="1" t="s">
        <v>444</v>
      </c>
      <c r="B303" s="2" t="s">
        <v>358</v>
      </c>
      <c r="C303" s="2" t="s">
        <v>296</v>
      </c>
      <c r="D303" s="2" t="s">
        <v>431</v>
      </c>
      <c r="E303" s="6">
        <v>2300</v>
      </c>
      <c r="F303" s="18"/>
      <c r="G303" s="18"/>
      <c r="H303" s="18"/>
      <c r="I303" s="18">
        <f>262.5</f>
        <v>262.5</v>
      </c>
      <c r="J303" s="18"/>
      <c r="K303" s="18">
        <v>2534.75</v>
      </c>
      <c r="L303" s="13">
        <f t="shared" si="14"/>
        <v>2797.25</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67899.73000000001</v>
      </c>
      <c r="G310" s="39">
        <f t="shared" si="15"/>
        <v>4599.7</v>
      </c>
      <c r="H310" s="39">
        <f t="shared" si="15"/>
        <v>2756.14</v>
      </c>
      <c r="I310" s="39">
        <f t="shared" si="15"/>
        <v>2019.1799999999998</v>
      </c>
      <c r="J310" s="39">
        <f t="shared" si="15"/>
        <v>0</v>
      </c>
      <c r="K310" s="39">
        <f t="shared" si="15"/>
        <v>2534.75</v>
      </c>
      <c r="L310" s="38">
        <f t="shared" si="15"/>
        <v>79809.5</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25863.599999999999</v>
      </c>
      <c r="G315" s="18">
        <v>7298.38</v>
      </c>
      <c r="H315" s="18"/>
      <c r="I315" s="18">
        <f>3827.02+2642.85+619.61</f>
        <v>7089.48</v>
      </c>
      <c r="J315" s="18"/>
      <c r="K315" s="18"/>
      <c r="L315" s="13">
        <f>SUM(F315:K315)</f>
        <v>40251.459999999992</v>
      </c>
      <c r="M315" s="8"/>
      <c r="N315" s="165"/>
    </row>
    <row r="316" spans="1:14" s="3" customFormat="1" ht="12.2" customHeight="1" x14ac:dyDescent="0.15">
      <c r="A316" s="1" t="s">
        <v>439</v>
      </c>
      <c r="B316" s="2" t="s">
        <v>359</v>
      </c>
      <c r="C316" s="2" t="s">
        <v>291</v>
      </c>
      <c r="D316" s="2" t="s">
        <v>431</v>
      </c>
      <c r="E316" s="6">
        <v>1200</v>
      </c>
      <c r="F316" s="18">
        <f>58025.07+1280</f>
        <v>59305.07</v>
      </c>
      <c r="G316" s="18">
        <v>5586.2</v>
      </c>
      <c r="H316" s="18"/>
      <c r="I316" s="18"/>
      <c r="J316" s="18"/>
      <c r="K316" s="18"/>
      <c r="L316" s="13">
        <f>SUM(F316:K316)</f>
        <v>64891.27</v>
      </c>
      <c r="M316" s="8"/>
      <c r="N316" s="165"/>
    </row>
    <row r="317" spans="1:14" s="3" customFormat="1" ht="12.2" customHeight="1" x14ac:dyDescent="0.15">
      <c r="A317" s="1" t="s">
        <v>440</v>
      </c>
      <c r="B317" s="2" t="s">
        <v>359</v>
      </c>
      <c r="C317" s="2" t="s">
        <v>292</v>
      </c>
      <c r="D317" s="2" t="s">
        <v>431</v>
      </c>
      <c r="E317" s="6">
        <v>1300</v>
      </c>
      <c r="F317" s="18">
        <v>911.3</v>
      </c>
      <c r="G317" s="18">
        <v>261.27</v>
      </c>
      <c r="H317" s="18"/>
      <c r="I317" s="18"/>
      <c r="J317" s="18"/>
      <c r="K317" s="18"/>
      <c r="L317" s="13">
        <f>SUM(F317:K317)</f>
        <v>1172.57</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v>1000</v>
      </c>
      <c r="L318" s="13">
        <f>SUM(F318:K318)</f>
        <v>1000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1268.81</v>
      </c>
      <c r="G320" s="18">
        <v>267.98</v>
      </c>
      <c r="H320" s="18"/>
      <c r="I320" s="18"/>
      <c r="J320" s="18"/>
      <c r="K320" s="18"/>
      <c r="L320" s="13">
        <f t="shared" ref="L320:L326" si="16">SUM(F320:K320)</f>
        <v>1536.79</v>
      </c>
      <c r="M320" s="8"/>
      <c r="N320" s="165"/>
    </row>
    <row r="321" spans="1:14" s="3" customFormat="1" ht="12.2" customHeight="1" x14ac:dyDescent="0.15">
      <c r="A321" s="1" t="s">
        <v>443</v>
      </c>
      <c r="B321" s="2" t="s">
        <v>359</v>
      </c>
      <c r="C321" s="2" t="s">
        <v>295</v>
      </c>
      <c r="D321" s="2" t="s">
        <v>431</v>
      </c>
      <c r="E321" s="6">
        <v>2200</v>
      </c>
      <c r="F321" s="18">
        <v>455.65</v>
      </c>
      <c r="G321" s="18">
        <v>134.47</v>
      </c>
      <c r="H321" s="18">
        <v>1293.5</v>
      </c>
      <c r="I321" s="18"/>
      <c r="J321" s="18"/>
      <c r="K321" s="18"/>
      <c r="L321" s="13">
        <f t="shared" si="16"/>
        <v>1883.62</v>
      </c>
      <c r="M321" s="8"/>
      <c r="N321" s="165"/>
    </row>
    <row r="322" spans="1:14" s="3" customFormat="1" ht="12.2" customHeight="1" x14ac:dyDescent="0.15">
      <c r="A322" s="1" t="s">
        <v>444</v>
      </c>
      <c r="B322" s="2" t="s">
        <v>359</v>
      </c>
      <c r="C322" s="2" t="s">
        <v>296</v>
      </c>
      <c r="D322" s="2" t="s">
        <v>431</v>
      </c>
      <c r="E322" s="6">
        <v>2300</v>
      </c>
      <c r="F322" s="18"/>
      <c r="G322" s="18"/>
      <c r="H322" s="18"/>
      <c r="I322" s="18">
        <v>487.5</v>
      </c>
      <c r="J322" s="18"/>
      <c r="K322" s="18">
        <v>3426.54</v>
      </c>
      <c r="L322" s="13">
        <f t="shared" si="16"/>
        <v>3914.04</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250</v>
      </c>
      <c r="I325" s="18"/>
      <c r="J325" s="18"/>
      <c r="K325" s="18"/>
      <c r="L325" s="13">
        <f t="shared" si="16"/>
        <v>250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87804.43</v>
      </c>
      <c r="G329" s="39">
        <f t="shared" si="17"/>
        <v>13548.3</v>
      </c>
      <c r="H329" s="39">
        <f t="shared" si="17"/>
        <v>1543.5</v>
      </c>
      <c r="I329" s="39">
        <f t="shared" si="17"/>
        <v>7576.98</v>
      </c>
      <c r="J329" s="39">
        <f t="shared" si="17"/>
        <v>0</v>
      </c>
      <c r="K329" s="39">
        <f t="shared" si="17"/>
        <v>4426.54</v>
      </c>
      <c r="L329" s="38">
        <f t="shared" si="17"/>
        <v>114899.74999999997</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v>1289.99</v>
      </c>
      <c r="J337" s="18"/>
      <c r="K337" s="18"/>
      <c r="L337" s="13">
        <f t="shared" si="18"/>
        <v>1289.99</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1289.99</v>
      </c>
      <c r="J338" s="38">
        <f t="shared" si="19"/>
        <v>0</v>
      </c>
      <c r="K338" s="38">
        <f t="shared" si="19"/>
        <v>0</v>
      </c>
      <c r="L338" s="38">
        <f t="shared" si="18"/>
        <v>1289.99</v>
      </c>
      <c r="M338" s="8"/>
      <c r="N338" s="165"/>
    </row>
    <row r="339" spans="1:43" s="3" customFormat="1" ht="12.2" customHeight="1" thickTop="1" x14ac:dyDescent="0.15">
      <c r="A339" s="35" t="s">
        <v>468</v>
      </c>
      <c r="B339" s="37">
        <v>14</v>
      </c>
      <c r="C339" s="37">
        <v>7</v>
      </c>
      <c r="D339" s="36" t="s">
        <v>431</v>
      </c>
      <c r="E339" s="37"/>
      <c r="F339" s="38">
        <f t="shared" ref="F339:L339" si="20">F291+F310+F329+F338</f>
        <v>155704.16</v>
      </c>
      <c r="G339" s="38">
        <f t="shared" si="20"/>
        <v>18148</v>
      </c>
      <c r="H339" s="38">
        <f t="shared" si="20"/>
        <v>4299.6399999999994</v>
      </c>
      <c r="I339" s="38">
        <f t="shared" si="20"/>
        <v>10886.15</v>
      </c>
      <c r="J339" s="38">
        <f t="shared" si="20"/>
        <v>0</v>
      </c>
      <c r="K339" s="38">
        <f t="shared" si="20"/>
        <v>6961.29</v>
      </c>
      <c r="L339" s="38">
        <f t="shared" si="20"/>
        <v>195999.23999999996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155704.16</v>
      </c>
      <c r="G353" s="38">
        <f>G339</f>
        <v>18148</v>
      </c>
      <c r="H353" s="38">
        <f>H339</f>
        <v>4299.6399999999994</v>
      </c>
      <c r="I353" s="38">
        <f>I339</f>
        <v>10886.15</v>
      </c>
      <c r="J353" s="38">
        <f>J339</f>
        <v>0</v>
      </c>
      <c r="K353" s="38">
        <f>K339+K352</f>
        <v>6961.29</v>
      </c>
      <c r="L353" s="38">
        <f>L339+L352</f>
        <v>195999.23999999996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v>31725</v>
      </c>
      <c r="I360" s="18">
        <f>0.35*61274</f>
        <v>21445.899999999998</v>
      </c>
      <c r="J360" s="18"/>
      <c r="K360" s="18"/>
      <c r="L360" s="13">
        <f>SUM(F360:K360)</f>
        <v>53170.899999999994</v>
      </c>
      <c r="M360" s="8"/>
      <c r="N360" s="165"/>
    </row>
    <row r="361" spans="1:22" s="3" customFormat="1" ht="12.2" customHeight="1" x14ac:dyDescent="0.15">
      <c r="A361" s="3" t="s">
        <v>543</v>
      </c>
      <c r="B361" s="2" t="s">
        <v>366</v>
      </c>
      <c r="C361" s="6">
        <v>3</v>
      </c>
      <c r="D361" s="2" t="s">
        <v>431</v>
      </c>
      <c r="E361" s="6"/>
      <c r="F361" s="18"/>
      <c r="G361" s="18"/>
      <c r="H361" s="18">
        <v>55088.08</v>
      </c>
      <c r="I361" s="18">
        <f>0.65*61274</f>
        <v>39828.1</v>
      </c>
      <c r="J361" s="18"/>
      <c r="K361" s="18"/>
      <c r="L361" s="13">
        <f>SUM(F361:K361)</f>
        <v>94916.18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86813.08</v>
      </c>
      <c r="I363" s="38">
        <f t="shared" si="22"/>
        <v>61274</v>
      </c>
      <c r="J363" s="38">
        <f t="shared" si="22"/>
        <v>0</v>
      </c>
      <c r="K363" s="38">
        <f t="shared" si="22"/>
        <v>0</v>
      </c>
      <c r="L363" s="38">
        <f t="shared" si="22"/>
        <v>148087.07999999999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f>0.35*55872</f>
        <v>19555.199999999997</v>
      </c>
      <c r="H368" s="18">
        <f>0.65*55872</f>
        <v>36316.800000000003</v>
      </c>
      <c r="I368" s="13">
        <f>SUM(F368:H368)</f>
        <v>55872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f>0.35*5402</f>
        <v>1890.6999999999998</v>
      </c>
      <c r="H369" s="53">
        <f>0.65*5402</f>
        <v>3511.3</v>
      </c>
      <c r="I369" s="13">
        <f>SUM(F369:H369)</f>
        <v>5402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21445.899999999998</v>
      </c>
      <c r="H370" s="38">
        <f>SUM(H368:H369)</f>
        <v>39828.100000000006</v>
      </c>
      <c r="I370" s="38">
        <f>SUM(I368:I369)</f>
        <v>61274</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f>1930.15+2752.96</f>
        <v>4683.1100000000006</v>
      </c>
      <c r="I397" s="18"/>
      <c r="J397" s="23" t="s">
        <v>288</v>
      </c>
      <c r="K397" s="23" t="s">
        <v>288</v>
      </c>
      <c r="L397" s="13">
        <f t="shared" si="26"/>
        <v>4683.1100000000006</v>
      </c>
      <c r="M397" s="8"/>
      <c r="N397" s="165"/>
    </row>
    <row r="398" spans="1:14" s="3" customFormat="1" ht="12.2" customHeight="1" x14ac:dyDescent="0.15">
      <c r="A398" s="62" t="s">
        <v>515</v>
      </c>
      <c r="B398" s="2" t="s">
        <v>381</v>
      </c>
      <c r="C398" s="6">
        <v>10</v>
      </c>
      <c r="D398" s="2" t="s">
        <v>432</v>
      </c>
      <c r="E398" s="6"/>
      <c r="F398" s="18"/>
      <c r="G398" s="18"/>
      <c r="H398" s="18">
        <f>3229.03+4605.55</f>
        <v>7834.58</v>
      </c>
      <c r="I398" s="18"/>
      <c r="J398" s="23" t="s">
        <v>288</v>
      </c>
      <c r="K398" s="23" t="s">
        <v>288</v>
      </c>
      <c r="L398" s="13">
        <f t="shared" si="26"/>
        <v>7834.58</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f>1062.19+1514.98</f>
        <v>2577.17</v>
      </c>
      <c r="I400" s="18"/>
      <c r="J400" s="23" t="s">
        <v>288</v>
      </c>
      <c r="K400" s="23" t="s">
        <v>288</v>
      </c>
      <c r="L400" s="13">
        <f t="shared" si="26"/>
        <v>2577.17</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15094.86</v>
      </c>
      <c r="I402" s="38">
        <f>SUM(I396:I401)</f>
        <v>0</v>
      </c>
      <c r="J402" s="42" t="s">
        <v>288</v>
      </c>
      <c r="K402" s="42" t="s">
        <v>288</v>
      </c>
      <c r="L402" s="38">
        <f>SUM(L396:L401)</f>
        <v>15094.86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15094.86</v>
      </c>
      <c r="I409" s="38">
        <f>I394+I402+I408</f>
        <v>0</v>
      </c>
      <c r="J409" s="23" t="s">
        <v>288</v>
      </c>
      <c r="K409" s="23" t="s">
        <v>288</v>
      </c>
      <c r="L409" s="38">
        <f>L394+L402+L408</f>
        <v>15094.86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690.62</v>
      </c>
      <c r="I423" s="18"/>
      <c r="J423" s="18"/>
      <c r="K423" s="18"/>
      <c r="L423" s="13">
        <f t="shared" si="29"/>
        <v>690.62</v>
      </c>
      <c r="M423" s="8"/>
      <c r="N423" s="165"/>
    </row>
    <row r="424" spans="1:21" s="3" customFormat="1" ht="12.2" customHeight="1" x14ac:dyDescent="0.15">
      <c r="A424" s="62" t="s">
        <v>515</v>
      </c>
      <c r="B424" s="6">
        <v>17</v>
      </c>
      <c r="C424" s="6">
        <v>10</v>
      </c>
      <c r="D424" s="2" t="s">
        <v>432</v>
      </c>
      <c r="E424" s="6"/>
      <c r="F424" s="18"/>
      <c r="G424" s="18"/>
      <c r="H424" s="18">
        <v>1155.3699999999999</v>
      </c>
      <c r="I424" s="18"/>
      <c r="J424" s="18"/>
      <c r="K424" s="18"/>
      <c r="L424" s="13">
        <f t="shared" si="29"/>
        <v>1155.3699999999999</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v>380.06</v>
      </c>
      <c r="I426" s="18"/>
      <c r="J426" s="18"/>
      <c r="K426" s="18"/>
      <c r="L426" s="13">
        <f t="shared" si="29"/>
        <v>380.06</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2226.0499999999997</v>
      </c>
      <c r="I428" s="38">
        <f t="shared" si="30"/>
        <v>0</v>
      </c>
      <c r="J428" s="38">
        <f t="shared" si="30"/>
        <v>0</v>
      </c>
      <c r="K428" s="38">
        <f t="shared" si="30"/>
        <v>0</v>
      </c>
      <c r="L428" s="38">
        <f t="shared" si="30"/>
        <v>2226.0499999999997</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2226.0499999999997</v>
      </c>
      <c r="I435" s="38">
        <f t="shared" si="32"/>
        <v>0</v>
      </c>
      <c r="J435" s="38">
        <f t="shared" si="32"/>
        <v>0</v>
      </c>
      <c r="K435" s="38">
        <f t="shared" si="32"/>
        <v>0</v>
      </c>
      <c r="L435" s="38">
        <f t="shared" si="32"/>
        <v>2226.0499999999997</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t="s">
        <v>286</v>
      </c>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454032.41</v>
      </c>
      <c r="H442" s="18"/>
      <c r="I442" s="13">
        <f t="shared" si="33"/>
        <v>454032.41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454032.41</v>
      </c>
      <c r="H447" s="13">
        <f>SUM(H440:H446)</f>
        <v>0</v>
      </c>
      <c r="I447" s="13">
        <f>SUM(I440:I446)</f>
        <v>454032.41</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v>454032.41</v>
      </c>
      <c r="H457" s="18"/>
      <c r="I457" s="13">
        <f t="shared" si="34"/>
        <v>454032.41</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454032.41</v>
      </c>
      <c r="H461" s="65">
        <f>SUM(H455:H460)</f>
        <v>0</v>
      </c>
      <c r="I461" s="65">
        <f>SUM(I455:I460)</f>
        <v>454032.41</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454032.41</v>
      </c>
      <c r="H462" s="39">
        <f>H453+H461</f>
        <v>0</v>
      </c>
      <c r="I462" s="39">
        <f>I453+I461</f>
        <v>454032.41</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637368</v>
      </c>
      <c r="G466" s="18"/>
      <c r="H466" s="18">
        <v>0</v>
      </c>
      <c r="I466" s="18"/>
      <c r="J466" s="18">
        <v>441163.6</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5908373.8700000001</v>
      </c>
      <c r="G469" s="18">
        <v>148087.07999999999</v>
      </c>
      <c r="H469" s="18">
        <v>208999.24</v>
      </c>
      <c r="I469" s="18"/>
      <c r="J469" s="18">
        <v>15094.86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5908373.8700000001</v>
      </c>
      <c r="G471" s="19">
        <f>SUM(G469:G470)</f>
        <v>148087.07999999999</v>
      </c>
      <c r="H471" s="19">
        <f>SUM(H469:H470)</f>
        <v>208999.24</v>
      </c>
      <c r="I471" s="19">
        <f>SUM(I469:I470)</f>
        <v>0</v>
      </c>
      <c r="J471" s="19">
        <f>SUM(J469:J470)</f>
        <v>15094.86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6319082.21</v>
      </c>
      <c r="G473" s="18">
        <v>148087.07999999999</v>
      </c>
      <c r="H473" s="18">
        <v>195999.24</v>
      </c>
      <c r="I473" s="18"/>
      <c r="J473" s="18">
        <v>2226.0500000000002</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6319082.21</v>
      </c>
      <c r="G475" s="19">
        <f>SUM(G473:G474)</f>
        <v>148087.07999999999</v>
      </c>
      <c r="H475" s="19">
        <f>SUM(H473:H474)</f>
        <v>195999.24</v>
      </c>
      <c r="I475" s="19">
        <f>SUM(I473:I474)</f>
        <v>0</v>
      </c>
      <c r="J475" s="19">
        <f>SUM(J473:J474)</f>
        <v>2226.0500000000002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226659.66000000015</v>
      </c>
      <c r="G477" s="19">
        <f>(G466+G471)- G475</f>
        <v>0</v>
      </c>
      <c r="H477" s="19">
        <f>(H466+H471)- H475</f>
        <v>13000</v>
      </c>
      <c r="I477" s="19">
        <f>(I466+I471)- I475</f>
        <v>0</v>
      </c>
      <c r="J477" s="19">
        <f>(J466+J471)- J475</f>
        <v>454032.41</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f>74936.69+6950.02+245.35</f>
        <v>82132.060000000012</v>
      </c>
      <c r="G523" s="18">
        <f>35889.65+1809.56+18.77+51.57</f>
        <v>37769.549999999996</v>
      </c>
      <c r="H523" s="18">
        <v>4101.2</v>
      </c>
      <c r="I523" s="18">
        <v>658.59</v>
      </c>
      <c r="J523" s="18"/>
      <c r="K523" s="18"/>
      <c r="L523" s="69">
        <f>SUM(F523:K523)</f>
        <v>124661.40000000001</v>
      </c>
      <c r="N523" s="131"/>
    </row>
    <row r="524" spans="1:14" ht="12.2" customHeight="1" thickBot="1" x14ac:dyDescent="0.25">
      <c r="A524" s="21" t="s">
        <v>635</v>
      </c>
      <c r="B524" s="22">
        <v>21</v>
      </c>
      <c r="C524" s="22">
        <v>3</v>
      </c>
      <c r="D524" s="2" t="s">
        <v>432</v>
      </c>
      <c r="E524" s="22"/>
      <c r="F524" s="18">
        <f>184993.68+58148.42+1156.65</f>
        <v>244298.74999999997</v>
      </c>
      <c r="G524" s="18">
        <f>127477.57+5254.6+88.47+243.13</f>
        <v>133063.77000000002</v>
      </c>
      <c r="H524" s="18">
        <f>1085.35+198993.29</f>
        <v>200078.64</v>
      </c>
      <c r="I524" s="18">
        <f>7924.74</f>
        <v>7924.74</v>
      </c>
      <c r="J524" s="18"/>
      <c r="K524" s="18"/>
      <c r="L524" s="69">
        <f>SUM(F524:K524)</f>
        <v>585365.9</v>
      </c>
      <c r="N524" s="131"/>
    </row>
    <row r="525" spans="1:14" ht="12.2" customHeight="1" thickTop="1" x14ac:dyDescent="0.2">
      <c r="A525" s="97" t="s">
        <v>63</v>
      </c>
      <c r="B525" s="41">
        <v>21</v>
      </c>
      <c r="C525" s="41">
        <v>4</v>
      </c>
      <c r="D525" s="115" t="s">
        <v>432</v>
      </c>
      <c r="E525" s="41"/>
      <c r="F525" s="81">
        <f>SUM(F522:F524)</f>
        <v>326430.81</v>
      </c>
      <c r="G525" s="81">
        <f t="shared" ref="G525:L525" si="36">SUM(G522:G524)</f>
        <v>170833.32</v>
      </c>
      <c r="H525" s="81">
        <f t="shared" si="36"/>
        <v>204179.84000000003</v>
      </c>
      <c r="I525" s="81">
        <f t="shared" si="36"/>
        <v>8583.33</v>
      </c>
      <c r="J525" s="81">
        <f t="shared" si="36"/>
        <v>0</v>
      </c>
      <c r="K525" s="81">
        <f t="shared" si="36"/>
        <v>0</v>
      </c>
      <c r="L525" s="70">
        <f t="shared" si="36"/>
        <v>710027.3</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f>70953+130+834.19</f>
        <v>71917.19</v>
      </c>
      <c r="G528" s="18">
        <f>45874.89+9.95+63.81+123.78</f>
        <v>46072.429999999993</v>
      </c>
      <c r="H528" s="18">
        <f>648.63+31682.14</f>
        <v>32330.77</v>
      </c>
      <c r="I528" s="18"/>
      <c r="J528" s="18">
        <v>34.020000000000003</v>
      </c>
      <c r="K528" s="18"/>
      <c r="L528" s="69">
        <f>SUM(F528:K528)</f>
        <v>150354.40999999997</v>
      </c>
      <c r="M528" s="8"/>
      <c r="N528" s="165"/>
    </row>
    <row r="529" spans="1:14" s="3" customFormat="1" ht="12.2" customHeight="1" thickBot="1" x14ac:dyDescent="0.2">
      <c r="A529" s="21" t="s">
        <v>635</v>
      </c>
      <c r="B529" s="22">
        <v>21</v>
      </c>
      <c r="C529" s="22">
        <v>7</v>
      </c>
      <c r="D529" s="2" t="s">
        <v>432</v>
      </c>
      <c r="E529" s="22"/>
      <c r="F529" s="18">
        <f>108800.02+1268.81</f>
        <v>110068.83</v>
      </c>
      <c r="G529" s="18">
        <f>69736.33+97.06+170.92</f>
        <v>70004.31</v>
      </c>
      <c r="H529" s="18">
        <f>1136.24+52052</f>
        <v>53188.24</v>
      </c>
      <c r="I529" s="18">
        <f>1950.47+768.95</f>
        <v>2719.42</v>
      </c>
      <c r="J529" s="18">
        <v>63.17</v>
      </c>
      <c r="K529" s="18"/>
      <c r="L529" s="69">
        <f>SUM(F529:K529)</f>
        <v>236043.97000000003</v>
      </c>
      <c r="M529" s="8"/>
      <c r="N529" s="165"/>
    </row>
    <row r="530" spans="1:14" s="3" customFormat="1" ht="12.2" customHeight="1" thickTop="1" x14ac:dyDescent="0.15">
      <c r="A530" s="97" t="s">
        <v>65</v>
      </c>
      <c r="B530" s="41">
        <v>21</v>
      </c>
      <c r="C530" s="41">
        <v>8</v>
      </c>
      <c r="D530" s="115" t="s">
        <v>432</v>
      </c>
      <c r="E530" s="41"/>
      <c r="F530" s="70">
        <f>SUM(F527:F529)</f>
        <v>181986.02000000002</v>
      </c>
      <c r="G530" s="70">
        <f t="shared" ref="G530:L530" si="37">SUM(G527:G529)</f>
        <v>116076.73999999999</v>
      </c>
      <c r="H530" s="70">
        <f t="shared" si="37"/>
        <v>85519.01</v>
      </c>
      <c r="I530" s="70">
        <f t="shared" si="37"/>
        <v>2719.42</v>
      </c>
      <c r="J530" s="70">
        <f t="shared" si="37"/>
        <v>97.19</v>
      </c>
      <c r="K530" s="70">
        <f t="shared" si="37"/>
        <v>0</v>
      </c>
      <c r="L530" s="70">
        <f t="shared" si="37"/>
        <v>386398.38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v>65.88</v>
      </c>
      <c r="I543" s="18"/>
      <c r="J543" s="18"/>
      <c r="K543" s="18"/>
      <c r="L543" s="69">
        <f>SUM(F543:K543)</f>
        <v>65.88</v>
      </c>
      <c r="M543" s="8"/>
      <c r="N543" s="165"/>
    </row>
    <row r="544" spans="1:14" s="3" customFormat="1" ht="12.2" customHeight="1" thickBot="1" x14ac:dyDescent="0.2">
      <c r="A544" s="21" t="s">
        <v>635</v>
      </c>
      <c r="B544" s="22">
        <v>21</v>
      </c>
      <c r="C544" s="22">
        <v>19</v>
      </c>
      <c r="D544" s="2" t="s">
        <v>432</v>
      </c>
      <c r="E544" s="22"/>
      <c r="F544" s="18"/>
      <c r="G544" s="18"/>
      <c r="H544" s="18">
        <v>38134.44</v>
      </c>
      <c r="I544" s="18"/>
      <c r="J544" s="18"/>
      <c r="K544" s="18"/>
      <c r="L544" s="69">
        <f>SUM(F544:K544)</f>
        <v>38134.44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38200.32</v>
      </c>
      <c r="I545" s="141">
        <f t="shared" si="40"/>
        <v>0</v>
      </c>
      <c r="J545" s="141">
        <f t="shared" si="40"/>
        <v>0</v>
      </c>
      <c r="K545" s="141">
        <f t="shared" si="40"/>
        <v>0</v>
      </c>
      <c r="L545" s="141">
        <f t="shared" si="40"/>
        <v>38200.32</v>
      </c>
      <c r="M545" s="8"/>
      <c r="N545" s="165"/>
    </row>
    <row r="546" spans="1:14" s="3" customFormat="1" ht="12.2" customHeight="1" thickTop="1" x14ac:dyDescent="0.15">
      <c r="A546" s="75" t="s">
        <v>72</v>
      </c>
      <c r="B546" s="41">
        <v>21</v>
      </c>
      <c r="C546" s="41">
        <v>21</v>
      </c>
      <c r="D546" s="115" t="s">
        <v>432</v>
      </c>
      <c r="E546" s="41"/>
      <c r="F546" s="70">
        <f>F525+F530+F535+F540+F545</f>
        <v>508416.83</v>
      </c>
      <c r="G546" s="70">
        <f t="shared" ref="G546:L546" si="41">G525+G530+G535+G540+G545</f>
        <v>286910.06</v>
      </c>
      <c r="H546" s="70">
        <f t="shared" si="41"/>
        <v>327899.17000000004</v>
      </c>
      <c r="I546" s="70">
        <f t="shared" si="41"/>
        <v>11302.75</v>
      </c>
      <c r="J546" s="70">
        <f t="shared" si="41"/>
        <v>97.19</v>
      </c>
      <c r="K546" s="70">
        <f t="shared" si="41"/>
        <v>0</v>
      </c>
      <c r="L546" s="70">
        <f t="shared" si="41"/>
        <v>1134626.0000000002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124661.40000000001</v>
      </c>
      <c r="G551" s="69">
        <f>L528</f>
        <v>150354.40999999997</v>
      </c>
      <c r="H551" s="69">
        <f>L533</f>
        <v>0</v>
      </c>
      <c r="I551" s="69">
        <f>L538</f>
        <v>0</v>
      </c>
      <c r="J551" s="69">
        <f>L543</f>
        <v>65.88</v>
      </c>
      <c r="K551" s="69">
        <f>SUM(F551:J551)</f>
        <v>275081.69</v>
      </c>
      <c r="L551" s="23" t="s">
        <v>288</v>
      </c>
      <c r="M551" s="8"/>
      <c r="N551" s="165"/>
    </row>
    <row r="552" spans="1:14" s="3" customFormat="1" ht="12.2" customHeight="1" thickBot="1" x14ac:dyDescent="0.2">
      <c r="A552" s="21" t="s">
        <v>635</v>
      </c>
      <c r="B552" s="22">
        <v>21</v>
      </c>
      <c r="C552" s="22">
        <v>24</v>
      </c>
      <c r="D552" s="2" t="s">
        <v>432</v>
      </c>
      <c r="E552" s="22"/>
      <c r="F552" s="69">
        <f>L524</f>
        <v>585365.9</v>
      </c>
      <c r="G552" s="69">
        <f>L529</f>
        <v>236043.97000000003</v>
      </c>
      <c r="H552" s="69">
        <f>L534</f>
        <v>0</v>
      </c>
      <c r="I552" s="69">
        <f>L539</f>
        <v>0</v>
      </c>
      <c r="J552" s="69">
        <f>L544</f>
        <v>38134.44</v>
      </c>
      <c r="K552" s="69">
        <f>SUM(F552:J552)</f>
        <v>859544.31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710027.3</v>
      </c>
      <c r="G553" s="70">
        <f t="shared" si="42"/>
        <v>386398.38</v>
      </c>
      <c r="H553" s="70">
        <f t="shared" si="42"/>
        <v>0</v>
      </c>
      <c r="I553" s="70">
        <f t="shared" si="42"/>
        <v>0</v>
      </c>
      <c r="J553" s="70">
        <f t="shared" si="42"/>
        <v>38200.32</v>
      </c>
      <c r="K553" s="70">
        <f t="shared" si="42"/>
        <v>1134626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198993.29</v>
      </c>
      <c r="I583" s="69">
        <f t="shared" si="47"/>
        <v>198993.29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18985.12</v>
      </c>
      <c r="I585" s="69">
        <f t="shared" si="47"/>
        <v>18985.12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c r="K592" s="80">
        <f t="shared" ref="K592:K598" si="48">SUM(H592:J592)</f>
        <v>0</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v>65.88</v>
      </c>
      <c r="J593" s="18">
        <v>38134.44</v>
      </c>
      <c r="K593" s="80">
        <f t="shared" si="48"/>
        <v>38200.32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v>12248.08</v>
      </c>
      <c r="J594" s="18">
        <v>22746.45</v>
      </c>
      <c r="K594" s="80">
        <f t="shared" si="48"/>
        <v>34994.53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2674.03</v>
      </c>
      <c r="J595" s="18">
        <v>4966</v>
      </c>
      <c r="K595" s="80">
        <f t="shared" si="48"/>
        <v>7640.0300000000007</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v>16955.939999999999</v>
      </c>
      <c r="J596" s="18">
        <v>30096.560000000001</v>
      </c>
      <c r="K596" s="80">
        <f t="shared" si="48"/>
        <v>47052.5</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f>696.4+1176.98</f>
        <v>1873.38</v>
      </c>
      <c r="J598" s="18">
        <f>1293.3+2043.47</f>
        <v>3336.77</v>
      </c>
      <c r="K598" s="80">
        <f t="shared" si="48"/>
        <v>5210.1499999999996</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33817.31</v>
      </c>
      <c r="J599" s="81">
        <f>SUM(J592:J598)</f>
        <v>99280.22</v>
      </c>
      <c r="K599" s="81">
        <f>SUM(K592:K598)</f>
        <v>133097.53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v>17867.560000000001</v>
      </c>
      <c r="J605" s="18">
        <v>33079.17</v>
      </c>
      <c r="K605" s="80">
        <f>SUM(H605:J605)</f>
        <v>50946.729999999996</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17867.560000000001</v>
      </c>
      <c r="J606" s="81">
        <f>SUM(J603:J605)</f>
        <v>33079.17</v>
      </c>
      <c r="K606" s="81">
        <f>SUM(K603:K605)</f>
        <v>50946.729999999996</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269513.06</v>
      </c>
      <c r="H618" s="80">
        <f>SUM(F52)</f>
        <v>269513.06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18282.759999999998</v>
      </c>
      <c r="H619" s="80">
        <f>SUM(G52)</f>
        <v>18282.759999999998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65329.88</v>
      </c>
      <c r="H620" s="80">
        <f>SUM(H52)</f>
        <v>65329.880000000005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454032.41</v>
      </c>
      <c r="H622" s="80">
        <f>SUM(J52)</f>
        <v>454032.41</v>
      </c>
      <c r="I622" s="87" t="s">
        <v>878</v>
      </c>
      <c r="J622" s="80">
        <f>G622-H622</f>
        <v>0</v>
      </c>
      <c r="K622" s="80"/>
      <c r="L622" s="80"/>
      <c r="M622" s="8"/>
    </row>
    <row r="623" spans="1:14" s="3" customFormat="1" ht="12.2" customHeight="1" x14ac:dyDescent="0.15">
      <c r="A623" s="74"/>
      <c r="B623" s="22"/>
      <c r="C623" s="22"/>
      <c r="D623" s="22"/>
      <c r="E623" s="22"/>
      <c r="F623" s="87" t="s">
        <v>864</v>
      </c>
      <c r="G623" s="80">
        <f>F51</f>
        <v>226659.66</v>
      </c>
      <c r="H623" s="80">
        <f>F477</f>
        <v>226659.66000000015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13000</v>
      </c>
      <c r="H625" s="80">
        <f>H477</f>
        <v>13000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454032.41</v>
      </c>
      <c r="H627" s="80">
        <f>J477</f>
        <v>454032.41</v>
      </c>
      <c r="I627" s="87" t="s">
        <v>105</v>
      </c>
      <c r="J627" s="80">
        <f t="shared" si="50"/>
        <v>0</v>
      </c>
      <c r="K627" s="67"/>
      <c r="L627" s="69"/>
      <c r="M627" s="8"/>
    </row>
    <row r="628" spans="1:13" s="3" customFormat="1" ht="12.2" customHeight="1" x14ac:dyDescent="0.15">
      <c r="A628" s="21"/>
      <c r="B628" s="22"/>
      <c r="C628" s="22"/>
      <c r="D628" s="22"/>
      <c r="E628" s="22"/>
      <c r="F628" s="86" t="s">
        <v>658</v>
      </c>
      <c r="G628" s="80">
        <f>F194</f>
        <v>5908373.8700000001</v>
      </c>
      <c r="H628" s="80">
        <f>SUM(F469)</f>
        <v>5908373.8700000001</v>
      </c>
      <c r="I628" s="87" t="s">
        <v>106</v>
      </c>
      <c r="J628" s="80">
        <f>G628-H628</f>
        <v>0</v>
      </c>
      <c r="K628" s="67"/>
      <c r="L628" s="69"/>
      <c r="M628" s="8"/>
    </row>
    <row r="629" spans="1:13" s="3" customFormat="1" ht="12.2" customHeight="1" x14ac:dyDescent="0.15">
      <c r="A629" s="21"/>
      <c r="B629" s="22"/>
      <c r="C629" s="22"/>
      <c r="D629" s="22"/>
      <c r="E629" s="22"/>
      <c r="F629" s="86" t="s">
        <v>659</v>
      </c>
      <c r="G629" s="80">
        <f>G194</f>
        <v>148087.07999999999</v>
      </c>
      <c r="H629" s="80">
        <f>SUM(G469)</f>
        <v>148087.07999999999</v>
      </c>
      <c r="I629" s="87" t="s">
        <v>107</v>
      </c>
      <c r="J629" s="80">
        <f>G629-H629</f>
        <v>0</v>
      </c>
      <c r="K629" s="67"/>
      <c r="L629" s="69"/>
      <c r="M629" s="8"/>
    </row>
    <row r="630" spans="1:13" s="3" customFormat="1" ht="12.2" customHeight="1" x14ac:dyDescent="0.15">
      <c r="A630" s="21"/>
      <c r="B630" s="22"/>
      <c r="C630" s="22"/>
      <c r="D630" s="22"/>
      <c r="E630" s="22"/>
      <c r="F630" s="86" t="s">
        <v>660</v>
      </c>
      <c r="G630" s="80">
        <f>H194</f>
        <v>208999.24</v>
      </c>
      <c r="H630" s="80">
        <f>SUM(H469)</f>
        <v>208999.24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15094.86</v>
      </c>
      <c r="H632" s="80">
        <f>SUM(J469)</f>
        <v>15094.86</v>
      </c>
      <c r="I632" s="87" t="s">
        <v>110</v>
      </c>
      <c r="J632" s="80">
        <f>G632-H632</f>
        <v>0</v>
      </c>
      <c r="K632" s="67"/>
      <c r="L632" s="69"/>
      <c r="M632" s="8"/>
    </row>
    <row r="633" spans="1:13" s="3" customFormat="1" ht="12.2" customHeight="1" x14ac:dyDescent="0.15">
      <c r="A633" s="21"/>
      <c r="B633" s="22"/>
      <c r="C633" s="22"/>
      <c r="D633" s="22"/>
      <c r="E633" s="22"/>
      <c r="F633" s="86" t="s">
        <v>394</v>
      </c>
      <c r="G633" s="80">
        <f>SUM(L272)</f>
        <v>6319082.2100000009</v>
      </c>
      <c r="H633" s="80">
        <f>SUM(F473)</f>
        <v>6319082.21</v>
      </c>
      <c r="I633" s="87" t="s">
        <v>111</v>
      </c>
      <c r="J633" s="80">
        <f t="shared" si="50"/>
        <v>0</v>
      </c>
      <c r="K633" s="67"/>
      <c r="L633" s="69"/>
      <c r="M633" s="8"/>
    </row>
    <row r="634" spans="1:13" s="3" customFormat="1" ht="12.2" customHeight="1" x14ac:dyDescent="0.15">
      <c r="A634" s="21"/>
      <c r="B634" s="22"/>
      <c r="C634" s="22"/>
      <c r="D634" s="22"/>
      <c r="E634" s="22"/>
      <c r="F634" s="86" t="s">
        <v>395</v>
      </c>
      <c r="G634" s="80">
        <f>SUM(L353)</f>
        <v>195999.23999999996</v>
      </c>
      <c r="H634" s="80">
        <f>SUM(H473)</f>
        <v>195999.24</v>
      </c>
      <c r="I634" s="87" t="s">
        <v>112</v>
      </c>
      <c r="J634" s="80">
        <f>G634-H634</f>
        <v>0</v>
      </c>
      <c r="K634" s="67"/>
      <c r="L634" s="69"/>
      <c r="M634" s="8"/>
    </row>
    <row r="635" spans="1:13" s="124" customFormat="1" ht="12.2" customHeight="1" x14ac:dyDescent="0.15">
      <c r="A635" s="21"/>
      <c r="B635" s="22"/>
      <c r="C635" s="22"/>
      <c r="D635" s="22"/>
      <c r="E635" s="22"/>
      <c r="F635" s="99" t="s">
        <v>247</v>
      </c>
      <c r="G635" s="80">
        <f>I363</f>
        <v>61274</v>
      </c>
      <c r="H635" s="80">
        <f>I370</f>
        <v>61274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148087.07999999999</v>
      </c>
      <c r="H636" s="80">
        <f>SUM(G473)</f>
        <v>148087.07999999999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15094.86</v>
      </c>
      <c r="H638" s="108">
        <f>SUM(J469)</f>
        <v>15094.86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2226.0499999999997</v>
      </c>
      <c r="H639" s="108">
        <f>SUM(J473)</f>
        <v>2226.0500000000002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454032.41</v>
      </c>
      <c r="H641" s="80">
        <f>SUM(G462)</f>
        <v>454032.41</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454032.41</v>
      </c>
      <c r="H643" s="80">
        <f>SUM(I462)</f>
        <v>454032.41</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15094.86</v>
      </c>
      <c r="H645" s="80">
        <f>H409</f>
        <v>15094.86</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15094.86</v>
      </c>
      <c r="H647" s="80">
        <f>L409</f>
        <v>15094.86</v>
      </c>
      <c r="I647" s="87" t="s">
        <v>477</v>
      </c>
      <c r="J647" s="80">
        <f t="shared" si="50"/>
        <v>0</v>
      </c>
      <c r="K647" s="67"/>
      <c r="L647" s="69"/>
      <c r="M647" s="8"/>
    </row>
    <row r="648" spans="1:13" s="3" customFormat="1" ht="12.2" customHeight="1" x14ac:dyDescent="0.15">
      <c r="A648" s="21"/>
      <c r="B648" s="22"/>
      <c r="C648" s="22"/>
      <c r="D648" s="22"/>
      <c r="E648" s="22"/>
      <c r="F648" s="86" t="s">
        <v>51</v>
      </c>
      <c r="G648" s="80">
        <f>K599</f>
        <v>133097.53</v>
      </c>
      <c r="H648" s="80">
        <f>L209+L227+L245</f>
        <v>133097.53</v>
      </c>
      <c r="I648" s="87" t="s">
        <v>396</v>
      </c>
      <c r="J648" s="80">
        <f t="shared" si="50"/>
        <v>0</v>
      </c>
      <c r="K648" s="67"/>
      <c r="L648" s="69"/>
      <c r="M648" s="8"/>
    </row>
    <row r="649" spans="1:13" s="3" customFormat="1" ht="12.2" customHeight="1" x14ac:dyDescent="0.15">
      <c r="A649" s="21"/>
      <c r="B649" s="22"/>
      <c r="C649" s="22"/>
      <c r="D649" s="22"/>
      <c r="E649" s="22"/>
      <c r="F649" s="86" t="s">
        <v>52</v>
      </c>
      <c r="G649" s="80">
        <f>K606</f>
        <v>50946.729999999996</v>
      </c>
      <c r="H649" s="80">
        <f>(J258+J339)-(J256+J337)</f>
        <v>50946.729999999996</v>
      </c>
      <c r="I649" s="87" t="s">
        <v>699</v>
      </c>
      <c r="J649" s="80">
        <f t="shared" si="50"/>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0"/>
        <v>0</v>
      </c>
      <c r="K650" s="67"/>
      <c r="L650" s="69"/>
      <c r="M650" s="8"/>
    </row>
    <row r="651" spans="1:13" s="3" customFormat="1" ht="12.2" customHeight="1" x14ac:dyDescent="0.15">
      <c r="A651" s="21"/>
      <c r="B651" s="22"/>
      <c r="C651" s="22"/>
      <c r="D651" s="22"/>
      <c r="E651" s="22"/>
      <c r="F651" s="86" t="s">
        <v>392</v>
      </c>
      <c r="G651" s="80">
        <f>L227</f>
        <v>33817.31</v>
      </c>
      <c r="H651" s="80">
        <f>I599</f>
        <v>33817.31</v>
      </c>
      <c r="I651" s="87" t="s">
        <v>389</v>
      </c>
      <c r="J651" s="80">
        <f t="shared" si="50"/>
        <v>0</v>
      </c>
      <c r="K651" s="67"/>
      <c r="L651" s="69"/>
      <c r="M651" s="8"/>
    </row>
    <row r="652" spans="1:13" s="3" customFormat="1" ht="12.2" customHeight="1" x14ac:dyDescent="0.15">
      <c r="A652" s="21"/>
      <c r="B652" s="22"/>
      <c r="C652" s="22"/>
      <c r="D652" s="22"/>
      <c r="E652" s="22"/>
      <c r="F652" s="86" t="s">
        <v>393</v>
      </c>
      <c r="G652" s="80">
        <f>L245</f>
        <v>99280.22</v>
      </c>
      <c r="H652" s="80">
        <f>J599</f>
        <v>99280.22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20921.099999999999</v>
      </c>
      <c r="H653" s="80">
        <f>K264+K346</f>
        <v>20921.099999999999</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1908165.89</v>
      </c>
      <c r="H661" s="13">
        <f>(L248+L329+L361)</f>
        <v>3983360.2900000005</v>
      </c>
      <c r="I661" s="13">
        <f>SUM(F661:H661)</f>
        <v>5891526.1800000006</v>
      </c>
      <c r="J661" s="13"/>
      <c r="K661" s="13"/>
      <c r="L661" s="13"/>
      <c r="M661" s="9"/>
    </row>
    <row r="662" spans="1:13" s="3" customFormat="1" ht="12.2" customHeight="1" x14ac:dyDescent="0.2">
      <c r="A662" s="1" t="s">
        <v>127</v>
      </c>
      <c r="F662" s="13">
        <f>(L359/IF(SUM(L359:L361)=0,1,SUM(L359:L361))*(SUM(G97:G110)))</f>
        <v>0</v>
      </c>
      <c r="G662" s="13">
        <f>(L360/IF(SUM(L359:L361)=0,1,SUM(L359:L361))*(SUM(G97:G110)))</f>
        <v>26427.456533405883</v>
      </c>
      <c r="H662" s="13">
        <f>(L361/IF(SUM(L359:L361)=0,1,SUM(L359:L361))*(SUM(G97:G110)))</f>
        <v>47176.053466594109</v>
      </c>
      <c r="I662" s="13">
        <f>SUM(F662:H662)</f>
        <v>73603.509999999995</v>
      </c>
      <c r="J662"/>
      <c r="K662" s="13"/>
      <c r="L662" s="13"/>
      <c r="M662" s="8"/>
    </row>
    <row r="663" spans="1:13" s="3" customFormat="1" ht="12.2" customHeight="1" x14ac:dyDescent="0.2">
      <c r="A663" s="1" t="s">
        <v>128</v>
      </c>
      <c r="F663" s="13">
        <f>(L209+L288)-(J209+J288)</f>
        <v>0</v>
      </c>
      <c r="G663" s="13">
        <f>(L227+L307)-(J227+J307)</f>
        <v>33817.31</v>
      </c>
      <c r="H663" s="13">
        <f>(L245+L326)-(J245+J326)</f>
        <v>99280.22</v>
      </c>
      <c r="I663" s="13">
        <f>SUM(F663:H663)</f>
        <v>133097.53</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17867.560000000001</v>
      </c>
      <c r="H664" s="143">
        <f>SUM(H576:H588)+SUM(J603:J605)+L614</f>
        <v>251057.58000000002</v>
      </c>
      <c r="I664" s="13">
        <f>SUM(F664:H664)</f>
        <v>268925.14</v>
      </c>
      <c r="J664" s="13"/>
      <c r="K664" s="13"/>
      <c r="L664" s="13"/>
      <c r="M664" s="9"/>
    </row>
    <row r="665" spans="1:13" s="3" customFormat="1" ht="12.2" customHeight="1" x14ac:dyDescent="0.15">
      <c r="A665" s="1" t="s">
        <v>130</v>
      </c>
      <c r="F665" s="13">
        <f>F661-SUM(F662:F664)</f>
        <v>0</v>
      </c>
      <c r="G665" s="13">
        <f>G661-SUM(G662:G664)</f>
        <v>1830053.5634665941</v>
      </c>
      <c r="H665" s="13">
        <f>H661-SUM(H662:H664)</f>
        <v>3585846.4365334064</v>
      </c>
      <c r="I665" s="13">
        <f>I661-SUM(I662:I664)</f>
        <v>5415900.0000000009</v>
      </c>
      <c r="J665" s="13"/>
      <c r="K665" s="13"/>
      <c r="L665" s="13"/>
      <c r="M665" s="8"/>
    </row>
    <row r="666" spans="1:13" s="3" customFormat="1" ht="12.2" customHeight="1" x14ac:dyDescent="0.2">
      <c r="A666" s="1" t="s">
        <v>131</v>
      </c>
      <c r="F666" s="183"/>
      <c r="G666" s="184">
        <v>64.41</v>
      </c>
      <c r="H666" s="184">
        <v>137.11000000000001</v>
      </c>
      <c r="I666" s="13">
        <f>SUM(F666:H666)</f>
        <v>201.52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28412.57</v>
      </c>
      <c r="H668" s="13">
        <f>ROUND(H665/H666,2)</f>
        <v>26153.06</v>
      </c>
      <c r="I668" s="13">
        <f>ROUND(I665/I666,2)</f>
        <v>26875.25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-3.56</v>
      </c>
      <c r="I671" s="13">
        <f>SUM(F671:H671)</f>
        <v>-3.56</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28412.57</v>
      </c>
      <c r="H673" s="13">
        <f>ROUND((H665+H670)/(H666+H671),2)</f>
        <v>26850.22</v>
      </c>
      <c r="I673" s="13">
        <f>ROUND((I665+I670)/(I666+I671),2)</f>
        <v>27358.560000000001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2" sqref="H12"/>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ERROR: Sum of the 5 sub-totals do not equal total reported to the left!</v>
      </c>
    </row>
    <row r="8" spans="2:8" x14ac:dyDescent="0.25">
      <c r="B8" s="271"/>
      <c r="C8" s="271"/>
      <c r="D8" s="271"/>
      <c r="E8" s="271"/>
      <c r="F8" s="271"/>
    </row>
    <row r="9" spans="2:8" x14ac:dyDescent="0.25">
      <c r="B9" s="271"/>
      <c r="C9" s="272" t="s">
        <v>1620</v>
      </c>
      <c r="D9" s="272" t="s">
        <v>1633</v>
      </c>
      <c r="E9" s="260">
        <v>-1.98</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v>0</v>
      </c>
      <c r="F13" s="272" t="s">
        <v>1629</v>
      </c>
    </row>
    <row r="14" spans="2:8" x14ac:dyDescent="0.25">
      <c r="B14" s="271"/>
      <c r="C14" s="271"/>
      <c r="D14" s="272"/>
      <c r="E14" s="271"/>
      <c r="F14" s="271"/>
    </row>
    <row r="15" spans="2:8" x14ac:dyDescent="0.25">
      <c r="B15" s="271"/>
      <c r="C15" s="272" t="s">
        <v>1623</v>
      </c>
      <c r="D15" s="272" t="s">
        <v>1636</v>
      </c>
      <c r="E15" s="260">
        <v>0</v>
      </c>
      <c r="F15" s="272" t="s">
        <v>1630</v>
      </c>
    </row>
    <row r="16" spans="2:8" x14ac:dyDescent="0.25">
      <c r="B16" s="271"/>
      <c r="C16" s="271"/>
      <c r="D16" s="271"/>
      <c r="E16" s="271"/>
      <c r="F16" s="271"/>
    </row>
    <row r="17" spans="2:8" x14ac:dyDescent="0.25">
      <c r="B17" s="271"/>
      <c r="C17" s="272" t="s">
        <v>1622</v>
      </c>
      <c r="D17" s="272" t="s">
        <v>1637</v>
      </c>
      <c r="E17" s="260">
        <v>0</v>
      </c>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v>3409</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Profile</v>
      </c>
      <c r="C5" s="317"/>
      <c r="D5" s="317"/>
      <c r="E5" s="317"/>
      <c r="F5" s="317"/>
    </row>
    <row r="8" spans="1:9" ht="18" x14ac:dyDescent="0.25">
      <c r="A8" s="240" t="s">
        <v>1560</v>
      </c>
      <c r="F8" s="247" t="s">
        <v>1578</v>
      </c>
    </row>
    <row r="9" spans="1:9" ht="15" x14ac:dyDescent="0.2">
      <c r="A9" s="238" t="s">
        <v>1561</v>
      </c>
      <c r="B9" s="241">
        <f>'DOE25'!G97</f>
        <v>73603.509999999995</v>
      </c>
      <c r="F9" s="238" t="s">
        <v>1574</v>
      </c>
    </row>
    <row r="10" spans="1:9" ht="15" x14ac:dyDescent="0.2">
      <c r="A10" s="238" t="s">
        <v>1562</v>
      </c>
      <c r="B10" s="241">
        <f>'DOE25'!G112-'DOE25'!G97</f>
        <v>0</v>
      </c>
      <c r="F10" s="238" t="s">
        <v>1575</v>
      </c>
    </row>
    <row r="11" spans="1:9" ht="15" x14ac:dyDescent="0.2">
      <c r="A11" s="238" t="s">
        <v>1563</v>
      </c>
      <c r="B11" s="241">
        <f>'DOE25'!G140</f>
        <v>1121.44</v>
      </c>
      <c r="F11" s="238" t="s">
        <v>1576</v>
      </c>
    </row>
    <row r="12" spans="1:9" ht="15" x14ac:dyDescent="0.2">
      <c r="A12" s="238" t="s">
        <v>1564</v>
      </c>
      <c r="B12" s="241">
        <f>'DOE25'!G170</f>
        <v>52441.03</v>
      </c>
      <c r="F12" s="238" t="s">
        <v>1577</v>
      </c>
    </row>
    <row r="13" spans="1:9" ht="15" x14ac:dyDescent="0.2">
      <c r="A13" s="238" t="s">
        <v>1565</v>
      </c>
      <c r="B13" s="241">
        <f>'DOE25'!G193-'DOE25'!G180</f>
        <v>0</v>
      </c>
      <c r="F13" s="238" t="s">
        <v>1587</v>
      </c>
    </row>
    <row r="14" spans="1:9" ht="18" x14ac:dyDescent="0.25">
      <c r="A14" s="240" t="s">
        <v>732</v>
      </c>
      <c r="B14" s="242">
        <f>SUM(B9:B13)</f>
        <v>127165.98</v>
      </c>
    </row>
    <row r="16" spans="1:9" ht="18" x14ac:dyDescent="0.25">
      <c r="A16" s="240" t="s">
        <v>786</v>
      </c>
      <c r="F16" s="247" t="s">
        <v>1579</v>
      </c>
    </row>
    <row r="17" spans="1:6" ht="15" x14ac:dyDescent="0.2">
      <c r="A17" s="238" t="s">
        <v>1566</v>
      </c>
      <c r="B17" s="241">
        <f>'DOE25'!L363-'DOE25'!L362</f>
        <v>148087.07999999999</v>
      </c>
      <c r="F17" s="238" t="s">
        <v>1580</v>
      </c>
    </row>
    <row r="18" spans="1:6" ht="15" x14ac:dyDescent="0.2">
      <c r="A18" s="238" t="s">
        <v>1567</v>
      </c>
      <c r="B18" s="251"/>
      <c r="F18" s="247" t="s">
        <v>1604</v>
      </c>
    </row>
    <row r="19" spans="1:6" ht="18" x14ac:dyDescent="0.25">
      <c r="A19" s="240" t="s">
        <v>725</v>
      </c>
      <c r="B19" s="242">
        <f>SUM(B17:B18)</f>
        <v>148087.07999999999</v>
      </c>
    </row>
    <row r="21" spans="1:6" ht="18.75" thickBot="1" x14ac:dyDescent="0.3">
      <c r="A21" s="240" t="s">
        <v>1568</v>
      </c>
    </row>
    <row r="22" spans="1:6" ht="18.75" thickTop="1" x14ac:dyDescent="0.25">
      <c r="A22" s="240" t="s">
        <v>1569</v>
      </c>
      <c r="B22" s="246">
        <f>B14-B19</f>
        <v>-20921.099999999991</v>
      </c>
      <c r="F22" s="238" t="s">
        <v>1581</v>
      </c>
    </row>
    <row r="26" spans="1:6" ht="18" x14ac:dyDescent="0.25">
      <c r="A26" s="240" t="s">
        <v>186</v>
      </c>
    </row>
    <row r="27" spans="1:6" ht="15" x14ac:dyDescent="0.2">
      <c r="A27" s="238" t="s">
        <v>1570</v>
      </c>
      <c r="B27" s="241">
        <f>'DOE25'!G180</f>
        <v>20921.099999999999</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v>10665.27</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Profile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1626882.5100000002</v>
      </c>
      <c r="C9" s="167">
        <f>'DOE25'!G198+'DOE25'!G216+'DOE25'!G234+'DOE25'!G277+'DOE25'!G296+'DOE25'!G315</f>
        <v>815062.1</v>
      </c>
    </row>
    <row r="10" spans="1:3" x14ac:dyDescent="0.2">
      <c r="A10" t="s">
        <v>775</v>
      </c>
      <c r="B10" s="177">
        <f>1500478.45+25863.6+6238.9</f>
        <v>1532580.95</v>
      </c>
      <c r="C10" s="177">
        <f>418241.34+246389.22+6894.01+1349.55+96866.55+4160.88+741.65+111.29+2010.13+4267.23</f>
        <v>781031.85000000021</v>
      </c>
    </row>
    <row r="11" spans="1:3" x14ac:dyDescent="0.2">
      <c r="A11" t="s">
        <v>776</v>
      </c>
      <c r="B11" s="177">
        <v>30428.42</v>
      </c>
      <c r="C11" s="177">
        <f>6444.74+24532.58</f>
        <v>30977.32</v>
      </c>
    </row>
    <row r="12" spans="1:3" x14ac:dyDescent="0.2">
      <c r="A12" t="s">
        <v>777</v>
      </c>
      <c r="B12" s="177">
        <f>63386.69+486.45</f>
        <v>63873.14</v>
      </c>
      <c r="C12" s="177">
        <v>3052.93</v>
      </c>
    </row>
    <row r="13" spans="1:3" x14ac:dyDescent="0.2">
      <c r="A13" t="str">
        <f>IF(B9=B13,IF(C9=C13,"Check Total OK","Check Total Error"),"Check Total Error")</f>
        <v>Check Total OK</v>
      </c>
      <c r="B13" s="169">
        <f>SUM(B10:B12)</f>
        <v>1626882.5099999998</v>
      </c>
      <c r="C13" s="169">
        <f>SUM(C10:C12)</f>
        <v>815062.10000000021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326430.81</v>
      </c>
      <c r="C18" s="167">
        <f>'DOE25'!G199+'DOE25'!G217+'DOE25'!G235+'DOE25'!G278+'DOE25'!G297+'DOE25'!G316</f>
        <v>170833.32</v>
      </c>
    </row>
    <row r="19" spans="1:3" x14ac:dyDescent="0.2">
      <c r="A19" t="s">
        <v>775</v>
      </c>
      <c r="B19" s="177">
        <f>22273.36+3499.94+49209+4000+3659.42+1156.65+4320+245.35+46998.34+6500.06+1315.01</f>
        <v>143177.13</v>
      </c>
      <c r="C19" s="177">
        <f>39073.04+41910.96+689.7</f>
        <v>81673.7</v>
      </c>
    </row>
    <row r="20" spans="1:3" x14ac:dyDescent="0.2">
      <c r="A20" t="s">
        <v>776</v>
      </c>
      <c r="B20" s="177">
        <f>45395.94+1280+125962.73+1315.01</f>
        <v>173953.68</v>
      </c>
      <c r="C20" s="177">
        <f>36843.39+50915.08+689.7</f>
        <v>88448.17</v>
      </c>
    </row>
    <row r="21" spans="1:3" x14ac:dyDescent="0.2">
      <c r="A21" t="s">
        <v>777</v>
      </c>
      <c r="B21" s="177">
        <f>17.5+3749.95+282.5+5250.05</f>
        <v>9300</v>
      </c>
      <c r="C21" s="177">
        <v>711.45</v>
      </c>
    </row>
    <row r="22" spans="1:3" x14ac:dyDescent="0.2">
      <c r="A22" t="str">
        <f>IF(B18=B22,IF(C18=C22,"Check Total OK","Check Total Error"),"Check Total Error")</f>
        <v>Check Total OK</v>
      </c>
      <c r="B22" s="169">
        <f>SUM(B19:B21)</f>
        <v>326430.81</v>
      </c>
      <c r="C22" s="169">
        <f>SUM(C19:C21)</f>
        <v>170833.32</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133062.09999999998</v>
      </c>
      <c r="C27" s="172">
        <f>'DOE25'!G200+'DOE25'!G218+'DOE25'!G236+'DOE25'!G279+'DOE25'!G298+'DOE25'!G317</f>
        <v>54603.969999999994</v>
      </c>
    </row>
    <row r="28" spans="1:3" x14ac:dyDescent="0.2">
      <c r="A28" t="s">
        <v>775</v>
      </c>
      <c r="B28" s="177">
        <f>43181.57+80194.43+911.3+490.7</f>
        <v>124778</v>
      </c>
      <c r="C28" s="177">
        <v>54603.97</v>
      </c>
    </row>
    <row r="29" spans="1:3" x14ac:dyDescent="0.2">
      <c r="A29" t="s">
        <v>776</v>
      </c>
      <c r="B29" s="177"/>
      <c r="C29" s="177"/>
    </row>
    <row r="30" spans="1:3" x14ac:dyDescent="0.2">
      <c r="A30" t="s">
        <v>777</v>
      </c>
      <c r="B30" s="177">
        <f>122.5+2776.88+227.5+5157.22</f>
        <v>8284.1</v>
      </c>
      <c r="C30" s="177"/>
    </row>
    <row r="31" spans="1:3" x14ac:dyDescent="0.2">
      <c r="A31" t="str">
        <f>IF(B27=B31,IF(C27=C31,"Check Total OK","Check Total Error"),"Check Total Error")</f>
        <v>Check Total OK</v>
      </c>
      <c r="B31" s="169">
        <f>SUM(B28:B30)</f>
        <v>133062.1</v>
      </c>
      <c r="C31" s="169">
        <f>SUM(C28:C30)</f>
        <v>54603.97</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97043.35</v>
      </c>
      <c r="C36" s="173">
        <f>'DOE25'!G201+'DOE25'!G219+'DOE25'!G237+'DOE25'!G280+'DOE25'!G299+'DOE25'!G318</f>
        <v>18043.93</v>
      </c>
    </row>
    <row r="37" spans="1:3" x14ac:dyDescent="0.2">
      <c r="A37" t="s">
        <v>775</v>
      </c>
      <c r="B37" s="177">
        <f>31894.84+65148.51</f>
        <v>97043.35</v>
      </c>
      <c r="C37" s="177">
        <v>18043.93</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97043.35</v>
      </c>
      <c r="C40" s="169">
        <f>SUM(C37:C39)</f>
        <v>18043.93</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Profile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3414949.76</v>
      </c>
      <c r="D5" s="19">
        <f>SUM('DOE25'!L198:L201)+SUM('DOE25'!L216:L219)+SUM('DOE25'!L234:L237)-F5-G5-H5</f>
        <v>3381856.3399999994</v>
      </c>
      <c r="E5" s="180"/>
      <c r="F5" s="181"/>
      <c r="G5" s="19">
        <f>SUM('DOE25'!J198:J201)+SUM('DOE25'!J216:J219)+SUM('DOE25'!J234:J237)</f>
        <v>21416.93</v>
      </c>
      <c r="H5" s="19">
        <f>SUM('DOE25'!K198:K201)+SUM('DOE25'!K216:K219)+SUM('DOE25'!K234:K237)</f>
        <v>11676.49</v>
      </c>
      <c r="I5" s="192"/>
    </row>
    <row r="6" spans="1:9" x14ac:dyDescent="0.2">
      <c r="A6" s="31">
        <v>2100</v>
      </c>
      <c r="B6" t="s">
        <v>796</v>
      </c>
      <c r="C6" s="206">
        <f t="shared" si="0"/>
        <v>383699.86</v>
      </c>
      <c r="D6" s="19">
        <f>'DOE25'!L203+'DOE25'!L221+'DOE25'!L239-F6-G6-H6</f>
        <v>383602.67</v>
      </c>
      <c r="E6" s="180"/>
      <c r="F6" s="181"/>
      <c r="G6" s="19">
        <f>'DOE25'!J203+'DOE25'!J221+'DOE25'!J239</f>
        <v>97.19</v>
      </c>
      <c r="H6" s="19">
        <f>'DOE25'!K203+'DOE25'!K221+'DOE25'!K239</f>
        <v>0</v>
      </c>
      <c r="I6" s="192"/>
    </row>
    <row r="7" spans="1:9" x14ac:dyDescent="0.2">
      <c r="A7" s="31">
        <v>2200</v>
      </c>
      <c r="B7" t="s">
        <v>820</v>
      </c>
      <c r="C7" s="206">
        <f t="shared" si="0"/>
        <v>263784.53000000003</v>
      </c>
      <c r="D7" s="19">
        <f>'DOE25'!L204+'DOE25'!L222+'DOE25'!L240-F7-G7-H7</f>
        <v>239157.79000000004</v>
      </c>
      <c r="E7" s="180"/>
      <c r="F7" s="181"/>
      <c r="G7" s="19">
        <f>'DOE25'!J204+'DOE25'!J222+'DOE25'!J240</f>
        <v>0</v>
      </c>
      <c r="H7" s="19">
        <f>'DOE25'!K204+'DOE25'!K222+'DOE25'!K240</f>
        <v>24626.739999999998</v>
      </c>
      <c r="I7" s="192"/>
    </row>
    <row r="8" spans="1:9" x14ac:dyDescent="0.2">
      <c r="A8" s="31">
        <v>2300</v>
      </c>
      <c r="B8" t="s">
        <v>797</v>
      </c>
      <c r="C8" s="206">
        <f t="shared" si="0"/>
        <v>299970.93</v>
      </c>
      <c r="D8" s="180"/>
      <c r="E8" s="19">
        <f>'DOE25'!L205+'DOE25'!L223+'DOE25'!L241-F8-G8-H8-D9-D11</f>
        <v>289044.58999999997</v>
      </c>
      <c r="F8" s="181"/>
      <c r="G8" s="19">
        <f>'DOE25'!J205+'DOE25'!J223+'DOE25'!J241</f>
        <v>0</v>
      </c>
      <c r="H8" s="19">
        <f>'DOE25'!K205+'DOE25'!K223+'DOE25'!K241</f>
        <v>10926.34</v>
      </c>
      <c r="I8" s="192"/>
    </row>
    <row r="9" spans="1:9" ht="14.25" x14ac:dyDescent="0.2">
      <c r="A9" s="31">
        <v>2310</v>
      </c>
      <c r="B9" s="71" t="s">
        <v>887</v>
      </c>
      <c r="C9" s="206">
        <f t="shared" si="0"/>
        <v>86262.37</v>
      </c>
      <c r="D9" s="181">
        <v>86262.37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v>0</v>
      </c>
      <c r="E11" s="180"/>
      <c r="F11" s="180"/>
      <c r="G11" s="180"/>
      <c r="H11" s="180"/>
      <c r="I11" s="192"/>
    </row>
    <row r="12" spans="1:9" x14ac:dyDescent="0.2">
      <c r="A12" s="31">
        <v>2400</v>
      </c>
      <c r="B12" t="s">
        <v>711</v>
      </c>
      <c r="C12" s="206">
        <f t="shared" si="0"/>
        <v>456990.75</v>
      </c>
      <c r="D12" s="19">
        <f>'DOE25'!L206+'DOE25'!L224+'DOE25'!L242-F12-G12-H12</f>
        <v>453211.06</v>
      </c>
      <c r="E12" s="180"/>
      <c r="F12" s="181"/>
      <c r="G12" s="19">
        <f>'DOE25'!J206+'DOE25'!J224+'DOE25'!J242</f>
        <v>0</v>
      </c>
      <c r="H12" s="19">
        <f>'DOE25'!K206+'DOE25'!K224+'DOE25'!K242</f>
        <v>3779.69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468116.12</v>
      </c>
      <c r="D14" s="19">
        <f>'DOE25'!L208+'DOE25'!L226+'DOE25'!L244-F14-G14-H14</f>
        <v>465644.17</v>
      </c>
      <c r="E14" s="180"/>
      <c r="F14" s="181"/>
      <c r="G14" s="19">
        <f>'DOE25'!J208+'DOE25'!J226+'DOE25'!J244</f>
        <v>2471.9499999999998</v>
      </c>
      <c r="H14" s="19">
        <f>'DOE25'!K208+'DOE25'!K226+'DOE25'!K244</f>
        <v>0</v>
      </c>
      <c r="I14" s="192"/>
    </row>
    <row r="15" spans="1:9" x14ac:dyDescent="0.2">
      <c r="A15" s="31">
        <v>2700</v>
      </c>
      <c r="B15" t="s">
        <v>799</v>
      </c>
      <c r="C15" s="206">
        <f t="shared" si="0"/>
        <v>133097.53</v>
      </c>
      <c r="D15" s="19">
        <f>'DOE25'!L209+'DOE25'!L227+'DOE25'!L245-F15-G15-H15</f>
        <v>25000</v>
      </c>
      <c r="E15" s="180"/>
      <c r="F15" s="181">
        <v>108097.53</v>
      </c>
      <c r="G15" s="19">
        <f>'DOE25'!J209+'DOE25'!J227+'DOE25'!J245</f>
        <v>0</v>
      </c>
      <c r="H15" s="19">
        <f>'DOE25'!K209+'DOE25'!K227+'DOE25'!K245</f>
        <v>0</v>
      </c>
      <c r="I15" s="192"/>
    </row>
    <row r="16" spans="1:9" x14ac:dyDescent="0.2">
      <c r="A16" s="31">
        <v>2800</v>
      </c>
      <c r="B16" t="s">
        <v>800</v>
      </c>
      <c r="C16" s="206">
        <f t="shared" si="0"/>
        <v>41858</v>
      </c>
      <c r="D16" s="180"/>
      <c r="E16" s="19">
        <f>'DOE25'!L210+'DOE25'!L228+'DOE25'!L246-F16-G16-H16</f>
        <v>14897.340000000004</v>
      </c>
      <c r="F16" s="181"/>
      <c r="G16" s="19">
        <f>'DOE25'!J210+'DOE25'!J228+'DOE25'!J246</f>
        <v>26960.659999999996</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1289.99</v>
      </c>
      <c r="D22" s="180"/>
      <c r="E22" s="180"/>
      <c r="F22" s="180"/>
      <c r="G22" s="19">
        <f>'DOE25'!L256+'DOE25'!L337</f>
        <v>1289.99</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736806.26</v>
      </c>
      <c r="D25" s="180"/>
      <c r="E25" s="180"/>
      <c r="F25" s="191"/>
      <c r="G25" s="180"/>
      <c r="H25" s="180"/>
      <c r="I25" s="190">
        <f>'DOE25'!L261+'DOE25'!L262+'DOE25'!L342+'DOE25'!L343</f>
        <v>736806.26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36343.079999999987</v>
      </c>
      <c r="D29" s="212">
        <f>'DOE25'!L359+'DOE25'!L360+'DOE25'!L361-'DOE25'!I368-F29-G29-H29-F39</f>
        <v>36343.079999999987</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194709.24999999997</v>
      </c>
      <c r="D31" s="19">
        <f>'DOE25'!L291+'DOE25'!L310+'DOE25'!L329+'DOE25'!L334+'DOE25'!L335+'DOE25'!L336-F31-G31-H31</f>
        <v>187747.95999999996</v>
      </c>
      <c r="E31" s="180"/>
      <c r="F31" s="181"/>
      <c r="G31" s="19">
        <f>'DOE25'!J291+'DOE25'!J310+'DOE25'!J329+'DOE25'!J334+'DOE25'!J335+'DOE25'!J336</f>
        <v>0</v>
      </c>
      <c r="H31" s="19">
        <f>'DOE25'!K291+'DOE25'!K310+'DOE25'!K329+'DOE25'!K334+'DOE25'!K335+'DOE25'!K336</f>
        <v>6961.29</v>
      </c>
      <c r="I31" s="192"/>
    </row>
    <row r="32" spans="1:9" ht="12" thickBot="1" x14ac:dyDescent="0.25">
      <c r="C32" s="207"/>
      <c r="G32" s="188"/>
      <c r="H32" s="188"/>
      <c r="I32" s="194"/>
    </row>
    <row r="33" spans="1:9" ht="12" thickTop="1" x14ac:dyDescent="0.2">
      <c r="B33" t="s">
        <v>809</v>
      </c>
      <c r="D33" s="182">
        <f t="shared" ref="D33:I33" si="1">SUM(D5:D31)</f>
        <v>5258825.4399999995</v>
      </c>
      <c r="E33" s="182">
        <f t="shared" si="1"/>
        <v>303941.93</v>
      </c>
      <c r="F33" s="182">
        <f t="shared" si="1"/>
        <v>108097.53</v>
      </c>
      <c r="G33" s="182">
        <f t="shared" si="1"/>
        <v>52236.719999999994</v>
      </c>
      <c r="H33" s="182">
        <f t="shared" si="1"/>
        <v>57970.549999999996</v>
      </c>
      <c r="I33" s="182">
        <f t="shared" si="1"/>
        <v>736806.26</v>
      </c>
    </row>
    <row r="34" spans="1:9" ht="12" thickBot="1" x14ac:dyDescent="0.25"/>
    <row r="35" spans="1:9" ht="12" thickBot="1" x14ac:dyDescent="0.25">
      <c r="B35" s="188" t="s">
        <v>830</v>
      </c>
      <c r="D35" s="189">
        <f>E33</f>
        <v>303941.93</v>
      </c>
      <c r="E35" s="185"/>
      <c r="F35" s="295" t="s">
        <v>1608</v>
      </c>
      <c r="G35" s="296"/>
      <c r="H35" s="296"/>
      <c r="I35" s="297"/>
    </row>
    <row r="36" spans="1:9" ht="12" thickTop="1" x14ac:dyDescent="0.2">
      <c r="B36" t="s">
        <v>810</v>
      </c>
      <c r="D36" s="19">
        <f>D33</f>
        <v>5258825.4399999995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55872</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27" sqref="D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Profile</v>
      </c>
      <c r="B2">
        <f>'DOE25'!B2</f>
        <v>450</v>
      </c>
      <c r="J2" s="224" t="s">
        <v>1808</v>
      </c>
      <c r="K2" s="309">
        <f>SUM('DOE25'!L198:L201)+SUM('DOE25'!L216:L219)+SUM('DOE25'!L234:L237)+SUM('DOE25'!L277:L280)+SUM('DOE25'!L296:L299)+SUM('DOE25'!L315:L318)</f>
        <v>3597103.3899999997</v>
      </c>
      <c r="L2" s="309">
        <f>'DOE25'!L203+'DOE25'!L221+'DOE25'!L239+'DOE25'!L282+'DOE25'!L301+'DOE25'!L320</f>
        <v>386398.37999999995</v>
      </c>
      <c r="M2" s="309">
        <f>'DOE25'!L204+'DOE25'!L222+'DOE25'!L240+'DOE25'!L283+'DOE25'!L302+'DOE25'!L321</f>
        <v>266680.34000000003</v>
      </c>
      <c r="N2" s="309">
        <f>'DOE25'!L206+'DOE25'!L224+'DOE25'!L242+'DOE25'!L285+'DOE25'!L304+'DOE25'!L323</f>
        <v>456990.75</v>
      </c>
      <c r="O2" s="309">
        <f>'Salaries-Benefits'!B10+'Salaries-Benefits'!B12+'Salaries-Benefits'!B19+'Salaries-Benefits'!B21+'Salaries-Benefits'!B28+'Salaries-Benefits'!B30+'Salaries-Benefits'!B37+'Salaries-Benefits'!B39</f>
        <v>1979036.67</v>
      </c>
      <c r="P2" s="309">
        <f>'Salaries-Benefits'!B11+'Salaries-Benefits'!B20+'Salaries-Benefits'!B29+'Salaries-Benefits'!B38</f>
        <v>204382.09999999998</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-3597103.3899999997</v>
      </c>
      <c r="L3" s="311">
        <f t="shared" ref="L3:P3" si="0">L21+L33+L43-L2</f>
        <v>-386398.37999999995</v>
      </c>
      <c r="M3" s="311">
        <f t="shared" si="0"/>
        <v>-266680.34000000003</v>
      </c>
      <c r="N3" s="311">
        <f t="shared" si="0"/>
        <v>-456990.75</v>
      </c>
      <c r="O3" s="311">
        <f t="shared" si="0"/>
        <v>-1979036.67</v>
      </c>
      <c r="P3" s="311">
        <f t="shared" si="0"/>
        <v>-204382.09999999998</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1854994.99</v>
      </c>
      <c r="G24" s="229">
        <f>'DOE25'!L230+'DOE25'!L310</f>
        <v>1854994.99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Profile Junior High School</v>
      </c>
      <c r="B26" s="230">
        <f>IFERROR(VLOOKUP(A26,'School Tables'!$N$4:$O$75,2,FALSE),"")</f>
        <v>26990</v>
      </c>
      <c r="C26" s="223" t="str">
        <f>IFERROR(INDEX('School Tables'!$M$4:$M$75,MATCH('School Level Expenditures'!A26,'School Tables'!$N$4:$N$75,0)),"")</f>
        <v>Profile</v>
      </c>
      <c r="D26" s="220">
        <f>1749283.03+12556.01+15260.01</f>
        <v>1777099.05</v>
      </c>
      <c r="E26" s="220">
        <v>77895.94</v>
      </c>
      <c r="F26" s="232">
        <f t="shared" ref="F26:F32" si="4">D26+E26</f>
        <v>1854994.99</v>
      </c>
      <c r="G26" s="223"/>
      <c r="H26" s="223"/>
      <c r="J26" t="str">
        <f t="shared" ref="J26:J32" si="5">A26</f>
        <v>Profile Junior High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1777099.05</v>
      </c>
      <c r="E33" s="262">
        <f>SUM(E25:E32)</f>
        <v>77895.94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3888444.1100000003</v>
      </c>
      <c r="G36" s="229">
        <f>'DOE25'!L248+'DOE25'!L329</f>
        <v>3888444.1100000003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198993.29</v>
      </c>
      <c r="E37" s="220"/>
      <c r="F37" s="232">
        <f t="shared" ref="F37:F42" si="7">D37+E37</f>
        <v>198993.29</v>
      </c>
      <c r="G37" s="223"/>
      <c r="H37" s="223"/>
      <c r="J37" s="223"/>
      <c r="K37" s="223"/>
      <c r="L37" s="224"/>
      <c r="M37" s="223"/>
      <c r="N37" s="223"/>
      <c r="O37" s="223"/>
      <c r="P37" s="223"/>
      <c r="Q37" s="223"/>
    </row>
    <row r="38" spans="1:18" x14ac:dyDescent="0.2">
      <c r="A38" t="str" cm="1">
        <f t="array" ref="A38">IFERROR(INDEX('School Tables'!$W$4:$AC$100,'School Tables'!$AF4,3),"")</f>
        <v>Profile Senior High School</v>
      </c>
      <c r="B38" s="230">
        <f>IFERROR(VLOOKUP(A38,'School Tables'!$Y$4:$Z$100,2,FALSE),"")</f>
        <v>21395</v>
      </c>
      <c r="C38" s="223" t="str">
        <f>IFERROR(INDEX('School Tables'!$X$4:$X$100,MATCH('School Level Expenditures'!A38,'School Tables'!$Y$4:$Y$100,0)),"")</f>
        <v>Profile</v>
      </c>
      <c r="D38" s="220">
        <v>3580626.1</v>
      </c>
      <c r="E38" s="220">
        <v>108824.72</v>
      </c>
      <c r="F38" s="232">
        <f t="shared" si="7"/>
        <v>3689450.8200000003</v>
      </c>
      <c r="G38" s="223"/>
      <c r="H38" s="223"/>
      <c r="J38" t="str">
        <f t="shared" ref="J38:J42" si="8">A38</f>
        <v>Profile Senior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3779619.39</v>
      </c>
      <c r="E43" s="263">
        <f>SUM(E37:E42)</f>
        <v>108824.72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Profile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209763.35</v>
      </c>
      <c r="D8" s="73">
        <f>'DOE25'!G9</f>
        <v>0</v>
      </c>
      <c r="E8" s="73">
        <f>'DOE25'!H9</f>
        <v>0</v>
      </c>
      <c r="F8" s="73">
        <f>'DOE25'!I9</f>
        <v>0</v>
      </c>
      <c r="G8" s="73">
        <f>'DOE25'!J9</f>
        <v>0</v>
      </c>
      <c r="H8" s="13">
        <f>SUM(C8:G8)</f>
        <v>209763.35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48337.01</v>
      </c>
      <c r="D11" s="73">
        <f>'DOE25'!G12</f>
        <v>8753.65</v>
      </c>
      <c r="E11" s="73">
        <f>'DOE25'!H12</f>
        <v>16049.89</v>
      </c>
      <c r="F11" s="73">
        <f>'DOE25'!I12</f>
        <v>0</v>
      </c>
      <c r="G11" s="73">
        <f>'DOE25'!J12</f>
        <v>454032.41</v>
      </c>
      <c r="H11" s="13">
        <f t="shared" si="0"/>
        <v>527172.96</v>
      </c>
      <c r="I11" s="90"/>
    </row>
    <row r="12" spans="1:9" x14ac:dyDescent="0.2">
      <c r="A12" s="1" t="s">
        <v>143</v>
      </c>
      <c r="B12" s="6">
        <v>140</v>
      </c>
      <c r="C12" s="73">
        <f>'DOE25'!F13</f>
        <v>0</v>
      </c>
      <c r="D12" s="73">
        <f>'DOE25'!G13</f>
        <v>6090.91</v>
      </c>
      <c r="E12" s="73">
        <f>'DOE25'!H13</f>
        <v>49279.99</v>
      </c>
      <c r="F12" s="73">
        <f>'DOE25'!I13</f>
        <v>0</v>
      </c>
      <c r="G12" s="73">
        <f>'DOE25'!J13</f>
        <v>0</v>
      </c>
      <c r="H12" s="13">
        <f t="shared" si="0"/>
        <v>55370.899999999994</v>
      </c>
      <c r="I12" s="90"/>
    </row>
    <row r="13" spans="1:9" x14ac:dyDescent="0.2">
      <c r="A13" s="1" t="s">
        <v>144</v>
      </c>
      <c r="B13" s="6">
        <v>150</v>
      </c>
      <c r="C13" s="73">
        <f>'DOE25'!F14</f>
        <v>11412.7</v>
      </c>
      <c r="D13" s="73">
        <f>'DOE25'!G14</f>
        <v>3438.2</v>
      </c>
      <c r="E13" s="73">
        <f>'DOE25'!H14</f>
        <v>0</v>
      </c>
      <c r="F13" s="73">
        <f>'DOE25'!I14</f>
        <v>0</v>
      </c>
      <c r="G13" s="73">
        <f>'DOE25'!J14</f>
        <v>0</v>
      </c>
      <c r="H13" s="13">
        <f t="shared" si="0"/>
        <v>14850.900000000001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t="str">
        <f>'DOE25'!F17</f>
        <v xml:space="preserve"> </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269513.06</v>
      </c>
      <c r="D18" s="38">
        <f>SUM(D8:D17)</f>
        <v>18282.759999999998</v>
      </c>
      <c r="E18" s="38">
        <f>SUM(E8:E17)</f>
        <v>65329.88</v>
      </c>
      <c r="F18" s="38">
        <f>SUM(F8:F17)</f>
        <v>0</v>
      </c>
      <c r="G18" s="38">
        <f>SUM(G8:G17)</f>
        <v>454032.41</v>
      </c>
      <c r="H18" s="38">
        <f t="shared" si="0"/>
        <v>807158.11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24803.54</v>
      </c>
      <c r="D21" s="73" t="str">
        <f>'DOE25'!G22</f>
        <v xml:space="preserve"> </v>
      </c>
      <c r="E21" s="73">
        <f>'DOE25'!H22</f>
        <v>48337.01</v>
      </c>
      <c r="F21" s="73">
        <f>'DOE25'!I22</f>
        <v>0</v>
      </c>
      <c r="G21" s="73">
        <f>'DOE25'!J22</f>
        <v>0</v>
      </c>
      <c r="H21" s="13">
        <f t="shared" ref="H21:H31" si="1">SUM(C21:G21)</f>
        <v>73140.55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18049.86</v>
      </c>
      <c r="D23" s="73">
        <f>'DOE25'!G24</f>
        <v>0</v>
      </c>
      <c r="E23" s="73">
        <f>'DOE25'!H24</f>
        <v>942.98</v>
      </c>
      <c r="F23" s="73">
        <f>'DOE25'!I24</f>
        <v>0</v>
      </c>
      <c r="G23" s="73">
        <f>'DOE25'!J24</f>
        <v>0</v>
      </c>
      <c r="H23" s="13">
        <f t="shared" si="1"/>
        <v>18992.84</v>
      </c>
      <c r="I23" s="90"/>
    </row>
    <row r="24" spans="1:9" x14ac:dyDescent="0.2">
      <c r="A24" s="1" t="s">
        <v>153</v>
      </c>
      <c r="B24" s="6">
        <v>430</v>
      </c>
      <c r="C24" s="73">
        <f>'DOE25'!F25</f>
        <v>0</v>
      </c>
      <c r="D24" s="73">
        <f>'DOE25'!G25</f>
        <v>9892.5499999999993</v>
      </c>
      <c r="E24" s="73">
        <f>'DOE25'!H25</f>
        <v>0</v>
      </c>
      <c r="F24" s="73">
        <f>'DOE25'!I25</f>
        <v>0</v>
      </c>
      <c r="G24" s="23" t="s">
        <v>288</v>
      </c>
      <c r="H24" s="13">
        <f t="shared" si="1"/>
        <v>9892.5499999999993</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8390.2099999999991</v>
      </c>
      <c r="E29" s="73">
        <f>'DOE25'!H30</f>
        <v>3049.8900000000003</v>
      </c>
      <c r="F29" s="73">
        <f>'DOE25'!I30</f>
        <v>0</v>
      </c>
      <c r="G29" s="23" t="s">
        <v>288</v>
      </c>
      <c r="H29" s="13">
        <f t="shared" si="1"/>
        <v>11440.099999999999</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42853.4</v>
      </c>
      <c r="D31" s="38">
        <f>SUM(D21:D30)</f>
        <v>18282.759999999998</v>
      </c>
      <c r="E31" s="38">
        <f>SUM(E21:E30)</f>
        <v>52329.880000000005</v>
      </c>
      <c r="F31" s="38">
        <f>SUM(F21:F30)</f>
        <v>0</v>
      </c>
      <c r="G31" s="38">
        <f>SUM(G21:G30)</f>
        <v>0</v>
      </c>
      <c r="H31" s="38">
        <f t="shared" si="1"/>
        <v>113466.04000000001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454032.41</v>
      </c>
      <c r="H42" s="13">
        <f t="shared" si="2"/>
        <v>454032.41</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13000</v>
      </c>
      <c r="F47" s="73">
        <f>'DOE25'!I48</f>
        <v>0</v>
      </c>
      <c r="G47" s="73">
        <f>'DOE25'!J48</f>
        <v>0</v>
      </c>
      <c r="H47" s="13">
        <f t="shared" si="2"/>
        <v>13000</v>
      </c>
      <c r="I47" s="90"/>
    </row>
    <row r="48" spans="1:9" x14ac:dyDescent="0.2">
      <c r="A48" s="1" t="s">
        <v>881</v>
      </c>
      <c r="B48" s="6">
        <v>753</v>
      </c>
      <c r="C48" s="73">
        <f>'DOE25'!F49</f>
        <v>47066.94</v>
      </c>
      <c r="D48" s="73">
        <f>'DOE25'!G49</f>
        <v>0</v>
      </c>
      <c r="E48" s="73">
        <f>'DOE25'!H49</f>
        <v>0</v>
      </c>
      <c r="F48" s="73">
        <f>'DOE25'!I49</f>
        <v>0</v>
      </c>
      <c r="G48" s="73">
        <f>'DOE25'!J49</f>
        <v>0</v>
      </c>
      <c r="H48" s="13">
        <f t="shared" si="2"/>
        <v>47066.94</v>
      </c>
      <c r="I48" s="90"/>
    </row>
    <row r="49" spans="1:9" ht="12" thickBot="1" x14ac:dyDescent="0.25">
      <c r="A49" s="28" t="s">
        <v>882</v>
      </c>
      <c r="B49" s="56">
        <v>770</v>
      </c>
      <c r="C49" s="73">
        <f>'DOE25'!F50</f>
        <v>179592.72</v>
      </c>
      <c r="D49" s="23" t="s">
        <v>288</v>
      </c>
      <c r="E49" s="23" t="s">
        <v>288</v>
      </c>
      <c r="F49" s="23" t="s">
        <v>288</v>
      </c>
      <c r="G49" s="23" t="s">
        <v>288</v>
      </c>
      <c r="H49" s="13">
        <f t="shared" si="2"/>
        <v>179592.72</v>
      </c>
      <c r="I49" s="90"/>
    </row>
    <row r="50" spans="1:9" ht="12.75" thickTop="1" thickBot="1" x14ac:dyDescent="0.25">
      <c r="A50" s="35" t="s">
        <v>883</v>
      </c>
      <c r="B50" s="44"/>
      <c r="C50" s="38">
        <f>SUM(C34:C49)</f>
        <v>226659.66</v>
      </c>
      <c r="D50" s="38">
        <f>SUM(D34:D49)</f>
        <v>0</v>
      </c>
      <c r="E50" s="38">
        <f>SUM(E34:E49)</f>
        <v>13000</v>
      </c>
      <c r="F50" s="38">
        <f>SUM(F34:F49)</f>
        <v>0</v>
      </c>
      <c r="G50" s="38">
        <f>SUM(G34:G49)</f>
        <v>454032.41</v>
      </c>
      <c r="H50" s="38">
        <f t="shared" si="2"/>
        <v>693692.07</v>
      </c>
      <c r="I50" s="90"/>
    </row>
    <row r="51" spans="1:9" ht="12" thickTop="1" x14ac:dyDescent="0.2">
      <c r="A51" s="35" t="s">
        <v>884</v>
      </c>
      <c r="B51" s="2"/>
      <c r="C51" s="38">
        <f>C50+C31</f>
        <v>269513.06</v>
      </c>
      <c r="D51" s="38">
        <f>D50+D31</f>
        <v>18282.759999999998</v>
      </c>
      <c r="E51" s="38">
        <f>E50+E31</f>
        <v>65329.880000000005</v>
      </c>
      <c r="F51" s="38">
        <f>F50+F31</f>
        <v>0</v>
      </c>
      <c r="G51" s="38">
        <f>G50+G31</f>
        <v>454032.41</v>
      </c>
      <c r="H51" s="38">
        <f t="shared" si="2"/>
        <v>807158.11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3934913</v>
      </c>
      <c r="D56" s="73">
        <f>'DOE25'!G60</f>
        <v>0</v>
      </c>
      <c r="E56" s="73">
        <f>'DOE25'!H60</f>
        <v>0</v>
      </c>
      <c r="F56" s="73">
        <f>'DOE25'!I60</f>
        <v>0</v>
      </c>
      <c r="G56" s="73">
        <f>'DOE25'!J60</f>
        <v>0</v>
      </c>
      <c r="H56" s="13">
        <f t="shared" ref="H56:H63" si="3">SUM(C56:G56)</f>
        <v>3934913</v>
      </c>
      <c r="I56"/>
    </row>
    <row r="57" spans="1:9" x14ac:dyDescent="0.2">
      <c r="A57" s="1" t="s">
        <v>164</v>
      </c>
      <c r="B57" s="6" t="s">
        <v>165</v>
      </c>
      <c r="C57" s="73">
        <f>'DOE25'!F79</f>
        <v>89000</v>
      </c>
      <c r="D57" s="23" t="s">
        <v>288</v>
      </c>
      <c r="E57" s="73">
        <f>'DOE25'!H79</f>
        <v>0</v>
      </c>
      <c r="F57" s="23" t="s">
        <v>288</v>
      </c>
      <c r="G57" s="23" t="s">
        <v>288</v>
      </c>
      <c r="H57" s="13">
        <f t="shared" si="3"/>
        <v>89000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612.72</v>
      </c>
      <c r="D59" s="73">
        <f>'DOE25'!G96</f>
        <v>0</v>
      </c>
      <c r="E59" s="73">
        <f>'DOE25'!H96</f>
        <v>0</v>
      </c>
      <c r="F59" s="73">
        <f>'DOE25'!I96</f>
        <v>0</v>
      </c>
      <c r="G59" s="73">
        <f>'DOE25'!J96</f>
        <v>15094.86</v>
      </c>
      <c r="H59" s="13">
        <f t="shared" si="3"/>
        <v>15707.58</v>
      </c>
      <c r="I59"/>
    </row>
    <row r="60" spans="1:9" x14ac:dyDescent="0.2">
      <c r="A60" s="1" t="s">
        <v>170</v>
      </c>
      <c r="B60" s="22" t="s">
        <v>171</v>
      </c>
      <c r="C60" s="23" t="s">
        <v>288</v>
      </c>
      <c r="D60" s="73">
        <f>'DOE25'!G97</f>
        <v>73603.509999999995</v>
      </c>
      <c r="E60" s="23" t="s">
        <v>288</v>
      </c>
      <c r="F60" s="23" t="s">
        <v>288</v>
      </c>
      <c r="G60" s="23" t="s">
        <v>288</v>
      </c>
      <c r="H60" s="13">
        <f t="shared" si="3"/>
        <v>73603.509999999995</v>
      </c>
      <c r="I60"/>
    </row>
    <row r="61" spans="1:9" ht="12" thickBot="1" x14ac:dyDescent="0.25">
      <c r="A61" s="1" t="s">
        <v>172</v>
      </c>
      <c r="B61" s="22" t="s">
        <v>173</v>
      </c>
      <c r="C61" s="73">
        <f>SUM('DOE25'!F98:F110)</f>
        <v>11917.52</v>
      </c>
      <c r="D61" s="73">
        <f>SUM('DOE25'!G98:G110)</f>
        <v>0</v>
      </c>
      <c r="E61" s="73">
        <f>SUM('DOE25'!H98:H110)</f>
        <v>20019.14</v>
      </c>
      <c r="F61" s="73">
        <f>SUM('DOE25'!I98:I110)</f>
        <v>0</v>
      </c>
      <c r="G61" s="73">
        <f>SUM('DOE25'!J98:J110)</f>
        <v>0</v>
      </c>
      <c r="H61" s="13">
        <f t="shared" si="3"/>
        <v>31936.66</v>
      </c>
      <c r="I61"/>
    </row>
    <row r="62" spans="1:9" ht="12.75" thickTop="1" thickBot="1" x14ac:dyDescent="0.25">
      <c r="A62" s="28" t="s">
        <v>174</v>
      </c>
      <c r="B62" s="6"/>
      <c r="C62" s="93">
        <f>SUM(C57:C61)</f>
        <v>101530.24000000001</v>
      </c>
      <c r="D62" s="93">
        <f>SUM(D57:D61)</f>
        <v>73603.509999999995</v>
      </c>
      <c r="E62" s="93">
        <f>SUM(E57:E61)</f>
        <v>20019.14</v>
      </c>
      <c r="F62" s="93">
        <f>SUM(F57:F61)</f>
        <v>0</v>
      </c>
      <c r="G62" s="93">
        <f>SUM(G57:G61)</f>
        <v>15094.86</v>
      </c>
      <c r="H62" s="13">
        <f t="shared" si="3"/>
        <v>210247.75</v>
      </c>
      <c r="I62"/>
    </row>
    <row r="63" spans="1:9" ht="12" thickTop="1" x14ac:dyDescent="0.2">
      <c r="A63" s="28" t="s">
        <v>175</v>
      </c>
      <c r="B63" s="6"/>
      <c r="C63" s="21">
        <f>C56+C62</f>
        <v>4036443.24</v>
      </c>
      <c r="D63" s="21">
        <f>D56+D62</f>
        <v>73603.509999999995</v>
      </c>
      <c r="E63" s="21">
        <f>E56+E62</f>
        <v>20019.14</v>
      </c>
      <c r="F63" s="21">
        <f>F56+F62</f>
        <v>0</v>
      </c>
      <c r="G63" s="21">
        <f>G56+G62</f>
        <v>15094.86</v>
      </c>
      <c r="H63" s="13">
        <f t="shared" si="3"/>
        <v>4145160.75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863388.78</v>
      </c>
      <c r="D66" s="23" t="s">
        <v>288</v>
      </c>
      <c r="E66" s="23" t="s">
        <v>288</v>
      </c>
      <c r="F66" s="23" t="s">
        <v>288</v>
      </c>
      <c r="G66" s="23" t="s">
        <v>288</v>
      </c>
      <c r="H66" s="13">
        <f t="shared" ref="H66:H81" si="4">SUM(C66:G66)</f>
        <v>863388.78</v>
      </c>
      <c r="I66"/>
    </row>
    <row r="67" spans="1:9" x14ac:dyDescent="0.2">
      <c r="A67" s="1" t="s">
        <v>770</v>
      </c>
      <c r="B67" s="6">
        <v>3112</v>
      </c>
      <c r="C67" s="73">
        <f>'DOE25'!F118</f>
        <v>603006</v>
      </c>
      <c r="D67" s="23"/>
      <c r="E67" s="23"/>
      <c r="F67" s="23"/>
      <c r="G67" s="23"/>
      <c r="H67" s="13">
        <f t="shared" si="4"/>
        <v>603006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33419.689999999995</v>
      </c>
      <c r="D69" s="73">
        <f>'DOE25'!G120</f>
        <v>0</v>
      </c>
      <c r="E69" s="73">
        <f>'DOE25'!H120</f>
        <v>0</v>
      </c>
      <c r="F69" s="73">
        <f>'DOE25'!I120</f>
        <v>0</v>
      </c>
      <c r="G69" s="73">
        <f>'DOE25'!J120</f>
        <v>0</v>
      </c>
      <c r="H69" s="13">
        <f t="shared" si="4"/>
        <v>33419.689999999995</v>
      </c>
      <c r="I69"/>
    </row>
    <row r="70" spans="1:9" ht="12" thickTop="1" x14ac:dyDescent="0.2">
      <c r="A70" s="28" t="s">
        <v>252</v>
      </c>
      <c r="B70" s="2"/>
      <c r="C70" s="97">
        <f>SUM(C66:C69)</f>
        <v>1499814.47</v>
      </c>
      <c r="D70" s="97">
        <f>D69</f>
        <v>0</v>
      </c>
      <c r="E70" s="97">
        <f>E69</f>
        <v>0</v>
      </c>
      <c r="F70" s="97">
        <f>F69</f>
        <v>0</v>
      </c>
      <c r="G70" s="97">
        <f>G69</f>
        <v>0</v>
      </c>
      <c r="H70" s="13">
        <f t="shared" si="4"/>
        <v>1499814.47</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366886.36</v>
      </c>
      <c r="D72" s="23" t="s">
        <v>288</v>
      </c>
      <c r="E72" s="23" t="s">
        <v>288</v>
      </c>
      <c r="F72" s="73">
        <f>'DOE25'!I123</f>
        <v>0</v>
      </c>
      <c r="G72" s="23" t="s">
        <v>288</v>
      </c>
      <c r="H72" s="13">
        <f t="shared" si="4"/>
        <v>366886.36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t="str">
        <f>'DOE25'!F126</f>
        <v xml:space="preserve"> </v>
      </c>
      <c r="D75" s="23" t="s">
        <v>288</v>
      </c>
      <c r="E75" s="23" t="s">
        <v>288</v>
      </c>
      <c r="F75" s="23" t="s">
        <v>288</v>
      </c>
      <c r="G75" s="23" t="s">
        <v>288</v>
      </c>
      <c r="H75" s="13">
        <f t="shared" si="4"/>
        <v>0</v>
      </c>
      <c r="I75"/>
    </row>
    <row r="76" spans="1:9" x14ac:dyDescent="0.2">
      <c r="A76" s="1" t="s">
        <v>257</v>
      </c>
      <c r="B76" s="6" t="s">
        <v>179</v>
      </c>
      <c r="C76" s="73">
        <f>SUM('DOE25'!F127:F130)</f>
        <v>2261.6</v>
      </c>
      <c r="D76" s="23" t="s">
        <v>288</v>
      </c>
      <c r="E76" s="73">
        <f>SUM('DOE25'!H127:H130)</f>
        <v>0</v>
      </c>
      <c r="F76" s="73">
        <f>SUM('DOE25'!I127:I130)</f>
        <v>0</v>
      </c>
      <c r="G76" s="23" t="s">
        <v>288</v>
      </c>
      <c r="H76" s="13">
        <f t="shared" si="4"/>
        <v>2261.6</v>
      </c>
      <c r="I76"/>
    </row>
    <row r="77" spans="1:9" ht="12" thickBot="1" x14ac:dyDescent="0.25">
      <c r="A77" s="1" t="s">
        <v>258</v>
      </c>
      <c r="B77" s="6" t="s">
        <v>180</v>
      </c>
      <c r="C77" s="73">
        <f>SUM('DOE25'!F131:F135)</f>
        <v>0</v>
      </c>
      <c r="D77" s="73">
        <f>SUM('DOE25'!G131:G135)</f>
        <v>1121.44</v>
      </c>
      <c r="E77" s="73">
        <f>SUM('DOE25'!H131:H135)</f>
        <v>0</v>
      </c>
      <c r="F77" s="73">
        <f>SUM('DOE25'!I131:I135)</f>
        <v>0</v>
      </c>
      <c r="G77" s="73">
        <f>SUM('DOE25'!J131:J135)</f>
        <v>0</v>
      </c>
      <c r="H77" s="13">
        <f t="shared" si="4"/>
        <v>1121.44</v>
      </c>
      <c r="I77"/>
    </row>
    <row r="78" spans="1:9" ht="12.75" thickTop="1" thickBot="1" x14ac:dyDescent="0.25">
      <c r="A78" s="28" t="s">
        <v>259</v>
      </c>
      <c r="B78" s="6"/>
      <c r="C78" s="93">
        <f>SUM(C72:C77)</f>
        <v>369147.95999999996</v>
      </c>
      <c r="D78" s="93">
        <f>SUM(D72:D77)</f>
        <v>1121.44</v>
      </c>
      <c r="E78" s="93">
        <f>SUM(E72:E77)</f>
        <v>0</v>
      </c>
      <c r="F78" s="93">
        <f>SUM(F72:F77)</f>
        <v>0</v>
      </c>
      <c r="G78" s="93">
        <f>SUM(G72:G77)</f>
        <v>0</v>
      </c>
      <c r="H78" s="13">
        <f t="shared" si="4"/>
        <v>370269.39999999997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1868962.43</v>
      </c>
      <c r="D81" s="93">
        <f>SUM(D79:D80)+D78+D70</f>
        <v>1121.44</v>
      </c>
      <c r="E81" s="93">
        <f>SUM(E79:E80)+E78+E70</f>
        <v>0</v>
      </c>
      <c r="F81" s="93">
        <f>SUM(F79:F80)+F78+F70</f>
        <v>0</v>
      </c>
      <c r="G81" s="93">
        <f>SUM(G79:G80)+G78+G70</f>
        <v>0</v>
      </c>
      <c r="H81" s="93">
        <f t="shared" si="4"/>
        <v>1870083.8699999999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3409</v>
      </c>
      <c r="F85" s="73">
        <f>'DOE25'!I147</f>
        <v>0</v>
      </c>
      <c r="G85" s="23" t="s">
        <v>288</v>
      </c>
      <c r="H85" s="13">
        <f t="shared" ref="H85:H104" si="5">SUM(C85:G85)</f>
        <v>3409</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2498.31</v>
      </c>
      <c r="D88" s="253">
        <f>SUM('DOE25'!G153:G162)</f>
        <v>52441.03</v>
      </c>
      <c r="E88" s="253">
        <f>SUM('DOE25'!H153:H162)</f>
        <v>185571.1</v>
      </c>
      <c r="F88" s="253">
        <f>SUM('DOE25'!I153:I162)</f>
        <v>0</v>
      </c>
      <c r="G88" s="23" t="s">
        <v>288</v>
      </c>
      <c r="H88" s="13">
        <f t="shared" si="5"/>
        <v>240510.44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469.89</v>
      </c>
      <c r="D90" s="23" t="s">
        <v>288</v>
      </c>
      <c r="E90" s="23" t="s">
        <v>288</v>
      </c>
      <c r="F90" s="23" t="s">
        <v>288</v>
      </c>
      <c r="G90" s="23" t="s">
        <v>288</v>
      </c>
      <c r="H90" s="13">
        <f t="shared" si="5"/>
        <v>469.89</v>
      </c>
    </row>
    <row r="91" spans="1:9" ht="12.75" thickTop="1" thickBot="1" x14ac:dyDescent="0.25">
      <c r="A91" s="32" t="s">
        <v>750</v>
      </c>
      <c r="C91" s="94">
        <f>SUM(C85:C90)</f>
        <v>2968.2</v>
      </c>
      <c r="D91" s="94">
        <f>SUM(D85:D90)</f>
        <v>52441.03</v>
      </c>
      <c r="E91" s="94">
        <f>SUM(E85:E90)</f>
        <v>188980.1</v>
      </c>
      <c r="F91" s="94">
        <f>SUM(F85:F90)</f>
        <v>0</v>
      </c>
      <c r="G91" s="23" t="s">
        <v>288</v>
      </c>
      <c r="H91" s="13">
        <f t="shared" si="5"/>
        <v>244389.33000000002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20921.099999999999</v>
      </c>
      <c r="E96" s="73">
        <f>'DOE25'!H180</f>
        <v>0</v>
      </c>
      <c r="F96" s="73">
        <f>'DOE25'!I180</f>
        <v>0</v>
      </c>
      <c r="G96" s="73">
        <f>'DOE25'!J180</f>
        <v>0</v>
      </c>
      <c r="H96" s="13">
        <f t="shared" si="5"/>
        <v>20921.099999999999</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20921.099999999999</v>
      </c>
      <c r="E103" s="68">
        <f>SUM(E93:E102)</f>
        <v>0</v>
      </c>
      <c r="F103" s="68">
        <f>SUM(F93:F102)</f>
        <v>0</v>
      </c>
      <c r="G103" s="68">
        <f>SUM(G93:G102)</f>
        <v>0</v>
      </c>
      <c r="H103" s="68">
        <f t="shared" si="5"/>
        <v>20921.099999999999</v>
      </c>
    </row>
    <row r="104" spans="1:8" ht="12.75" thickTop="1" thickBot="1" x14ac:dyDescent="0.25">
      <c r="A104" s="32" t="s">
        <v>761</v>
      </c>
      <c r="C104" s="68">
        <f>C63+C81+C91+C103</f>
        <v>5908373.8700000001</v>
      </c>
      <c r="D104" s="68">
        <f>D63+D81+D91+D103</f>
        <v>148087.07999999999</v>
      </c>
      <c r="E104" s="68">
        <f>E63+E81+E91+E103</f>
        <v>208999.24</v>
      </c>
      <c r="F104" s="68">
        <f>F63+F81+F91+F103</f>
        <v>0</v>
      </c>
      <c r="G104" s="68">
        <f>G63+G81+G103</f>
        <v>15094.86</v>
      </c>
      <c r="H104" s="68">
        <f t="shared" si="5"/>
        <v>6280555.0500000007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2388395.5999999996</v>
      </c>
      <c r="D109" s="23" t="s">
        <v>288</v>
      </c>
      <c r="E109" s="73">
        <f>('DOE25'!L277)+('DOE25'!L296)+('DOE25'!L315)</f>
        <v>105383.13999999998</v>
      </c>
      <c r="F109" s="23" t="s">
        <v>288</v>
      </c>
      <c r="G109" s="23" t="s">
        <v>288</v>
      </c>
      <c r="H109" s="13">
        <f t="shared" ref="H109:H115" si="6">SUM(C109:G109)</f>
        <v>2493778.7399999998</v>
      </c>
    </row>
    <row r="110" spans="1:8" x14ac:dyDescent="0.2">
      <c r="A110" t="s">
        <v>198</v>
      </c>
      <c r="B110" s="31" t="s">
        <v>199</v>
      </c>
      <c r="C110" s="73">
        <f>('DOE25'!L199)+('DOE25'!L217)+('DOE25'!L235)</f>
        <v>636060.76</v>
      </c>
      <c r="D110" s="23" t="s">
        <v>288</v>
      </c>
      <c r="E110" s="73">
        <f>('DOE25'!L278)+('DOE25'!L297)+('DOE25'!L316)</f>
        <v>73966.539999999994</v>
      </c>
      <c r="F110" s="23" t="s">
        <v>288</v>
      </c>
      <c r="G110" s="23" t="s">
        <v>288</v>
      </c>
      <c r="H110" s="13">
        <f t="shared" si="6"/>
        <v>710027.3</v>
      </c>
    </row>
    <row r="111" spans="1:8" x14ac:dyDescent="0.2">
      <c r="A111" t="s">
        <v>200</v>
      </c>
      <c r="B111" s="31" t="s">
        <v>165</v>
      </c>
      <c r="C111" s="73">
        <f>('DOE25'!L200)+('DOE25'!L218)+('DOE25'!L236)</f>
        <v>215236.18</v>
      </c>
      <c r="D111" s="23" t="s">
        <v>288</v>
      </c>
      <c r="E111" s="73">
        <f>('DOE25'!L279)+('DOE25'!L298)+('DOE25'!L317)</f>
        <v>1803.9499999999998</v>
      </c>
      <c r="F111" s="23" t="s">
        <v>288</v>
      </c>
      <c r="G111" s="23" t="s">
        <v>288</v>
      </c>
      <c r="H111" s="13">
        <f t="shared" si="6"/>
        <v>217040.13</v>
      </c>
    </row>
    <row r="112" spans="1:8" x14ac:dyDescent="0.2">
      <c r="A112" t="s">
        <v>201</v>
      </c>
      <c r="B112" s="31" t="s">
        <v>167</v>
      </c>
      <c r="C112" s="73">
        <f>('DOE25'!L201)+('DOE25'!L219)+('DOE25'!L237)</f>
        <v>175257.21999999997</v>
      </c>
      <c r="D112" s="23" t="s">
        <v>288</v>
      </c>
      <c r="E112" s="73">
        <f>+('DOE25'!L280)+('DOE25'!L299)+('DOE25'!L318)</f>
        <v>1000</v>
      </c>
      <c r="F112" s="23" t="s">
        <v>288</v>
      </c>
      <c r="G112" s="23" t="s">
        <v>288</v>
      </c>
      <c r="H112" s="13">
        <f t="shared" si="6"/>
        <v>176257.21999999997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3414949.76</v>
      </c>
      <c r="D115" s="68">
        <f>SUM(D109:D114)</f>
        <v>0</v>
      </c>
      <c r="E115" s="68">
        <f>SUM(E109:E114)</f>
        <v>182153.63</v>
      </c>
      <c r="F115" s="68">
        <f>SUM(F109:F114)</f>
        <v>0</v>
      </c>
      <c r="G115" s="68">
        <f>SUM(G109:G114)</f>
        <v>0</v>
      </c>
      <c r="H115" s="68">
        <f t="shared" si="6"/>
        <v>3597103.3899999997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383699.86</v>
      </c>
      <c r="D118" s="23" t="s">
        <v>288</v>
      </c>
      <c r="E118" s="73">
        <f>+('DOE25'!L282)+('DOE25'!L301)+('DOE25'!L320)</f>
        <v>2698.52</v>
      </c>
      <c r="F118" s="23" t="s">
        <v>288</v>
      </c>
      <c r="G118" s="23" t="s">
        <v>288</v>
      </c>
      <c r="H118" s="13">
        <f t="shared" ref="H118:H145" si="7">SUM(C118:G118)</f>
        <v>386398.38</v>
      </c>
    </row>
    <row r="119" spans="1:8" x14ac:dyDescent="0.2">
      <c r="A119" t="s">
        <v>208</v>
      </c>
      <c r="B119" s="31" t="s">
        <v>209</v>
      </c>
      <c r="C119" s="73">
        <f>('DOE25'!L204)+('DOE25'!L222)+('DOE25'!L240)</f>
        <v>263784.53000000003</v>
      </c>
      <c r="D119" s="23" t="s">
        <v>288</v>
      </c>
      <c r="E119" s="73">
        <f>+('DOE25'!L283)+('DOE25'!L302)+('DOE25'!L321)</f>
        <v>2895.81</v>
      </c>
      <c r="F119" s="23" t="s">
        <v>288</v>
      </c>
      <c r="G119" s="23" t="s">
        <v>288</v>
      </c>
      <c r="H119" s="13">
        <f t="shared" si="7"/>
        <v>266680.34000000003</v>
      </c>
    </row>
    <row r="120" spans="1:8" x14ac:dyDescent="0.2">
      <c r="A120" t="s">
        <v>210</v>
      </c>
      <c r="B120" s="31" t="s">
        <v>211</v>
      </c>
      <c r="C120" s="73">
        <f>('DOE25'!L205)+('DOE25'!L223)+('DOE25'!L241)</f>
        <v>386233.3</v>
      </c>
      <c r="D120" s="23" t="s">
        <v>288</v>
      </c>
      <c r="E120" s="73">
        <f>+('DOE25'!L284)+('DOE25'!L303)+('DOE25'!L322)</f>
        <v>6711.29</v>
      </c>
      <c r="F120" s="23" t="s">
        <v>288</v>
      </c>
      <c r="G120" s="23" t="s">
        <v>288</v>
      </c>
      <c r="H120" s="13">
        <f t="shared" si="7"/>
        <v>392944.58999999997</v>
      </c>
    </row>
    <row r="121" spans="1:8" x14ac:dyDescent="0.2">
      <c r="A121" t="s">
        <v>212</v>
      </c>
      <c r="B121" s="31" t="s">
        <v>213</v>
      </c>
      <c r="C121" s="73">
        <f>('DOE25'!L206)+('DOE25'!L224)+('DOE25'!L242)</f>
        <v>456990.75</v>
      </c>
      <c r="D121" s="23" t="s">
        <v>288</v>
      </c>
      <c r="E121" s="73">
        <f>+('DOE25'!L285)+('DOE25'!L304)+('DOE25'!L323)</f>
        <v>0</v>
      </c>
      <c r="F121" s="23" t="s">
        <v>288</v>
      </c>
      <c r="G121" s="23" t="s">
        <v>288</v>
      </c>
      <c r="H121" s="13">
        <f t="shared" si="7"/>
        <v>456990.75</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468116.12</v>
      </c>
      <c r="D123" s="23" t="s">
        <v>288</v>
      </c>
      <c r="E123" s="73">
        <f>+('DOE25'!L287)+('DOE25'!L306)+('DOE25'!L325)</f>
        <v>250</v>
      </c>
      <c r="F123" s="23" t="s">
        <v>288</v>
      </c>
      <c r="G123" s="23" t="s">
        <v>288</v>
      </c>
      <c r="H123" s="13">
        <f t="shared" si="7"/>
        <v>468366.12</v>
      </c>
    </row>
    <row r="124" spans="1:8" x14ac:dyDescent="0.2">
      <c r="A124" t="s">
        <v>218</v>
      </c>
      <c r="B124" s="31" t="s">
        <v>219</v>
      </c>
      <c r="C124" s="73">
        <f>('DOE25'!L209)+('DOE25'!L227)+('DOE25'!L245+'DOE25'!L255)</f>
        <v>133097.53</v>
      </c>
      <c r="D124" s="23" t="s">
        <v>288</v>
      </c>
      <c r="E124" s="73">
        <f>+('DOE25'!L288)+('DOE25'!L307)+('DOE25'!L326)</f>
        <v>0</v>
      </c>
      <c r="F124" s="23" t="s">
        <v>288</v>
      </c>
      <c r="G124" s="23" t="s">
        <v>288</v>
      </c>
      <c r="H124" s="13">
        <f t="shared" si="7"/>
        <v>133097.53</v>
      </c>
    </row>
    <row r="125" spans="1:8" x14ac:dyDescent="0.2">
      <c r="A125" t="s">
        <v>220</v>
      </c>
      <c r="B125" s="31" t="s">
        <v>221</v>
      </c>
      <c r="C125" s="73">
        <f>('DOE25'!L210)+('DOE25'!L228)+('DOE25'!L246)</f>
        <v>41858</v>
      </c>
      <c r="D125" s="23" t="s">
        <v>288</v>
      </c>
      <c r="E125" s="73">
        <f>+('DOE25'!L289)+('DOE25'!L308)+('DOE25'!L327)</f>
        <v>0</v>
      </c>
      <c r="F125" s="23" t="s">
        <v>288</v>
      </c>
      <c r="G125" s="23" t="s">
        <v>288</v>
      </c>
      <c r="H125" s="13">
        <f t="shared" si="7"/>
        <v>41858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148087.07999999999</v>
      </c>
      <c r="E127" s="23" t="s">
        <v>288</v>
      </c>
      <c r="F127" s="23" t="s">
        <v>288</v>
      </c>
      <c r="G127" s="23" t="s">
        <v>288</v>
      </c>
      <c r="H127" s="13">
        <f t="shared" si="7"/>
        <v>148087.07999999999</v>
      </c>
    </row>
    <row r="128" spans="1:8" ht="12.75" thickTop="1" thickBot="1" x14ac:dyDescent="0.25">
      <c r="A128" s="32" t="s">
        <v>226</v>
      </c>
      <c r="C128" s="68">
        <f>SUM(C118:C127)</f>
        <v>2133780.09</v>
      </c>
      <c r="D128" s="68">
        <f>SUM(D118:D127)</f>
        <v>148087.07999999999</v>
      </c>
      <c r="E128" s="68">
        <f>SUM(E118:E127)</f>
        <v>12555.619999999999</v>
      </c>
      <c r="F128" s="68">
        <f>SUM(F118:F127)</f>
        <v>0</v>
      </c>
      <c r="G128" s="68">
        <f>SUM(G118:G127)</f>
        <v>0</v>
      </c>
      <c r="H128" s="68">
        <f t="shared" si="7"/>
        <v>2294422.79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1289.99</v>
      </c>
      <c r="F130" s="92">
        <f>SUM('DOE25'!L375:'DOE25'!L381)</f>
        <v>0</v>
      </c>
      <c r="G130" s="23" t="s">
        <v>288</v>
      </c>
      <c r="H130" s="13">
        <f t="shared" si="7"/>
        <v>1289.99</v>
      </c>
    </row>
    <row r="131" spans="1:8" x14ac:dyDescent="0.2">
      <c r="A131" t="s">
        <v>229</v>
      </c>
      <c r="B131" s="31">
        <v>5110</v>
      </c>
      <c r="C131" s="73">
        <f>'DOE25'!L261</f>
        <v>645000</v>
      </c>
      <c r="D131" s="23" t="s">
        <v>288</v>
      </c>
      <c r="E131" s="92">
        <f>'DOE25'!L342</f>
        <v>0</v>
      </c>
      <c r="F131" s="23" t="s">
        <v>288</v>
      </c>
      <c r="G131" s="23" t="s">
        <v>288</v>
      </c>
      <c r="H131" s="13">
        <f t="shared" si="7"/>
        <v>645000</v>
      </c>
    </row>
    <row r="132" spans="1:8" x14ac:dyDescent="0.2">
      <c r="A132" t="s">
        <v>230</v>
      </c>
      <c r="B132" s="31">
        <v>5120</v>
      </c>
      <c r="C132" s="73">
        <f>'DOE25'!L262</f>
        <v>91806.26</v>
      </c>
      <c r="D132" s="23" t="s">
        <v>288</v>
      </c>
      <c r="E132" s="92">
        <f>'DOE25'!L343</f>
        <v>0</v>
      </c>
      <c r="F132" s="23" t="s">
        <v>288</v>
      </c>
      <c r="G132" s="23" t="s">
        <v>288</v>
      </c>
      <c r="H132" s="13">
        <f t="shared" si="7"/>
        <v>91806.26</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20921.099999999999</v>
      </c>
      <c r="D135" s="23" t="s">
        <v>288</v>
      </c>
      <c r="E135" s="92">
        <f>'DOE25'!L346</f>
        <v>0</v>
      </c>
      <c r="F135" s="23" t="s">
        <v>288</v>
      </c>
      <c r="G135" s="23" t="s">
        <v>288</v>
      </c>
      <c r="H135" s="13">
        <f t="shared" si="7"/>
        <v>20921.099999999999</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15094.86</v>
      </c>
      <c r="D139" s="23" t="s">
        <v>288</v>
      </c>
      <c r="E139" s="23" t="s">
        <v>288</v>
      </c>
      <c r="F139" s="23" t="s">
        <v>288</v>
      </c>
      <c r="G139" s="23" t="s">
        <v>288</v>
      </c>
      <c r="H139" s="13">
        <f t="shared" si="7"/>
        <v>15094.86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-15094.86</v>
      </c>
      <c r="D141" s="23" t="s">
        <v>288</v>
      </c>
      <c r="E141" s="23" t="s">
        <v>288</v>
      </c>
      <c r="F141" s="23" t="s">
        <v>288</v>
      </c>
      <c r="G141" s="23" t="s">
        <v>288</v>
      </c>
      <c r="H141" s="13">
        <f t="shared" si="7"/>
        <v>-15094.86</v>
      </c>
    </row>
    <row r="142" spans="1:8" x14ac:dyDescent="0.2">
      <c r="A142" t="s">
        <v>241</v>
      </c>
      <c r="B142" s="31">
        <v>5310</v>
      </c>
      <c r="C142" s="92">
        <f>'DOE25'!L269</f>
        <v>12625</v>
      </c>
      <c r="D142" s="23" t="s">
        <v>288</v>
      </c>
      <c r="E142" s="92">
        <f>'DOE25'!L350</f>
        <v>0</v>
      </c>
      <c r="F142" s="23" t="s">
        <v>288</v>
      </c>
      <c r="G142" s="23" t="s">
        <v>288</v>
      </c>
      <c r="H142" s="13">
        <f t="shared" si="7"/>
        <v>12625</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770352.36</v>
      </c>
      <c r="D144" s="98">
        <f>SUM(D130:D143)</f>
        <v>0</v>
      </c>
      <c r="E144" s="98">
        <f>SUM(E130:E143)</f>
        <v>1289.99</v>
      </c>
      <c r="F144" s="98">
        <f>SUM(F130:F143)</f>
        <v>0</v>
      </c>
      <c r="G144" s="98">
        <f>SUM(G130:G143)</f>
        <v>0</v>
      </c>
      <c r="H144" s="98">
        <f t="shared" si="7"/>
        <v>771642.35</v>
      </c>
    </row>
    <row r="145" spans="1:9" ht="12.75" thickTop="1" thickBot="1" x14ac:dyDescent="0.25">
      <c r="A145" s="32" t="s">
        <v>244</v>
      </c>
      <c r="C145" s="68">
        <f>(C115+C128+C144)</f>
        <v>6319082.21</v>
      </c>
      <c r="D145" s="68">
        <f>(D115+D128+D144)</f>
        <v>148087.07999999999</v>
      </c>
      <c r="E145" s="68">
        <f>(E115+E128+E144)</f>
        <v>195999.24</v>
      </c>
      <c r="F145" s="68">
        <f>(F115+F128+F144)</f>
        <v>0</v>
      </c>
      <c r="G145" s="68">
        <f>(G115+G128+G144)</f>
        <v>0</v>
      </c>
      <c r="H145" s="68">
        <f t="shared" si="7"/>
        <v>6663168.5300000003</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Profile</v>
      </c>
    </row>
    <row r="3" spans="1:4" x14ac:dyDescent="0.2">
      <c r="B3" s="137" t="s">
        <v>1799</v>
      </c>
    </row>
    <row r="4" spans="1:4" x14ac:dyDescent="0.2">
      <c r="B4" t="s">
        <v>61</v>
      </c>
      <c r="C4" s="129">
        <f>IF('DOE25'!F666+'DOE25'!F671=0,0,ROUND('DOE25'!F673,0))</f>
        <v>0</v>
      </c>
    </row>
    <row r="5" spans="1:4" x14ac:dyDescent="0.2">
      <c r="B5" t="s">
        <v>700</v>
      </c>
      <c r="C5" s="129">
        <f>IF('DOE25'!G666+'DOE25'!G671=0,0,ROUND('DOE25'!G673,0))</f>
        <v>28413</v>
      </c>
    </row>
    <row r="6" spans="1:4" x14ac:dyDescent="0.2">
      <c r="B6" t="s">
        <v>62</v>
      </c>
      <c r="C6" s="129">
        <f>IF('DOE25'!H666+'DOE25'!H671=0,0,ROUND('DOE25'!H673,0))</f>
        <v>26850</v>
      </c>
    </row>
    <row r="7" spans="1:4" x14ac:dyDescent="0.2">
      <c r="B7" t="s">
        <v>701</v>
      </c>
      <c r="C7" s="129">
        <f>IF('DOE25'!I666+'DOE25'!I671=0,0,ROUND('DOE25'!I673,0))</f>
        <v>27359</v>
      </c>
    </row>
    <row r="9" spans="1:4" x14ac:dyDescent="0.2">
      <c r="A9" s="136" t="s">
        <v>94</v>
      </c>
      <c r="B9" s="137" t="s">
        <v>1800</v>
      </c>
      <c r="C9" s="131" t="s">
        <v>720</v>
      </c>
      <c r="D9" s="131" t="s">
        <v>721</v>
      </c>
    </row>
    <row r="10" spans="1:4" x14ac:dyDescent="0.2">
      <c r="A10">
        <v>1100</v>
      </c>
      <c r="B10" t="s">
        <v>702</v>
      </c>
      <c r="C10" s="129">
        <f>ROUND('DOE25'!L198+'DOE25'!L216+'DOE25'!L234+'DOE25'!L277+'DOE25'!L296+'DOE25'!L315,0)</f>
        <v>2493779</v>
      </c>
      <c r="D10" s="132">
        <f>ROUND((C10/$C$28)*100,1)</f>
        <v>42.1</v>
      </c>
    </row>
    <row r="11" spans="1:4" x14ac:dyDescent="0.2">
      <c r="A11">
        <v>1200</v>
      </c>
      <c r="B11" t="s">
        <v>703</v>
      </c>
      <c r="C11" s="129">
        <f>ROUND('DOE25'!L199+'DOE25'!L217+'DOE25'!L235+'DOE25'!L278+'DOE25'!L297+'DOE25'!L316,0)</f>
        <v>710027</v>
      </c>
      <c r="D11" s="132">
        <f>ROUND((C11/$C$28)*100,1)</f>
        <v>12</v>
      </c>
    </row>
    <row r="12" spans="1:4" x14ac:dyDescent="0.2">
      <c r="A12">
        <v>1300</v>
      </c>
      <c r="B12" t="s">
        <v>704</v>
      </c>
      <c r="C12" s="129">
        <f>ROUND('DOE25'!L200+'DOE25'!L218+'DOE25'!L236+'DOE25'!L279+'DOE25'!L298+'DOE25'!L317,0)</f>
        <v>217040</v>
      </c>
      <c r="D12" s="132">
        <f>ROUND((C12/$C$28)*100,1)</f>
        <v>3.7</v>
      </c>
    </row>
    <row r="13" spans="1:4" x14ac:dyDescent="0.2">
      <c r="A13">
        <v>1400</v>
      </c>
      <c r="B13" t="s">
        <v>705</v>
      </c>
      <c r="C13" s="129">
        <f>ROUND('DOE25'!L201+'DOE25'!L219+'DOE25'!L237+'DOE25'!L280+'DOE25'!L299+'DOE25'!L318,0)</f>
        <v>176257</v>
      </c>
      <c r="D13" s="132">
        <f>ROUND((C13/$C$28)*100,1)</f>
        <v>3</v>
      </c>
    </row>
    <row r="14" spans="1:4" x14ac:dyDescent="0.2">
      <c r="D14" s="132"/>
    </row>
    <row r="15" spans="1:4" x14ac:dyDescent="0.2">
      <c r="A15">
        <v>2100</v>
      </c>
      <c r="B15" t="s">
        <v>706</v>
      </c>
      <c r="C15" s="129">
        <f>ROUND('DOE25'!L203+'DOE25'!L221+'DOE25'!L239+'DOE25'!L282+'DOE25'!L301+'DOE25'!L320,0)</f>
        <v>386398</v>
      </c>
      <c r="D15" s="132">
        <f t="shared" ref="D15:D27" si="0">ROUND((C15/$C$28)*100,1)</f>
        <v>6.5</v>
      </c>
    </row>
    <row r="16" spans="1:4" x14ac:dyDescent="0.2">
      <c r="A16">
        <v>2200</v>
      </c>
      <c r="B16" t="s">
        <v>707</v>
      </c>
      <c r="C16" s="129">
        <f>ROUND('DOE25'!L204+'DOE25'!L222+'DOE25'!L240+'DOE25'!L283+'DOE25'!L302+'DOE25'!L321,0)</f>
        <v>266680</v>
      </c>
      <c r="D16" s="132">
        <f t="shared" si="0"/>
        <v>4.5</v>
      </c>
    </row>
    <row r="17" spans="1:4" x14ac:dyDescent="0.2">
      <c r="A17" s="133" t="s">
        <v>723</v>
      </c>
      <c r="B17" t="s">
        <v>738</v>
      </c>
      <c r="C17" s="129">
        <f>ROUND('DOE25'!L205+'DOE25'!L210+'DOE25'!L223+'DOE25'!L228+'DOE25'!L241+'DOE25'!L246+'DOE25'!L284+'DOE25'!L289+'DOE25'!L303+'DOE25'!L308+'DOE25'!L322+'DOE25'!L327,0)</f>
        <v>434803</v>
      </c>
      <c r="D17" s="132">
        <f t="shared" si="0"/>
        <v>7.3</v>
      </c>
    </row>
    <row r="18" spans="1:4" x14ac:dyDescent="0.2">
      <c r="A18">
        <v>2400</v>
      </c>
      <c r="B18" t="s">
        <v>711</v>
      </c>
      <c r="C18" s="129">
        <f>ROUND('DOE25'!L206+'DOE25'!L224+'DOE25'!L242+'DOE25'!L285+'DOE25'!L304+'DOE25'!L323,0)</f>
        <v>456991</v>
      </c>
      <c r="D18" s="132">
        <f t="shared" si="0"/>
        <v>7.7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468366</v>
      </c>
      <c r="D20" s="132">
        <f t="shared" si="0"/>
        <v>7.9</v>
      </c>
    </row>
    <row r="21" spans="1:4" x14ac:dyDescent="0.2">
      <c r="A21">
        <v>2700</v>
      </c>
      <c r="B21" t="s">
        <v>710</v>
      </c>
      <c r="C21" s="129">
        <f>ROUND('DOE25'!L209+'DOE25'!L227+'DOE25'!L245+'DOE25'!L288+'DOE25'!L307+'DOE25'!L326,0)</f>
        <v>133098</v>
      </c>
      <c r="D21" s="132">
        <f t="shared" si="0"/>
        <v>2.2000000000000002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91806</v>
      </c>
      <c r="D25" s="132">
        <f t="shared" si="0"/>
        <v>1.6</v>
      </c>
    </row>
    <row r="26" spans="1:4" x14ac:dyDescent="0.2">
      <c r="A26" s="133" t="s">
        <v>717</v>
      </c>
      <c r="B26" t="s">
        <v>718</v>
      </c>
      <c r="C26" s="129">
        <f>'DOE25'!L269+'DOE25'!L270+'DOE25'!L350+'DOE25'!L351</f>
        <v>12625</v>
      </c>
      <c r="D26" s="132">
        <f t="shared" si="0"/>
        <v>0.2</v>
      </c>
    </row>
    <row r="27" spans="1:4" x14ac:dyDescent="0.2">
      <c r="A27">
        <v>3100</v>
      </c>
      <c r="B27" t="s">
        <v>11</v>
      </c>
      <c r="C27" s="129">
        <f>ROUND('DOE25'!L363-'DOE25'!L362,0)-SUM('DOE25'!G97:G110)</f>
        <v>74483.490000000005</v>
      </c>
      <c r="D27" s="132">
        <f t="shared" si="0"/>
        <v>1.3</v>
      </c>
    </row>
    <row r="28" spans="1:4" x14ac:dyDescent="0.2">
      <c r="B28" s="136" t="s">
        <v>719</v>
      </c>
      <c r="C28" s="130">
        <f>SUM(C10:C27)</f>
        <v>5922353.4900000002</v>
      </c>
      <c r="D28" s="134">
        <f>ROUND(SUM(D10:D27),0)</f>
        <v>100</v>
      </c>
    </row>
    <row r="29" spans="1:4" x14ac:dyDescent="0.2">
      <c r="A29">
        <v>4000</v>
      </c>
      <c r="B29" t="s">
        <v>724</v>
      </c>
      <c r="C29" s="129">
        <f>ROUND('DOE25'!L256+'DOE25'!L337+'DOE25'!L375+'DOE25'!L376+'DOE25'!L377+'DOE25'!L378+'DOE25'!L379+'DOE25'!L380+'DOE25'!L381,0)</f>
        <v>1290</v>
      </c>
    </row>
    <row r="30" spans="1:4" x14ac:dyDescent="0.2">
      <c r="B30" s="136" t="s">
        <v>725</v>
      </c>
      <c r="C30" s="130">
        <f>SUM(C28:C29)</f>
        <v>5923643.4900000002</v>
      </c>
    </row>
    <row r="31" spans="1:4" x14ac:dyDescent="0.2">
      <c r="B31" s="32"/>
      <c r="C31" s="130"/>
    </row>
    <row r="32" spans="1:4" x14ac:dyDescent="0.2">
      <c r="A32">
        <v>5100</v>
      </c>
      <c r="B32" s="32" t="s">
        <v>726</v>
      </c>
      <c r="C32" s="130">
        <f>ROUND('DOE25'!L261+'DOE25'!L342,0)</f>
        <v>645000</v>
      </c>
    </row>
    <row r="34" spans="1:4" x14ac:dyDescent="0.2">
      <c r="A34" s="136" t="s">
        <v>94</v>
      </c>
      <c r="B34" s="137" t="s">
        <v>1801</v>
      </c>
      <c r="C34" s="131" t="s">
        <v>720</v>
      </c>
      <c r="D34" s="131" t="s">
        <v>721</v>
      </c>
    </row>
    <row r="35" spans="1:4" x14ac:dyDescent="0.2">
      <c r="A35">
        <v>1100</v>
      </c>
      <c r="B35" s="71" t="s">
        <v>727</v>
      </c>
      <c r="C35" s="129">
        <f>ROUND('DOE25'!F60+'DOE25'!G60+'DOE25'!H60+'DOE25'!I60+'DOE25'!J60,0)</f>
        <v>3934913</v>
      </c>
      <c r="D35" s="132">
        <f t="shared" ref="D35:D40" si="1">ROUND((C35/$C$41)*100,1)</f>
        <v>63.6</v>
      </c>
    </row>
    <row r="36" spans="1:4" x14ac:dyDescent="0.2">
      <c r="B36" s="71" t="s">
        <v>739</v>
      </c>
      <c r="C36" s="129">
        <f>SUM('DOE25'!F112:J112)-SUM('DOE25'!G97:G110)+('DOE25'!F175+'DOE25'!F176+'DOE25'!I175+'DOE25'!I176)-C35</f>
        <v>136644.24000000022</v>
      </c>
      <c r="D36" s="132">
        <f t="shared" si="1"/>
        <v>2.2000000000000002</v>
      </c>
    </row>
    <row r="37" spans="1:4" x14ac:dyDescent="0.2">
      <c r="A37" s="133" t="s">
        <v>834</v>
      </c>
      <c r="B37" s="71" t="s">
        <v>728</v>
      </c>
      <c r="C37" s="129">
        <f>ROUND('DOE25'!F117+'DOE25'!F118,0)</f>
        <v>1466395</v>
      </c>
      <c r="D37" s="132">
        <f t="shared" si="1"/>
        <v>23.7</v>
      </c>
    </row>
    <row r="38" spans="1:4" x14ac:dyDescent="0.2">
      <c r="A38" s="133" t="s">
        <v>734</v>
      </c>
      <c r="B38" s="71" t="s">
        <v>729</v>
      </c>
      <c r="C38" s="129">
        <f>ROUND(SUM('DOE25'!F140:J140)-SUM('DOE25'!F117:F119),0)</f>
        <v>403689</v>
      </c>
      <c r="D38" s="132">
        <f t="shared" si="1"/>
        <v>6.5</v>
      </c>
    </row>
    <row r="39" spans="1:4" x14ac:dyDescent="0.2">
      <c r="A39">
        <v>4000</v>
      </c>
      <c r="B39" s="71" t="s">
        <v>730</v>
      </c>
      <c r="C39" s="129">
        <f>ROUND('DOE25'!F170+'DOE25'!G170+'DOE25'!H170+'DOE25'!I170,0)</f>
        <v>244389</v>
      </c>
      <c r="D39" s="132">
        <f t="shared" si="1"/>
        <v>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6186030.2400000002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Profile</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57</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f>IF('School Level Expenditures'!$B$2='School Tables'!L60,'School Tables'!S60,"")</f>
        <v>57</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f>IF('School Level Expenditures'!$B$2='School Tables'!W80,'School Tables'!AD80,"")</f>
        <v>77</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2023-10-05T20:35:18Z</cp:lastPrinted>
  <dcterms:created xsi:type="dcterms:W3CDTF">1997-12-04T19:04:30Z</dcterms:created>
  <dcterms:modified xsi:type="dcterms:W3CDTF">2023-12-29T14:16:44Z</dcterms:modified>
</cp:coreProperties>
</file>