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641DB788-FD65-4747-B900-E3741733E590}"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5" i="13" l="1"/>
  <c r="P6" i="14" l="1"/>
  <c r="O6" i="14"/>
  <c r="M6" i="14"/>
  <c r="L6" i="14"/>
  <c r="K6" i="14"/>
  <c r="K38" i="14"/>
  <c r="K26" i="14"/>
  <c r="D6" i="14"/>
  <c r="D25" i="14"/>
  <c r="D9" i="13"/>
  <c r="C20" i="12" l="1"/>
  <c r="C19" i="12"/>
  <c r="C12" i="12"/>
  <c r="C11" i="12"/>
  <c r="C10" i="12"/>
  <c r="B20" i="12"/>
  <c r="B19" i="12"/>
  <c r="B10" i="12"/>
  <c r="B12" i="12"/>
  <c r="B11" i="12"/>
  <c r="E13" i="17" l="1"/>
  <c r="E9" i="17"/>
  <c r="I527" i="1"/>
  <c r="H209" i="1"/>
  <c r="H245" i="1"/>
  <c r="H527" i="1"/>
  <c r="I522" i="1"/>
  <c r="H522" i="1"/>
  <c r="G522" i="1"/>
  <c r="F522" i="1"/>
  <c r="F466" i="1" l="1"/>
  <c r="F22" i="1"/>
  <c r="F50" i="1"/>
  <c r="H605" i="1" l="1"/>
  <c r="J592" i="1"/>
  <c r="I592" i="1"/>
  <c r="H227" i="1"/>
  <c r="I278" i="1" l="1"/>
  <c r="I277" i="1"/>
  <c r="G239" i="1"/>
  <c r="H235" i="1"/>
  <c r="G235" i="1"/>
  <c r="G221" i="1"/>
  <c r="H217" i="1"/>
  <c r="G217" i="1"/>
  <c r="F217" i="1"/>
  <c r="H216" i="1"/>
  <c r="K205" i="1"/>
  <c r="H198" i="1"/>
  <c r="I208" i="1"/>
  <c r="I205" i="1"/>
  <c r="I203" i="1"/>
  <c r="H208" i="1"/>
  <c r="H205" i="1"/>
  <c r="H203" i="1"/>
  <c r="H199" i="1"/>
  <c r="G198" i="1"/>
  <c r="G205" i="1"/>
  <c r="G203" i="1"/>
  <c r="G199" i="1"/>
  <c r="F203" i="1"/>
  <c r="F199" i="1"/>
  <c r="F198" i="1"/>
  <c r="F205" i="1"/>
  <c r="F12" i="1"/>
  <c r="H155" i="1"/>
  <c r="H159" i="1"/>
  <c r="H162" i="1"/>
  <c r="G97" i="1"/>
  <c r="J469"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58" i="2" s="1"/>
  <c r="H111" i="1"/>
  <c r="I111" i="1"/>
  <c r="I112" i="1" s="1"/>
  <c r="J111" i="1"/>
  <c r="F121" i="1"/>
  <c r="F136" i="1"/>
  <c r="G121" i="1"/>
  <c r="G136" i="1"/>
  <c r="H121" i="1"/>
  <c r="H136" i="1"/>
  <c r="I121" i="1"/>
  <c r="I136" i="1"/>
  <c r="J121" i="1"/>
  <c r="J136" i="1"/>
  <c r="F147" i="1"/>
  <c r="F170" i="1" s="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H22" i="2" s="1"/>
  <c r="C23" i="2"/>
  <c r="D23" i="2"/>
  <c r="E23" i="2"/>
  <c r="F23" i="2"/>
  <c r="I451" i="1"/>
  <c r="J24" i="1" s="1"/>
  <c r="G23" i="2" s="1"/>
  <c r="C24" i="2"/>
  <c r="D24" i="2"/>
  <c r="E24" i="2"/>
  <c r="F24" i="2"/>
  <c r="H24" i="2" s="1"/>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H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C72" i="2"/>
  <c r="F72" i="2"/>
  <c r="C73" i="2"/>
  <c r="F73" i="2"/>
  <c r="C74" i="2"/>
  <c r="H74" i="2" s="1"/>
  <c r="C75" i="2"/>
  <c r="H75" i="2" s="1"/>
  <c r="C76" i="2"/>
  <c r="E76" i="2"/>
  <c r="F76" i="2"/>
  <c r="C77" i="2"/>
  <c r="D77" i="2"/>
  <c r="D78" i="2" s="1"/>
  <c r="E77" i="2"/>
  <c r="F77" i="2"/>
  <c r="G77" i="2"/>
  <c r="C79" i="2"/>
  <c r="D79" i="2"/>
  <c r="E79" i="2"/>
  <c r="C80" i="2"/>
  <c r="E80" i="2"/>
  <c r="H80" i="2" s="1"/>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5" i="2"/>
  <c r="F128" i="2"/>
  <c r="G128"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2" i="1"/>
  <c r="H653" i="1"/>
  <c r="G654" i="1"/>
  <c r="H654" i="1"/>
  <c r="H655" i="1"/>
  <c r="H656" i="1"/>
  <c r="I170" i="1"/>
  <c r="H47" i="2" l="1"/>
  <c r="J652" i="1"/>
  <c r="H113" i="2"/>
  <c r="E124" i="2"/>
  <c r="E112" i="2"/>
  <c r="G663" i="1"/>
  <c r="E121" i="2"/>
  <c r="E120" i="2"/>
  <c r="E111" i="2"/>
  <c r="C112" i="2"/>
  <c r="H112" i="2" s="1"/>
  <c r="A40" i="12"/>
  <c r="C110" i="2"/>
  <c r="G651" i="1"/>
  <c r="C125" i="2"/>
  <c r="H125" i="2" s="1"/>
  <c r="D15" i="13"/>
  <c r="C15" i="13" s="1"/>
  <c r="E13" i="13"/>
  <c r="C13" i="13" s="1"/>
  <c r="N2" i="14"/>
  <c r="N3" i="14" s="1"/>
  <c r="M2" i="14"/>
  <c r="M3" i="14" s="1"/>
  <c r="C13" i="10"/>
  <c r="C12" i="10"/>
  <c r="C119" i="2"/>
  <c r="C121" i="2"/>
  <c r="C120" i="2"/>
  <c r="D6" i="13"/>
  <c r="C6" i="13" s="1"/>
  <c r="L2" i="14"/>
  <c r="L3" i="14" s="1"/>
  <c r="K2" i="14"/>
  <c r="K3" i="14" s="1"/>
  <c r="H102" i="2"/>
  <c r="H100" i="2"/>
  <c r="H94" i="2"/>
  <c r="H93" i="2"/>
  <c r="H73" i="2"/>
  <c r="H72" i="2"/>
  <c r="H26" i="2"/>
  <c r="H25" i="2"/>
  <c r="H101" i="2"/>
  <c r="H99" i="2"/>
  <c r="H96" i="2"/>
  <c r="H87" i="2"/>
  <c r="H76" i="2"/>
  <c r="H59" i="2"/>
  <c r="H44" i="2"/>
  <c r="H36" i="2"/>
  <c r="H89" i="2"/>
  <c r="H79" i="2"/>
  <c r="H140" i="1"/>
  <c r="H43" i="2"/>
  <c r="H35" i="2"/>
  <c r="H34" i="2"/>
  <c r="H477" i="1"/>
  <c r="H625" i="1" s="1"/>
  <c r="J625" i="1" s="1"/>
  <c r="D29" i="13"/>
  <c r="C29" i="13" s="1"/>
  <c r="G662" i="1"/>
  <c r="H98" i="2"/>
  <c r="H97" i="2"/>
  <c r="H61" i="2"/>
  <c r="G477" i="1"/>
  <c r="H624" i="1" s="1"/>
  <c r="J624" i="1" s="1"/>
  <c r="H38" i="2"/>
  <c r="H29" i="2"/>
  <c r="H28" i="2"/>
  <c r="H27" i="2"/>
  <c r="H15" i="2"/>
  <c r="H12" i="2"/>
  <c r="H30" i="2"/>
  <c r="H23" i="2"/>
  <c r="H17" i="2"/>
  <c r="H13" i="2"/>
  <c r="H11" i="2"/>
  <c r="H9" i="2"/>
  <c r="H8" i="2"/>
  <c r="H132" i="2"/>
  <c r="C32" i="10"/>
  <c r="H143" i="2"/>
  <c r="H137" i="2"/>
  <c r="H135" i="2"/>
  <c r="I409" i="1"/>
  <c r="F409" i="1"/>
  <c r="H644" i="1" s="1"/>
  <c r="G409" i="1"/>
  <c r="H646" i="1" s="1"/>
  <c r="J646" i="1" s="1"/>
  <c r="G646" i="1"/>
  <c r="G78" i="2"/>
  <c r="H77" i="2"/>
  <c r="G70" i="2"/>
  <c r="H69" i="2"/>
  <c r="J140" i="1"/>
  <c r="G62" i="2"/>
  <c r="J112"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C81" i="2" s="1"/>
  <c r="F78" i="2"/>
  <c r="F81" i="2" s="1"/>
  <c r="C70" i="2"/>
  <c r="D62" i="2"/>
  <c r="D63" i="2" s="1"/>
  <c r="E57" i="2"/>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J32" i="1"/>
  <c r="J435" i="1"/>
  <c r="F435" i="1"/>
  <c r="K435" i="1"/>
  <c r="G134" i="2" s="1"/>
  <c r="G144" i="2" s="1"/>
  <c r="G145" i="2" s="1"/>
  <c r="G31" i="13"/>
  <c r="G140" i="1"/>
  <c r="B11" i="16" s="1"/>
  <c r="F140" i="1"/>
  <c r="J619" i="1"/>
  <c r="G42" i="2"/>
  <c r="J51" i="1"/>
  <c r="G16" i="2"/>
  <c r="J19" i="1"/>
  <c r="G622" i="1" s="1"/>
  <c r="F546" i="1"/>
  <c r="H435" i="1"/>
  <c r="D103" i="2"/>
  <c r="I140" i="1"/>
  <c r="A22" i="12"/>
  <c r="J653" i="1"/>
  <c r="G572" i="1"/>
  <c r="I435" i="1"/>
  <c r="G435" i="1"/>
  <c r="I664" i="1"/>
  <c r="L572" i="1" l="1"/>
  <c r="H114" i="2"/>
  <c r="H124" i="2"/>
  <c r="H121" i="2"/>
  <c r="H120" i="2"/>
  <c r="H122" i="2"/>
  <c r="G24" i="14"/>
  <c r="H24" i="14" s="1"/>
  <c r="I24" i="14" s="1"/>
  <c r="H118" i="2"/>
  <c r="H119" i="2"/>
  <c r="E128" i="2"/>
  <c r="I663" i="1"/>
  <c r="H110" i="2"/>
  <c r="H70" i="2"/>
  <c r="F194" i="1"/>
  <c r="G628" i="1" s="1"/>
  <c r="J628" i="1" s="1"/>
  <c r="H91" i="2"/>
  <c r="H85" i="2"/>
  <c r="H78" i="2"/>
  <c r="E62" i="2"/>
  <c r="E63" i="2" s="1"/>
  <c r="E104" i="2" s="1"/>
  <c r="H57" i="2"/>
  <c r="E51" i="2"/>
  <c r="D128" i="2"/>
  <c r="H127" i="2"/>
  <c r="H103" i="2"/>
  <c r="H81" i="2"/>
  <c r="I662" i="1"/>
  <c r="B33" i="16"/>
  <c r="D51" i="2"/>
  <c r="G50" i="2"/>
  <c r="H50" i="2" s="1"/>
  <c r="H42" i="2"/>
  <c r="G31" i="2"/>
  <c r="H31" i="2" s="1"/>
  <c r="H21" i="2"/>
  <c r="G18" i="2"/>
  <c r="H18" i="2" s="1"/>
  <c r="H16" i="2"/>
  <c r="H134" i="2"/>
  <c r="G63" i="2"/>
  <c r="J194" i="1"/>
  <c r="G647" i="1" s="1"/>
  <c r="F661" i="1"/>
  <c r="F665" i="1" s="1"/>
  <c r="F670" i="1" s="1"/>
  <c r="E115" i="2"/>
  <c r="H109" i="2"/>
  <c r="F144" i="2"/>
  <c r="H130" i="2"/>
  <c r="H661" i="1"/>
  <c r="H665" i="1" s="1"/>
  <c r="H194" i="1"/>
  <c r="G630" i="1" s="1"/>
  <c r="J630" i="1" s="1"/>
  <c r="H649" i="1"/>
  <c r="J649" i="1" s="1"/>
  <c r="C141" i="2"/>
  <c r="F51" i="2"/>
  <c r="G36" i="14"/>
  <c r="H36" i="14" s="1"/>
  <c r="C36" i="10"/>
  <c r="L435" i="1"/>
  <c r="G639" i="1" s="1"/>
  <c r="J639" i="1" s="1"/>
  <c r="G104" i="2"/>
  <c r="L339" i="1"/>
  <c r="L353" i="1" s="1"/>
  <c r="G634" i="1" s="1"/>
  <c r="J634" i="1" s="1"/>
  <c r="I194" i="1"/>
  <c r="G631" i="1" s="1"/>
  <c r="J631" i="1" s="1"/>
  <c r="G636" i="1"/>
  <c r="J636" i="1" s="1"/>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C25" i="13"/>
  <c r="I33" i="13"/>
  <c r="K553" i="1"/>
  <c r="C51" i="2"/>
  <c r="G194" i="1"/>
  <c r="G629" i="1" s="1"/>
  <c r="J629" i="1" s="1"/>
  <c r="G627" i="1"/>
  <c r="J627" i="1" s="1"/>
  <c r="J52" i="1"/>
  <c r="H622" i="1" s="1"/>
  <c r="J622" i="1" s="1"/>
  <c r="C38" i="10"/>
  <c r="M24" i="14" l="1"/>
  <c r="H62" i="2"/>
  <c r="H63" i="2"/>
  <c r="D145" i="2"/>
  <c r="H128" i="2"/>
  <c r="H104" i="2"/>
  <c r="G51" i="2"/>
  <c r="H51" i="2" s="1"/>
  <c r="C144" i="2"/>
  <c r="H144" i="2" s="1"/>
  <c r="H141" i="2"/>
  <c r="G632" i="1"/>
  <c r="J632" i="1" s="1"/>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<sst xmlns="http://schemas.openxmlformats.org/spreadsheetml/2006/main" count="6561" uniqueCount="1813">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</sst>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0"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1380</v>
      </c>
      <c r="B2">
        <f>INDEX('School Tables'!$AH$3:$AH$209,MATCH('DOE25'!A2,'School Tables'!$AJ$3:$AJ$209,0))</f>
        <v>463</v>
      </c>
      <c r="C2">
        <f>INDEX('School Tables'!$AI$3:$AI$209,MATCH('DOE25'!A2,'School Tables'!$AJ$3:$AJ$209,0))</f>
        <v>463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639136.32999999996</v>
      </c>
      <c r="G9" s="18">
        <v>0</v>
      </c>
      <c r="H9" s="18">
        <v>0</v>
      </c>
      <c r="I9" s="18">
        <v>0</v>
      </c>
      <c r="J9" s="13">
        <f>SUM(I440)</f>
        <v>0</v>
      </c>
      <c r="K9" s="23" t="s">
        <v>288</v>
      </c>
      <c r="L9" s="23" t="s">
        <v>288</v>
      </c>
      <c r="M9" s="8"/>
      <c r="N9" s="165"/>
    </row>
    <row r="10" spans="1:14" s="3" customFormat="1" ht="12.2" customHeight="1" x14ac:dyDescent="0.15">
      <c r="A10" s="1" t="s">
        <v>562</v>
      </c>
      <c r="B10" s="2" t="s">
        <v>289</v>
      </c>
      <c r="C10" s="6">
        <v>2</v>
      </c>
      <c r="D10" s="2" t="s">
        <v>428</v>
      </c>
      <c r="E10" s="6">
        <v>110</v>
      </c>
      <c r="F10" s="18">
        <v>0</v>
      </c>
      <c r="G10" s="18">
        <v>0</v>
      </c>
      <c r="H10" s="18">
        <v>0</v>
      </c>
      <c r="I10" s="18">
        <v>0</v>
      </c>
      <c r="J10" s="13">
        <f>SUM(I441)</f>
        <v>384886.43</v>
      </c>
      <c r="K10" s="23" t="s">
        <v>288</v>
      </c>
      <c r="L10" s="23" t="s">
        <v>288</v>
      </c>
      <c r="M10" s="8"/>
      <c r="N10" s="165"/>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f>978763.88+598763.19</f>
        <v>1577527.0699999998</v>
      </c>
      <c r="G12" s="18">
        <v>640124.71</v>
      </c>
      <c r="H12" s="18">
        <v>943733.35</v>
      </c>
      <c r="I12" s="18">
        <v>0</v>
      </c>
      <c r="J12" s="13">
        <f>SUM(I442)</f>
        <v>0</v>
      </c>
      <c r="K12" s="23" t="s">
        <v>288</v>
      </c>
      <c r="L12" s="23" t="s">
        <v>288</v>
      </c>
      <c r="M12" s="8"/>
      <c r="N12" s="165"/>
    </row>
    <row r="13" spans="1:14" s="3" customFormat="1" ht="12.2" customHeight="1" x14ac:dyDescent="0.15">
      <c r="A13" s="1" t="s">
        <v>604</v>
      </c>
      <c r="B13" s="2" t="s">
        <v>289</v>
      </c>
      <c r="C13" s="6">
        <v>5</v>
      </c>
      <c r="D13" s="2" t="s">
        <v>428</v>
      </c>
      <c r="E13" s="6">
        <v>140</v>
      </c>
      <c r="F13" s="18">
        <v>4023.35</v>
      </c>
      <c r="G13" s="18">
        <v>8631.17</v>
      </c>
      <c r="H13" s="18">
        <v>35124.199999999997</v>
      </c>
      <c r="I13" s="18">
        <v>0</v>
      </c>
      <c r="J13" s="13">
        <f>SUM(I443)</f>
        <v>0</v>
      </c>
      <c r="K13" s="23" t="s">
        <v>288</v>
      </c>
      <c r="L13" s="23" t="s">
        <v>288</v>
      </c>
      <c r="M13" s="8"/>
      <c r="N13" s="165"/>
    </row>
    <row r="14" spans="1:14" s="3" customFormat="1" ht="12.2" customHeight="1" x14ac:dyDescent="0.15">
      <c r="A14" s="1" t="s">
        <v>565</v>
      </c>
      <c r="B14" s="2" t="s">
        <v>289</v>
      </c>
      <c r="C14" s="6">
        <v>6</v>
      </c>
      <c r="D14" s="2" t="s">
        <v>428</v>
      </c>
      <c r="E14" s="6">
        <v>150</v>
      </c>
      <c r="F14" s="18">
        <v>0</v>
      </c>
      <c r="G14" s="18">
        <v>0</v>
      </c>
      <c r="H14" s="18">
        <v>0</v>
      </c>
      <c r="I14" s="18">
        <v>0</v>
      </c>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5"/>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5"/>
    </row>
    <row r="17" spans="1:14" s="3" customFormat="1" ht="12.2" customHeight="1" x14ac:dyDescent="0.15">
      <c r="A17" s="1" t="s">
        <v>567</v>
      </c>
      <c r="B17" s="2" t="s">
        <v>289</v>
      </c>
      <c r="C17" s="6">
        <v>9</v>
      </c>
      <c r="D17" s="2" t="s">
        <v>428</v>
      </c>
      <c r="E17" s="6">
        <v>180</v>
      </c>
      <c r="F17" s="18">
        <v>0</v>
      </c>
      <c r="G17" s="18">
        <v>0</v>
      </c>
      <c r="H17" s="18">
        <v>0</v>
      </c>
      <c r="I17" s="18">
        <v>0</v>
      </c>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2220686.75</v>
      </c>
      <c r="G19" s="38">
        <f>SUM(G9:G18)</f>
        <v>648755.88</v>
      </c>
      <c r="H19" s="38">
        <f>SUM(H9:H18)</f>
        <v>978857.54999999993</v>
      </c>
      <c r="I19" s="38">
        <f>SUM(I9:I18)</f>
        <v>0</v>
      </c>
      <c r="J19" s="38">
        <f>SUM(J9:J18)</f>
        <v>384886.43</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f>1583858-5</f>
        <v>1583853</v>
      </c>
      <c r="G22" s="18">
        <v>598762.25</v>
      </c>
      <c r="H22" s="18">
        <v>978765.03</v>
      </c>
      <c r="I22" s="18">
        <v>0</v>
      </c>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175788.66</v>
      </c>
      <c r="G23" s="18">
        <v>19187.349999999999</v>
      </c>
      <c r="H23" s="18">
        <v>0</v>
      </c>
      <c r="I23" s="18">
        <v>0</v>
      </c>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0</v>
      </c>
      <c r="G24" s="18">
        <v>0</v>
      </c>
      <c r="H24" s="18">
        <v>0</v>
      </c>
      <c r="I24" s="18">
        <v>0</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5"/>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5"/>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5"/>
    </row>
    <row r="28" spans="1:14" s="3" customFormat="1" ht="12.2" customHeight="1" x14ac:dyDescent="0.15">
      <c r="A28" s="1" t="s">
        <v>573</v>
      </c>
      <c r="B28" s="2" t="s">
        <v>289</v>
      </c>
      <c r="C28" s="6">
        <v>18</v>
      </c>
      <c r="D28" s="2" t="s">
        <v>429</v>
      </c>
      <c r="E28" s="6">
        <v>460</v>
      </c>
      <c r="F28" s="18">
        <v>0</v>
      </c>
      <c r="G28" s="18">
        <v>0</v>
      </c>
      <c r="H28" s="18">
        <v>0</v>
      </c>
      <c r="I28" s="18">
        <v>0</v>
      </c>
      <c r="J28" s="23" t="s">
        <v>288</v>
      </c>
      <c r="K28" s="23" t="s">
        <v>288</v>
      </c>
      <c r="L28" s="23" t="s">
        <v>288</v>
      </c>
      <c r="M28" s="8"/>
      <c r="N28" s="165"/>
    </row>
    <row r="29" spans="1:14" s="3" customFormat="1" ht="12.2" customHeight="1" x14ac:dyDescent="0.15">
      <c r="A29" s="1" t="s">
        <v>575</v>
      </c>
      <c r="B29" s="2" t="s">
        <v>289</v>
      </c>
      <c r="C29" s="6">
        <v>19</v>
      </c>
      <c r="D29" s="2" t="s">
        <v>429</v>
      </c>
      <c r="E29" s="6">
        <v>470</v>
      </c>
      <c r="F29" s="18">
        <v>634.65</v>
      </c>
      <c r="G29" s="18">
        <v>0</v>
      </c>
      <c r="H29" s="18">
        <v>0</v>
      </c>
      <c r="I29" s="18">
        <v>0</v>
      </c>
      <c r="J29" s="23" t="s">
        <v>288</v>
      </c>
      <c r="K29" s="23" t="s">
        <v>288</v>
      </c>
      <c r="L29" s="23" t="s">
        <v>288</v>
      </c>
      <c r="M29" s="8"/>
      <c r="N29" s="165"/>
    </row>
    <row r="30" spans="1:14" s="3" customFormat="1" ht="12.2" customHeight="1" x14ac:dyDescent="0.15">
      <c r="A30" s="1" t="s">
        <v>576</v>
      </c>
      <c r="B30" s="2" t="s">
        <v>289</v>
      </c>
      <c r="C30" s="6">
        <v>20</v>
      </c>
      <c r="D30" s="2" t="s">
        <v>429</v>
      </c>
      <c r="E30" s="6">
        <v>480</v>
      </c>
      <c r="F30" s="18">
        <v>0</v>
      </c>
      <c r="G30" s="18">
        <v>1991.66</v>
      </c>
      <c r="H30" s="18">
        <v>0</v>
      </c>
      <c r="I30" s="18">
        <v>0</v>
      </c>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1760276.3099999998</v>
      </c>
      <c r="G32" s="38">
        <f>SUM(G22:G31)</f>
        <v>619941.26</v>
      </c>
      <c r="H32" s="38">
        <f>SUM(H22:H31)</f>
        <v>978765.03</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5"/>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5"/>
    </row>
    <row r="37" spans="1:14" s="3" customFormat="1" ht="12.2" customHeight="1" x14ac:dyDescent="0.15">
      <c r="A37" s="1" t="s">
        <v>851</v>
      </c>
      <c r="B37" s="6">
        <v>1</v>
      </c>
      <c r="C37" s="6">
        <v>25</v>
      </c>
      <c r="D37" s="2" t="s">
        <v>653</v>
      </c>
      <c r="E37" s="6">
        <v>756</v>
      </c>
      <c r="F37" s="18">
        <v>0</v>
      </c>
      <c r="G37" s="18">
        <v>0</v>
      </c>
      <c r="H37" s="18">
        <v>0</v>
      </c>
      <c r="I37" s="18">
        <v>0</v>
      </c>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v>0</v>
      </c>
      <c r="G39" s="18">
        <v>0</v>
      </c>
      <c r="H39" s="18">
        <v>0</v>
      </c>
      <c r="I39" s="18">
        <v>0</v>
      </c>
      <c r="J39" s="13">
        <f>I459</f>
        <v>0</v>
      </c>
      <c r="K39" s="23" t="s">
        <v>288</v>
      </c>
      <c r="L39" s="23" t="s">
        <v>288</v>
      </c>
      <c r="M39" s="8"/>
      <c r="N39" s="165"/>
    </row>
    <row r="40" spans="1:14" s="3" customFormat="1" ht="12.2" customHeight="1" x14ac:dyDescent="0.15">
      <c r="A40" s="1" t="s">
        <v>859</v>
      </c>
      <c r="B40" s="6">
        <v>1</v>
      </c>
      <c r="C40" s="6">
        <v>27</v>
      </c>
      <c r="D40" s="2"/>
      <c r="E40" s="6"/>
      <c r="F40" s="23" t="s">
        <v>288</v>
      </c>
      <c r="G40" s="18">
        <v>0</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v>0</v>
      </c>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v>0</v>
      </c>
      <c r="G43" s="18">
        <v>0</v>
      </c>
      <c r="H43" s="18">
        <v>0</v>
      </c>
      <c r="I43" s="18">
        <v>0</v>
      </c>
      <c r="J43" s="13">
        <f>SUM(I457)</f>
        <v>0</v>
      </c>
      <c r="K43" s="23" t="s">
        <v>288</v>
      </c>
      <c r="L43" s="23" t="s">
        <v>288</v>
      </c>
      <c r="M43" s="8"/>
      <c r="N43" s="165"/>
    </row>
    <row r="44" spans="1:14" s="3" customFormat="1" ht="12.2" customHeight="1" x14ac:dyDescent="0.15">
      <c r="A44" s="1" t="s">
        <v>836</v>
      </c>
      <c r="B44" s="6">
        <v>1</v>
      </c>
      <c r="C44" s="6">
        <v>30</v>
      </c>
      <c r="D44" s="2" t="s">
        <v>653</v>
      </c>
      <c r="E44" s="6">
        <v>755</v>
      </c>
      <c r="F44" s="18">
        <v>75000</v>
      </c>
      <c r="G44" s="18">
        <v>0</v>
      </c>
      <c r="H44" s="18">
        <v>0</v>
      </c>
      <c r="I44" s="18">
        <v>0</v>
      </c>
      <c r="J44" s="23" t="s">
        <v>288</v>
      </c>
      <c r="K44" s="23" t="s">
        <v>288</v>
      </c>
      <c r="L44" s="23" t="s">
        <v>288</v>
      </c>
      <c r="M44" s="8"/>
      <c r="N44" s="165"/>
    </row>
    <row r="45" spans="1:14" s="3" customFormat="1" ht="12.2" customHeight="1" x14ac:dyDescent="0.15">
      <c r="A45" s="1" t="s">
        <v>837</v>
      </c>
      <c r="B45" s="6">
        <v>1</v>
      </c>
      <c r="C45" s="6">
        <v>31</v>
      </c>
      <c r="D45" s="2"/>
      <c r="E45" s="6">
        <v>753</v>
      </c>
      <c r="F45" s="18">
        <v>0</v>
      </c>
      <c r="G45" s="18">
        <v>0</v>
      </c>
      <c r="H45" s="18">
        <v>92.52</v>
      </c>
      <c r="I45" s="18">
        <v>0</v>
      </c>
      <c r="J45" s="13">
        <f>I456</f>
        <v>0</v>
      </c>
      <c r="K45" s="23" t="s">
        <v>288</v>
      </c>
      <c r="L45" s="23" t="s">
        <v>288</v>
      </c>
      <c r="M45" s="8"/>
      <c r="N45" s="165"/>
    </row>
    <row r="46" spans="1:14" s="3" customFormat="1" ht="12.2" customHeight="1" x14ac:dyDescent="0.15">
      <c r="A46" s="1" t="s">
        <v>873</v>
      </c>
      <c r="B46" s="6">
        <v>1</v>
      </c>
      <c r="C46" s="6">
        <v>32</v>
      </c>
      <c r="D46" s="2"/>
      <c r="E46" s="6"/>
      <c r="F46" s="18">
        <v>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0</v>
      </c>
      <c r="G48" s="18">
        <v>28814.62</v>
      </c>
      <c r="H48" s="18">
        <v>0</v>
      </c>
      <c r="I48" s="18">
        <v>0</v>
      </c>
      <c r="J48" s="13">
        <f>SUM(I460)</f>
        <v>384886.43</v>
      </c>
      <c r="K48" s="23" t="s">
        <v>288</v>
      </c>
      <c r="L48" s="23" t="s">
        <v>288</v>
      </c>
      <c r="M48" s="8"/>
      <c r="N48" s="165"/>
    </row>
    <row r="49" spans="1:14" s="3" customFormat="1" ht="12.2" customHeight="1" x14ac:dyDescent="0.15">
      <c r="A49" s="1" t="s">
        <v>858</v>
      </c>
      <c r="B49" s="2" t="s">
        <v>289</v>
      </c>
      <c r="C49" s="6">
        <v>34</v>
      </c>
      <c r="D49" s="2"/>
      <c r="E49" s="6">
        <v>753</v>
      </c>
      <c r="F49" s="18">
        <v>0</v>
      </c>
      <c r="G49" s="18">
        <v>0</v>
      </c>
      <c r="H49" s="18">
        <v>0</v>
      </c>
      <c r="I49" s="18">
        <v>0</v>
      </c>
      <c r="J49" s="13">
        <f>I455</f>
        <v>0</v>
      </c>
      <c r="K49" s="23"/>
      <c r="L49" s="23"/>
      <c r="M49" s="8"/>
      <c r="N49" s="165"/>
    </row>
    <row r="50" spans="1:14" s="3" customFormat="1" ht="12.2" customHeight="1" thickBot="1" x14ac:dyDescent="0.2">
      <c r="A50" s="28" t="s">
        <v>839</v>
      </c>
      <c r="B50" s="2" t="s">
        <v>289</v>
      </c>
      <c r="C50" s="56">
        <v>35</v>
      </c>
      <c r="D50" s="2" t="s">
        <v>653</v>
      </c>
      <c r="E50" s="6">
        <v>770</v>
      </c>
      <c r="F50" s="18">
        <f>172842.19+121581+105059.82-14072.57</f>
        <v>385410.44</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460410.44</v>
      </c>
      <c r="G51" s="38">
        <f>SUM(G35:G50)</f>
        <v>28814.62</v>
      </c>
      <c r="H51" s="38">
        <f>SUM(H35:H50)</f>
        <v>92.52</v>
      </c>
      <c r="I51" s="38">
        <f>SUM(I35:I50)</f>
        <v>0</v>
      </c>
      <c r="J51" s="38">
        <f>SUM(J35:J50)</f>
        <v>384886.43</v>
      </c>
      <c r="K51" s="42" t="s">
        <v>288</v>
      </c>
      <c r="L51" s="42" t="s">
        <v>288</v>
      </c>
      <c r="N51" s="131"/>
    </row>
    <row r="52" spans="1:14" s="3" customFormat="1" ht="12.2" customHeight="1" thickTop="1" x14ac:dyDescent="0.15">
      <c r="A52" s="35" t="s">
        <v>455</v>
      </c>
      <c r="B52" s="36" t="s">
        <v>289</v>
      </c>
      <c r="C52" s="6">
        <v>37</v>
      </c>
      <c r="D52" s="36" t="s">
        <v>653</v>
      </c>
      <c r="E52" s="36"/>
      <c r="F52" s="38">
        <f>F51+F32</f>
        <v>2220686.75</v>
      </c>
      <c r="G52" s="38">
        <f>G51+G32</f>
        <v>648755.88</v>
      </c>
      <c r="H52" s="38">
        <f>H51+H32</f>
        <v>978857.55</v>
      </c>
      <c r="I52" s="38">
        <f>I51+I32</f>
        <v>0</v>
      </c>
      <c r="J52" s="38">
        <f>J51+J32</f>
        <v>384886.43</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4446413</v>
      </c>
      <c r="G57" s="18">
        <v>0</v>
      </c>
      <c r="H57" s="18">
        <v>0</v>
      </c>
      <c r="I57" s="18">
        <v>0</v>
      </c>
      <c r="J57" s="18">
        <v>0</v>
      </c>
      <c r="K57" s="23" t="s">
        <v>288</v>
      </c>
      <c r="L57" s="23" t="s">
        <v>288</v>
      </c>
      <c r="M57" s="8"/>
      <c r="N57" s="165"/>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v>0</v>
      </c>
      <c r="G59" s="18">
        <v>0</v>
      </c>
      <c r="H59" s="18">
        <v>0</v>
      </c>
      <c r="I59" s="18">
        <v>0</v>
      </c>
      <c r="J59" s="18">
        <v>0</v>
      </c>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4446413</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0</v>
      </c>
      <c r="G63" s="23" t="s">
        <v>288</v>
      </c>
      <c r="H63" s="18">
        <v>0</v>
      </c>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0</v>
      </c>
      <c r="G68" s="23" t="s">
        <v>288</v>
      </c>
      <c r="H68" s="18">
        <v>0</v>
      </c>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0</v>
      </c>
      <c r="G69" s="23" t="s">
        <v>288</v>
      </c>
      <c r="H69" s="18">
        <v>0</v>
      </c>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122.31</v>
      </c>
      <c r="G96" s="18">
        <v>0</v>
      </c>
      <c r="H96" s="18">
        <v>0</v>
      </c>
      <c r="I96" s="18">
        <v>0</v>
      </c>
      <c r="J96" s="18">
        <v>495.85</v>
      </c>
      <c r="K96" s="23" t="s">
        <v>288</v>
      </c>
      <c r="L96" s="23" t="s">
        <v>288</v>
      </c>
      <c r="M96" s="8"/>
      <c r="N96" s="165"/>
    </row>
    <row r="97" spans="1:14" s="3" customFormat="1" ht="12.2" customHeight="1" x14ac:dyDescent="0.15">
      <c r="A97" s="1" t="s">
        <v>503</v>
      </c>
      <c r="B97" s="2" t="s">
        <v>315</v>
      </c>
      <c r="C97" s="6">
        <v>12</v>
      </c>
      <c r="D97" s="2" t="s">
        <v>430</v>
      </c>
      <c r="E97" s="6">
        <v>1600</v>
      </c>
      <c r="F97" s="23" t="s">
        <v>288</v>
      </c>
      <c r="G97" s="18">
        <f>46235.4+1341.25+1577.6-18063.55+109.95+445.85+21.35</f>
        <v>31667.85</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1980</v>
      </c>
      <c r="G101" s="18">
        <v>0</v>
      </c>
      <c r="H101" s="18">
        <v>0</v>
      </c>
      <c r="I101" s="18">
        <v>0</v>
      </c>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3" t="s">
        <v>288</v>
      </c>
      <c r="L102" s="23" t="s">
        <v>288</v>
      </c>
      <c r="M102" s="8"/>
      <c r="N102" s="165"/>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0</v>
      </c>
      <c r="G109" s="18">
        <v>0</v>
      </c>
      <c r="H109" s="18">
        <v>0</v>
      </c>
      <c r="I109" s="18">
        <v>0</v>
      </c>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277</v>
      </c>
      <c r="G110" s="18">
        <v>0</v>
      </c>
      <c r="H110" s="18">
        <v>34.78</v>
      </c>
      <c r="I110" s="18">
        <v>0</v>
      </c>
      <c r="J110" s="18">
        <v>0</v>
      </c>
      <c r="K110" s="23" t="s">
        <v>288</v>
      </c>
      <c r="L110" s="23" t="s">
        <v>288</v>
      </c>
      <c r="M110" s="8"/>
      <c r="N110" s="165"/>
    </row>
    <row r="111" spans="1:14" ht="12.2" customHeight="1" thickTop="1" thickBot="1" x14ac:dyDescent="0.25">
      <c r="A111" s="35" t="s">
        <v>433</v>
      </c>
      <c r="B111" s="36" t="s">
        <v>315</v>
      </c>
      <c r="C111" s="37">
        <v>25</v>
      </c>
      <c r="D111" s="36" t="s">
        <v>430</v>
      </c>
      <c r="E111" s="37"/>
      <c r="F111" s="38">
        <f>SUM(F96:F110)</f>
        <v>2379.31</v>
      </c>
      <c r="G111" s="38">
        <f>SUM(G96:G110)</f>
        <v>31667.85</v>
      </c>
      <c r="H111" s="38">
        <f>SUM(H96:H110)</f>
        <v>34.78</v>
      </c>
      <c r="I111" s="38">
        <f>SUM(I96:I110)</f>
        <v>0</v>
      </c>
      <c r="J111" s="38">
        <f>SUM(J96:J110)</f>
        <v>495.85</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4448792.3099999996</v>
      </c>
      <c r="G112" s="38">
        <f>G60+G111</f>
        <v>31667.85</v>
      </c>
      <c r="H112" s="38">
        <f>H60+H79+H94+H111</f>
        <v>34.78</v>
      </c>
      <c r="I112" s="38">
        <f>I60+I111</f>
        <v>0</v>
      </c>
      <c r="J112" s="38">
        <f>J60+J111</f>
        <v>495.85</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805491.22</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419847</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17979.560000000001</v>
      </c>
      <c r="G120" s="18">
        <v>14503.38</v>
      </c>
      <c r="H120" s="18">
        <v>0</v>
      </c>
      <c r="I120" s="18">
        <v>0</v>
      </c>
      <c r="J120" s="18">
        <v>0</v>
      </c>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1243317.78</v>
      </c>
      <c r="G121" s="38">
        <f>SUM(G117:G120)</f>
        <v>14503.38</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0</v>
      </c>
      <c r="G123" s="23" t="s">
        <v>288</v>
      </c>
      <c r="H123" s="23" t="s">
        <v>288</v>
      </c>
      <c r="I123" s="18">
        <v>0</v>
      </c>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5"/>
    </row>
    <row r="125" spans="1:14" s="3" customFormat="1" ht="12.2" customHeight="1" x14ac:dyDescent="0.15">
      <c r="A125" s="1" t="s">
        <v>895</v>
      </c>
      <c r="B125" s="2" t="s">
        <v>321</v>
      </c>
      <c r="C125" s="6">
        <v>8</v>
      </c>
      <c r="D125" s="2" t="s">
        <v>430</v>
      </c>
      <c r="E125" s="6">
        <v>3220</v>
      </c>
      <c r="F125" s="18">
        <v>0</v>
      </c>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0</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v>0</v>
      </c>
      <c r="G130" s="23" t="s">
        <v>288</v>
      </c>
      <c r="H130" s="18">
        <v>0</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634.86</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634.86</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v>0</v>
      </c>
      <c r="G137" s="18">
        <v>0</v>
      </c>
      <c r="H137" s="18">
        <v>0</v>
      </c>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1243317.78</v>
      </c>
      <c r="G140" s="38">
        <f>G121+SUM(G136:G137)</f>
        <v>15138.24</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v>0</v>
      </c>
      <c r="G150" s="23" t="s">
        <v>288</v>
      </c>
      <c r="H150" s="18">
        <v>0</v>
      </c>
      <c r="I150" s="18">
        <v>0</v>
      </c>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0</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270+9568.04+7111.24+12922.39</f>
        <v>29871.67</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19498.080000000002</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642.44+24741.96+7155.22</f>
        <v>32539.62</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69.86</v>
      </c>
      <c r="G160" s="23" t="s">
        <v>288</v>
      </c>
      <c r="H160" s="18">
        <v>0</v>
      </c>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0</v>
      </c>
      <c r="G161" s="18">
        <v>0</v>
      </c>
      <c r="H161" s="18">
        <v>0</v>
      </c>
      <c r="I161" s="18">
        <v>0</v>
      </c>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v>0</v>
      </c>
      <c r="G162" s="18">
        <v>0</v>
      </c>
      <c r="H162" s="18">
        <f>50191.41+6800.2</f>
        <v>56991.61</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69.86</v>
      </c>
      <c r="G163" s="38">
        <f>SUM(G150:G162)</f>
        <v>19498.080000000002</v>
      </c>
      <c r="H163" s="38">
        <f>SUM(H150:H162)</f>
        <v>119402.9</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v>0</v>
      </c>
      <c r="G169" s="18">
        <v>0</v>
      </c>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69.86</v>
      </c>
      <c r="G170" s="38">
        <f>G147+G163+SUM(G164:G169)</f>
        <v>19498.080000000002</v>
      </c>
      <c r="H170" s="38">
        <f>H147+H163+SUM(H164:H169)</f>
        <v>119402.9</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0</v>
      </c>
      <c r="H180" s="18">
        <v>0</v>
      </c>
      <c r="I180" s="18">
        <v>0</v>
      </c>
      <c r="J180" s="18">
        <v>75000</v>
      </c>
      <c r="K180" s="23" t="s">
        <v>288</v>
      </c>
      <c r="L180" s="23" t="s">
        <v>288</v>
      </c>
      <c r="M180" s="8"/>
      <c r="N180" s="165"/>
    </row>
    <row r="181" spans="1:14" s="3" customFormat="1" ht="12.2" customHeight="1" x14ac:dyDescent="0.15">
      <c r="A181" s="1" t="s">
        <v>525</v>
      </c>
      <c r="B181" s="2" t="s">
        <v>330</v>
      </c>
      <c r="C181" s="6">
        <v>7</v>
      </c>
      <c r="D181" s="2" t="s">
        <v>430</v>
      </c>
      <c r="E181" s="6">
        <v>5221</v>
      </c>
      <c r="F181" s="18">
        <v>0</v>
      </c>
      <c r="G181" s="23" t="s">
        <v>288</v>
      </c>
      <c r="H181" s="18">
        <v>0</v>
      </c>
      <c r="I181" s="18">
        <v>0</v>
      </c>
      <c r="J181" s="18">
        <v>0</v>
      </c>
      <c r="K181" s="23" t="s">
        <v>288</v>
      </c>
      <c r="L181" s="23" t="s">
        <v>288</v>
      </c>
      <c r="M181" s="8"/>
      <c r="N181" s="165"/>
    </row>
    <row r="182" spans="1:14" s="3" customFormat="1" ht="12.2" customHeight="1" x14ac:dyDescent="0.15">
      <c r="A182" s="3" t="s">
        <v>526</v>
      </c>
      <c r="B182" s="2" t="s">
        <v>330</v>
      </c>
      <c r="C182" s="6">
        <v>8</v>
      </c>
      <c r="D182" s="2" t="s">
        <v>430</v>
      </c>
      <c r="E182" s="6">
        <v>5222</v>
      </c>
      <c r="F182" s="18">
        <v>0</v>
      </c>
      <c r="G182" s="18">
        <v>0</v>
      </c>
      <c r="H182" s="23" t="s">
        <v>288</v>
      </c>
      <c r="I182" s="18">
        <v>0</v>
      </c>
      <c r="J182" s="18">
        <v>0</v>
      </c>
      <c r="K182" s="23" t="s">
        <v>288</v>
      </c>
      <c r="L182" s="23" t="s">
        <v>288</v>
      </c>
      <c r="M182" s="8"/>
      <c r="N182" s="165"/>
    </row>
    <row r="183" spans="1:14" s="3" customFormat="1" ht="12.2" customHeight="1" thickBot="1" x14ac:dyDescent="0.2">
      <c r="A183" s="3" t="s">
        <v>527</v>
      </c>
      <c r="B183" s="2" t="s">
        <v>330</v>
      </c>
      <c r="C183" s="6">
        <v>9</v>
      </c>
      <c r="D183" s="2" t="s">
        <v>430</v>
      </c>
      <c r="E183" s="6">
        <v>5230</v>
      </c>
      <c r="F183" s="18">
        <v>0</v>
      </c>
      <c r="G183" s="18">
        <v>0</v>
      </c>
      <c r="H183" s="18">
        <v>0</v>
      </c>
      <c r="I183" s="23" t="s">
        <v>288</v>
      </c>
      <c r="J183" s="18">
        <v>0</v>
      </c>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75000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319500</v>
      </c>
      <c r="G186" s="18">
        <v>0</v>
      </c>
      <c r="H186" s="18">
        <v>0</v>
      </c>
      <c r="I186" s="18">
        <v>0</v>
      </c>
      <c r="J186" s="23" t="s">
        <v>288</v>
      </c>
      <c r="K186" s="23" t="s">
        <v>288</v>
      </c>
      <c r="L186" s="23" t="s">
        <v>288</v>
      </c>
      <c r="M186" s="8"/>
      <c r="N186" s="165"/>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1"/>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319500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319500</v>
      </c>
      <c r="G193" s="38">
        <f>G184+SUM(G189:G192)</f>
        <v>0</v>
      </c>
      <c r="H193" s="38">
        <f>+H184+SUM(H189:H192)</f>
        <v>0</v>
      </c>
      <c r="I193" s="38">
        <f>I178+I184+SUM(I189:I192)</f>
        <v>0</v>
      </c>
      <c r="J193" s="38">
        <f>J184</f>
        <v>75000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6011679.9500000002</v>
      </c>
      <c r="G194" s="38">
        <f>G112+G140+G170+G193</f>
        <v>66304.17</v>
      </c>
      <c r="H194" s="38">
        <f>H112+H140+H170+H193</f>
        <v>119437.68</v>
      </c>
      <c r="I194" s="38">
        <f>I112+I140+I170+I193</f>
        <v>0</v>
      </c>
      <c r="J194" s="38">
        <f>J112+J140+J193</f>
        <v>75495.850000000006</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801550.85+16578.88</f>
        <v>818129.73</v>
      </c>
      <c r="G198" s="18">
        <f>389488.7+32371.9</f>
        <v>421860.60000000003</v>
      </c>
      <c r="H198" s="18">
        <f>1667441.06+31.69-518712.21-1095534.62</f>
        <v>53225.919999999925</v>
      </c>
      <c r="I198" s="18">
        <v>50309.279999999999</v>
      </c>
      <c r="J198" s="18">
        <v>35791.31</v>
      </c>
      <c r="K198" s="18">
        <v>0</v>
      </c>
      <c r="L198" s="13">
        <f>SUM(F198:K198)</f>
        <v>1379316.84</v>
      </c>
      <c r="M198" s="8"/>
      <c r="N198" s="165"/>
    </row>
    <row r="199" spans="1:14" s="3" customFormat="1" ht="12.2" customHeight="1" x14ac:dyDescent="0.15">
      <c r="A199" s="1" t="s">
        <v>439</v>
      </c>
      <c r="B199" s="2" t="s">
        <v>341</v>
      </c>
      <c r="C199" s="2" t="s">
        <v>291</v>
      </c>
      <c r="D199" s="2" t="s">
        <v>431</v>
      </c>
      <c r="E199" s="6">
        <v>1200</v>
      </c>
      <c r="F199" s="18">
        <f>119195.76+28047.6+190497.1+1960</f>
        <v>339700.45999999996</v>
      </c>
      <c r="G199" s="18">
        <f>95552.9-248.33-248.33-14.36-14.36-5-5-2.78-2.78-106.75-106.75-297.99-297.99</f>
        <v>94202.479999999981</v>
      </c>
      <c r="H199" s="18">
        <f>495238.33-17635-17635-98464.06-237317.5</f>
        <v>124186.77000000002</v>
      </c>
      <c r="I199" s="18">
        <v>3540.52</v>
      </c>
      <c r="J199" s="18">
        <v>2081.9699999999998</v>
      </c>
      <c r="K199" s="18">
        <v>0</v>
      </c>
      <c r="L199" s="13">
        <f>SUM(F199:K199)</f>
        <v>563712.19999999995</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3420</v>
      </c>
      <c r="G201" s="18">
        <v>956.8</v>
      </c>
      <c r="H201" s="18">
        <v>0</v>
      </c>
      <c r="I201" s="18">
        <v>0</v>
      </c>
      <c r="J201" s="18">
        <v>0</v>
      </c>
      <c r="K201" s="18">
        <v>0</v>
      </c>
      <c r="L201" s="13">
        <f>SUM(F201:K201)</f>
        <v>4376.8</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62521.32+68512+72887</f>
        <v>203920.32</v>
      </c>
      <c r="G203" s="18">
        <f>46662.12+39572.28+32131.55-1309.59-1309.59-27.71-27.71-13.71-13.71-6.03-6.03-245.46-245.46-728.52-728.52</f>
        <v>113703.90999999996</v>
      </c>
      <c r="H203" s="18">
        <f>82.37+39612.08</f>
        <v>39694.450000000004</v>
      </c>
      <c r="I203" s="18">
        <f>895.87+32.93+449.04</f>
        <v>1377.84</v>
      </c>
      <c r="J203" s="18">
        <v>800</v>
      </c>
      <c r="K203" s="18">
        <v>0</v>
      </c>
      <c r="L203" s="13">
        <f t="shared" ref="L203:L209" si="0">SUM(F203:K203)</f>
        <v>359496.52</v>
      </c>
      <c r="M203" s="8"/>
      <c r="N203" s="165"/>
    </row>
    <row r="204" spans="1:14" s="3" customFormat="1" ht="12.2" customHeight="1" x14ac:dyDescent="0.15">
      <c r="A204" s="1" t="s">
        <v>443</v>
      </c>
      <c r="B204" s="2" t="s">
        <v>341</v>
      </c>
      <c r="C204" s="2" t="s">
        <v>295</v>
      </c>
      <c r="D204" s="2" t="s">
        <v>431</v>
      </c>
      <c r="E204" s="6">
        <v>2200</v>
      </c>
      <c r="F204" s="18">
        <v>57703.82</v>
      </c>
      <c r="G204" s="18">
        <v>5752.48</v>
      </c>
      <c r="H204" s="18">
        <v>1481.5</v>
      </c>
      <c r="I204" s="18">
        <v>4711.03</v>
      </c>
      <c r="J204" s="18">
        <v>1799.48</v>
      </c>
      <c r="K204" s="18">
        <v>924.35</v>
      </c>
      <c r="L204" s="13">
        <f t="shared" si="0"/>
        <v>72372.66</v>
      </c>
      <c r="M204" s="8"/>
      <c r="N204" s="165"/>
    </row>
    <row r="205" spans="1:14" s="3" customFormat="1" ht="12.2" customHeight="1" x14ac:dyDescent="0.15">
      <c r="A205" s="1" t="s">
        <v>444</v>
      </c>
      <c r="B205" s="2" t="s">
        <v>341</v>
      </c>
      <c r="C205" s="2" t="s">
        <v>296</v>
      </c>
      <c r="D205" s="2" t="s">
        <v>431</v>
      </c>
      <c r="E205" s="6">
        <v>2300</v>
      </c>
      <c r="F205" s="18">
        <f>6110+1200+180</f>
        <v>7490</v>
      </c>
      <c r="G205" s="18">
        <f>443.7+254.66</f>
        <v>698.36</v>
      </c>
      <c r="H205" s="18">
        <f>2610.36+8700+10838.25+61.36+200366</f>
        <v>222575.97</v>
      </c>
      <c r="I205" s="18">
        <f>788.39</f>
        <v>788.39</v>
      </c>
      <c r="J205" s="18">
        <v>0</v>
      </c>
      <c r="K205" s="18">
        <f>3259.3</f>
        <v>3259.3</v>
      </c>
      <c r="L205" s="13">
        <f t="shared" si="0"/>
        <v>234812.02</v>
      </c>
      <c r="M205" s="8"/>
      <c r="N205" s="165"/>
    </row>
    <row r="206" spans="1:14" s="3" customFormat="1" ht="12.2" customHeight="1" x14ac:dyDescent="0.15">
      <c r="A206" s="1" t="s">
        <v>445</v>
      </c>
      <c r="B206" s="2" t="s">
        <v>341</v>
      </c>
      <c r="C206" s="2" t="s">
        <v>297</v>
      </c>
      <c r="D206" s="2" t="s">
        <v>431</v>
      </c>
      <c r="E206" s="6">
        <v>2400</v>
      </c>
      <c r="F206" s="18">
        <v>152969.53</v>
      </c>
      <c r="G206" s="18">
        <v>82629.100000000006</v>
      </c>
      <c r="H206" s="18">
        <v>2538.71</v>
      </c>
      <c r="I206" s="18">
        <v>1849.57</v>
      </c>
      <c r="J206" s="18">
        <v>0</v>
      </c>
      <c r="K206" s="18">
        <v>3564.17</v>
      </c>
      <c r="L206" s="13">
        <f t="shared" si="0"/>
        <v>243551.08000000002</v>
      </c>
      <c r="M206" s="8"/>
      <c r="N206" s="1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5"/>
    </row>
    <row r="208" spans="1:14" s="3" customFormat="1" ht="12.2" customHeight="1" x14ac:dyDescent="0.15">
      <c r="A208" s="1" t="s">
        <v>447</v>
      </c>
      <c r="B208" s="2" t="s">
        <v>341</v>
      </c>
      <c r="C208" s="2" t="s">
        <v>299</v>
      </c>
      <c r="D208" s="2" t="s">
        <v>431</v>
      </c>
      <c r="E208" s="6">
        <v>2600</v>
      </c>
      <c r="F208" s="18">
        <v>103145</v>
      </c>
      <c r="G208" s="18">
        <v>58862.14</v>
      </c>
      <c r="H208" s="18">
        <f>8726.23+264.81+9685.06+127923.03+10890.21+319500</f>
        <v>476989.33999999997</v>
      </c>
      <c r="I208" s="18">
        <f>12236.88+50143.89</f>
        <v>62380.77</v>
      </c>
      <c r="J208" s="18">
        <v>2897.78</v>
      </c>
      <c r="K208" s="18">
        <v>0</v>
      </c>
      <c r="L208" s="13">
        <f t="shared" si="0"/>
        <v>704275.03</v>
      </c>
      <c r="M208" s="8"/>
      <c r="N208" s="165"/>
    </row>
    <row r="209" spans="1:14" s="3" customFormat="1" ht="12.2" customHeight="1" x14ac:dyDescent="0.15">
      <c r="A209" s="1" t="s">
        <v>448</v>
      </c>
      <c r="B209" s="2" t="s">
        <v>341</v>
      </c>
      <c r="C209" s="2" t="s">
        <v>300</v>
      </c>
      <c r="D209" s="2" t="s">
        <v>431</v>
      </c>
      <c r="E209" s="6">
        <v>2700</v>
      </c>
      <c r="F209" s="18">
        <v>0</v>
      </c>
      <c r="G209" s="18">
        <v>0</v>
      </c>
      <c r="H209" s="18">
        <f>114711.8+1946.17+42000</f>
        <v>158657.97</v>
      </c>
      <c r="I209" s="18">
        <v>0</v>
      </c>
      <c r="J209" s="18">
        <v>0</v>
      </c>
      <c r="K209" s="18">
        <v>0</v>
      </c>
      <c r="L209" s="13">
        <f t="shared" si="0"/>
        <v>158657.97</v>
      </c>
      <c r="M209" s="8"/>
      <c r="N209" s="165"/>
    </row>
    <row r="210" spans="1:14" s="3" customFormat="1" ht="12.2" customHeight="1" x14ac:dyDescent="0.15">
      <c r="A210" s="1" t="s">
        <v>449</v>
      </c>
      <c r="B210" s="2" t="s">
        <v>341</v>
      </c>
      <c r="C210" s="2" t="s">
        <v>343</v>
      </c>
      <c r="D210" s="2" t="s">
        <v>431</v>
      </c>
      <c r="E210" s="6">
        <v>2800</v>
      </c>
      <c r="F210" s="18">
        <v>0</v>
      </c>
      <c r="G210" s="18">
        <v>0</v>
      </c>
      <c r="H210" s="18">
        <v>0</v>
      </c>
      <c r="I210" s="18">
        <v>0</v>
      </c>
      <c r="J210" s="18">
        <v>20069</v>
      </c>
      <c r="K210" s="18">
        <v>4143.1000000000004</v>
      </c>
      <c r="L210" s="13">
        <f>SUM(F210:K210)</f>
        <v>24212.1</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1686478.86</v>
      </c>
      <c r="G212" s="38">
        <f t="shared" si="1"/>
        <v>778665.86999999988</v>
      </c>
      <c r="H212" s="38">
        <f t="shared" si="1"/>
        <v>1079350.6299999999</v>
      </c>
      <c r="I212" s="38">
        <f t="shared" si="1"/>
        <v>124957.4</v>
      </c>
      <c r="J212" s="38">
        <f t="shared" si="1"/>
        <v>63439.54</v>
      </c>
      <c r="K212" s="38">
        <f t="shared" si="1"/>
        <v>11890.920000000002</v>
      </c>
      <c r="L212" s="38">
        <f t="shared" si="1"/>
        <v>3744783.2200000007</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0</v>
      </c>
      <c r="G216" s="18">
        <v>0</v>
      </c>
      <c r="H216" s="18">
        <f>518712.21</f>
        <v>518712.21</v>
      </c>
      <c r="I216" s="18">
        <v>0</v>
      </c>
      <c r="J216" s="18">
        <v>0</v>
      </c>
      <c r="K216" s="18">
        <v>0</v>
      </c>
      <c r="L216" s="13">
        <f>SUM(F216:K216)</f>
        <v>518712.21</v>
      </c>
      <c r="M216" s="8"/>
      <c r="N216" s="165"/>
    </row>
    <row r="217" spans="1:14" s="3" customFormat="1" ht="12.2" customHeight="1" x14ac:dyDescent="0.15">
      <c r="A217" s="1" t="s">
        <v>439</v>
      </c>
      <c r="B217" s="2" t="s">
        <v>346</v>
      </c>
      <c r="C217" s="2" t="s">
        <v>291</v>
      </c>
      <c r="D217" s="2" t="s">
        <v>431</v>
      </c>
      <c r="E217" s="6">
        <v>1200</v>
      </c>
      <c r="F217" s="18">
        <f>1417.62</f>
        <v>1417.62</v>
      </c>
      <c r="G217" s="18">
        <f>248.33+14.36+5+2.78+106.75+297.99</f>
        <v>675.21</v>
      </c>
      <c r="H217" s="18">
        <f>98464.06+17635</f>
        <v>116099.06</v>
      </c>
      <c r="I217" s="18">
        <v>0</v>
      </c>
      <c r="J217" s="18">
        <v>0</v>
      </c>
      <c r="K217" s="18">
        <v>0</v>
      </c>
      <c r="L217" s="13">
        <f>SUM(F217:K217)</f>
        <v>118191.89</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3473.34</v>
      </c>
      <c r="G221" s="18">
        <f>1309.59+27.71+13.71+6.03+245.46+728.52</f>
        <v>2331.02</v>
      </c>
      <c r="H221" s="18">
        <v>0</v>
      </c>
      <c r="I221" s="18">
        <v>0</v>
      </c>
      <c r="J221" s="18">
        <v>0</v>
      </c>
      <c r="K221" s="18">
        <v>0</v>
      </c>
      <c r="L221" s="13">
        <f t="shared" ref="L221:L227" si="2">SUM(F221:K221)</f>
        <v>5804.3600000000006</v>
      </c>
      <c r="M221" s="8"/>
      <c r="N221" s="165"/>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3">
        <f t="shared" si="2"/>
        <v>0</v>
      </c>
      <c r="M222" s="8"/>
      <c r="N222" s="165"/>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3">
        <f t="shared" si="2"/>
        <v>0</v>
      </c>
      <c r="M223" s="8"/>
      <c r="N223" s="165"/>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3">
        <f t="shared" si="2"/>
        <v>0</v>
      </c>
      <c r="M224" s="8"/>
      <c r="N224" s="1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5"/>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3">
        <f t="shared" si="2"/>
        <v>0</v>
      </c>
      <c r="M226" s="8"/>
      <c r="N226" s="165"/>
    </row>
    <row r="227" spans="1:14" s="3" customFormat="1" ht="12.2" customHeight="1" x14ac:dyDescent="0.15">
      <c r="A227" s="1" t="s">
        <v>448</v>
      </c>
      <c r="B227" s="2" t="s">
        <v>346</v>
      </c>
      <c r="C227" s="2" t="s">
        <v>300</v>
      </c>
      <c r="D227" s="2" t="s">
        <v>431</v>
      </c>
      <c r="E227" s="6">
        <v>2700</v>
      </c>
      <c r="F227" s="18">
        <v>0</v>
      </c>
      <c r="G227" s="18">
        <v>0</v>
      </c>
      <c r="H227" s="18">
        <f>36708+4195+4222.5</f>
        <v>45125.5</v>
      </c>
      <c r="I227" s="18">
        <v>0</v>
      </c>
      <c r="J227" s="18">
        <v>0</v>
      </c>
      <c r="K227" s="18">
        <v>0</v>
      </c>
      <c r="L227" s="13">
        <f t="shared" si="2"/>
        <v>45125.5</v>
      </c>
      <c r="M227" s="8"/>
      <c r="N227" s="1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4890.96</v>
      </c>
      <c r="G230" s="38">
        <f>SUM(G216:G229)</f>
        <v>3006.23</v>
      </c>
      <c r="H230" s="38">
        <f>SUM(H216:H229)</f>
        <v>679936.77</v>
      </c>
      <c r="I230" s="38">
        <f>SUM(I216:I229)</f>
        <v>0</v>
      </c>
      <c r="J230" s="38">
        <f>SUM(J216:J229)</f>
        <v>0</v>
      </c>
      <c r="K230" s="38">
        <f t="shared" si="3"/>
        <v>0</v>
      </c>
      <c r="L230" s="38">
        <f t="shared" si="3"/>
        <v>687833.96</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0</v>
      </c>
      <c r="G234" s="18">
        <v>0</v>
      </c>
      <c r="H234" s="18">
        <v>1095534.6200000001</v>
      </c>
      <c r="I234" s="18">
        <v>0</v>
      </c>
      <c r="J234" s="18">
        <v>0</v>
      </c>
      <c r="K234" s="18">
        <v>0</v>
      </c>
      <c r="L234" s="13">
        <f>SUM(F234:K234)</f>
        <v>1095534.6200000001</v>
      </c>
      <c r="M234" s="8"/>
      <c r="N234" s="165"/>
    </row>
    <row r="235" spans="1:14" s="3" customFormat="1" ht="12.2" customHeight="1" x14ac:dyDescent="0.15">
      <c r="A235" s="1" t="s">
        <v>439</v>
      </c>
      <c r="B235" s="2" t="s">
        <v>350</v>
      </c>
      <c r="C235" s="2" t="s">
        <v>291</v>
      </c>
      <c r="D235" s="2" t="s">
        <v>431</v>
      </c>
      <c r="E235" s="6">
        <v>1200</v>
      </c>
      <c r="F235" s="18">
        <v>1417.62</v>
      </c>
      <c r="G235" s="18">
        <f>248.33+14.36+5+2.78+106.75+297.99</f>
        <v>675.21</v>
      </c>
      <c r="H235" s="18">
        <f>17635+237317.5</f>
        <v>254952.5</v>
      </c>
      <c r="I235" s="18">
        <v>0</v>
      </c>
      <c r="J235" s="18">
        <v>0</v>
      </c>
      <c r="K235" s="18">
        <v>0</v>
      </c>
      <c r="L235" s="13">
        <f>SUM(F235:K235)</f>
        <v>257045.33</v>
      </c>
      <c r="M235" s="8"/>
      <c r="N235" s="1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3">
        <f>SUM(F236:K236)</f>
        <v>0</v>
      </c>
      <c r="M236" s="8"/>
      <c r="N236" s="1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3473.34</v>
      </c>
      <c r="G239" s="18">
        <f>1309.59+27.71+13.71+6.03+245.46+728.52</f>
        <v>2331.02</v>
      </c>
      <c r="H239" s="18">
        <v>0</v>
      </c>
      <c r="I239" s="18">
        <v>0</v>
      </c>
      <c r="J239" s="18">
        <v>0</v>
      </c>
      <c r="K239" s="18">
        <v>0</v>
      </c>
      <c r="L239" s="13">
        <f t="shared" ref="L239:L245" si="4">SUM(F239:K239)</f>
        <v>5804.3600000000006</v>
      </c>
      <c r="M239" s="8"/>
      <c r="N239" s="1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3">
        <f t="shared" si="4"/>
        <v>0</v>
      </c>
      <c r="M240" s="8"/>
      <c r="N240" s="165"/>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3">
        <f t="shared" si="4"/>
        <v>0</v>
      </c>
      <c r="M241" s="8"/>
      <c r="N241" s="1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3">
        <f t="shared" si="4"/>
        <v>0</v>
      </c>
      <c r="M242" s="8"/>
      <c r="N242" s="1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3">
        <f t="shared" si="4"/>
        <v>0</v>
      </c>
      <c r="M244" s="8"/>
      <c r="N244" s="165"/>
    </row>
    <row r="245" spans="1:14" s="3" customFormat="1" ht="12.2" customHeight="1" x14ac:dyDescent="0.15">
      <c r="A245" s="1" t="s">
        <v>448</v>
      </c>
      <c r="B245" s="2" t="s">
        <v>350</v>
      </c>
      <c r="C245" s="2" t="s">
        <v>300</v>
      </c>
      <c r="D245" s="2" t="s">
        <v>431</v>
      </c>
      <c r="E245" s="6">
        <v>2700</v>
      </c>
      <c r="F245" s="18">
        <v>0</v>
      </c>
      <c r="G245" s="18">
        <v>0</v>
      </c>
      <c r="H245" s="18">
        <f>78004+73329.53+4195+4222.5</f>
        <v>159751.03</v>
      </c>
      <c r="I245" s="18">
        <v>0</v>
      </c>
      <c r="J245" s="18">
        <v>0</v>
      </c>
      <c r="K245" s="18">
        <v>0</v>
      </c>
      <c r="L245" s="13">
        <f t="shared" si="4"/>
        <v>159751.03</v>
      </c>
      <c r="M245" s="8"/>
      <c r="N245" s="1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4890.96</v>
      </c>
      <c r="G248" s="38">
        <f t="shared" si="5"/>
        <v>3006.23</v>
      </c>
      <c r="H248" s="38">
        <f t="shared" si="5"/>
        <v>1510238.1500000001</v>
      </c>
      <c r="I248" s="38">
        <f t="shared" si="5"/>
        <v>0</v>
      </c>
      <c r="J248" s="38">
        <f t="shared" si="5"/>
        <v>0</v>
      </c>
      <c r="K248" s="38">
        <f t="shared" si="5"/>
        <v>0</v>
      </c>
      <c r="L248" s="38">
        <f t="shared" si="5"/>
        <v>1518135.3400000003</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1696260.78</v>
      </c>
      <c r="G258" s="38">
        <f t="shared" si="8"/>
        <v>784678.32999999984</v>
      </c>
      <c r="H258" s="38">
        <f t="shared" si="8"/>
        <v>3269525.55</v>
      </c>
      <c r="I258" s="38">
        <f t="shared" si="8"/>
        <v>124957.4</v>
      </c>
      <c r="J258" s="38">
        <f t="shared" si="8"/>
        <v>63439.54</v>
      </c>
      <c r="K258" s="38">
        <f t="shared" si="8"/>
        <v>11890.920000000002</v>
      </c>
      <c r="L258" s="38">
        <f t="shared" si="8"/>
        <v>5950752.5200000014</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0</v>
      </c>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0</v>
      </c>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0</v>
      </c>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75000</v>
      </c>
      <c r="L267" s="13">
        <f t="shared" si="9"/>
        <v>75000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75000</v>
      </c>
      <c r="L271" s="38">
        <f t="shared" si="9"/>
        <v>75000</v>
      </c>
      <c r="M271" s="8"/>
      <c r="N271" s="165"/>
    </row>
    <row r="272" spans="1:14" s="33" customFormat="1" ht="12.2" customHeight="1" thickTop="1" x14ac:dyDescent="0.2">
      <c r="A272" s="40" t="s">
        <v>464</v>
      </c>
      <c r="B272" s="37">
        <v>10</v>
      </c>
      <c r="C272" s="37">
        <v>18</v>
      </c>
      <c r="D272" s="36" t="s">
        <v>431</v>
      </c>
      <c r="E272" s="37"/>
      <c r="F272" s="39">
        <f t="shared" ref="F272:L272" si="11">F258+F271</f>
        <v>1696260.78</v>
      </c>
      <c r="G272" s="39">
        <f t="shared" si="11"/>
        <v>784678.32999999984</v>
      </c>
      <c r="H272" s="39">
        <f t="shared" si="11"/>
        <v>3269525.55</v>
      </c>
      <c r="I272" s="39">
        <f t="shared" si="11"/>
        <v>124957.4</v>
      </c>
      <c r="J272" s="39">
        <f t="shared" si="11"/>
        <v>63439.54</v>
      </c>
      <c r="K272" s="39">
        <f t="shared" si="11"/>
        <v>86890.92</v>
      </c>
      <c r="L272" s="39">
        <f t="shared" si="11"/>
        <v>6025752.5200000014</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43732</v>
      </c>
      <c r="G277" s="18">
        <v>3630.86</v>
      </c>
      <c r="H277" s="18">
        <v>0</v>
      </c>
      <c r="I277" s="18">
        <f>6800.2+5554.91</f>
        <v>12355.11</v>
      </c>
      <c r="J277" s="18">
        <v>0</v>
      </c>
      <c r="K277" s="18">
        <v>0</v>
      </c>
      <c r="L277" s="13">
        <f>SUM(F277:K277)</f>
        <v>59717.97</v>
      </c>
      <c r="M277" s="8"/>
      <c r="N277" s="165"/>
    </row>
    <row r="278" spans="1:14" s="3" customFormat="1" ht="12.2" customHeight="1" x14ac:dyDescent="0.15">
      <c r="A278" s="1" t="s">
        <v>439</v>
      </c>
      <c r="B278" s="2" t="s">
        <v>357</v>
      </c>
      <c r="C278" s="2" t="s">
        <v>291</v>
      </c>
      <c r="D278" s="2" t="s">
        <v>431</v>
      </c>
      <c r="E278" s="6">
        <v>1200</v>
      </c>
      <c r="F278" s="18">
        <v>15644.69</v>
      </c>
      <c r="G278" s="18">
        <v>3519.66</v>
      </c>
      <c r="H278" s="18">
        <v>7910.35</v>
      </c>
      <c r="I278" s="18">
        <f>642.44+649.11</f>
        <v>1291.5500000000002</v>
      </c>
      <c r="J278" s="18">
        <v>0</v>
      </c>
      <c r="K278" s="18">
        <v>0</v>
      </c>
      <c r="L278" s="13">
        <f>SUM(F278:K278)</f>
        <v>28366.249999999996</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0</v>
      </c>
      <c r="G282" s="18">
        <v>0</v>
      </c>
      <c r="H282" s="18">
        <v>4012.5</v>
      </c>
      <c r="I282" s="18">
        <v>0</v>
      </c>
      <c r="J282" s="18">
        <v>0</v>
      </c>
      <c r="K282" s="18">
        <v>0</v>
      </c>
      <c r="L282" s="13">
        <f t="shared" ref="L282:L288" si="12">SUM(F282:K282)</f>
        <v>4012.5</v>
      </c>
      <c r="M282" s="8"/>
      <c r="N282" s="165"/>
    </row>
    <row r="283" spans="1:14" s="3" customFormat="1" ht="12.2" customHeight="1" x14ac:dyDescent="0.15">
      <c r="A283" s="1" t="s">
        <v>443</v>
      </c>
      <c r="B283" s="2" t="s">
        <v>357</v>
      </c>
      <c r="C283" s="2" t="s">
        <v>295</v>
      </c>
      <c r="D283" s="2" t="s">
        <v>431</v>
      </c>
      <c r="E283" s="6">
        <v>2200</v>
      </c>
      <c r="F283" s="18">
        <v>8065</v>
      </c>
      <c r="G283" s="18">
        <v>1733.77</v>
      </c>
      <c r="H283" s="18">
        <v>16405.48</v>
      </c>
      <c r="I283" s="18">
        <v>478.32</v>
      </c>
      <c r="J283" s="18">
        <v>0</v>
      </c>
      <c r="K283" s="18">
        <v>0</v>
      </c>
      <c r="L283" s="13">
        <f t="shared" si="12"/>
        <v>26682.57</v>
      </c>
      <c r="M283" s="8"/>
      <c r="N283" s="1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623.61</v>
      </c>
      <c r="L286" s="13">
        <f t="shared" si="12"/>
        <v>623.61</v>
      </c>
      <c r="M286" s="8"/>
      <c r="N286" s="165"/>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3">
        <f t="shared" si="12"/>
        <v>0</v>
      </c>
      <c r="M287" s="8"/>
      <c r="N287" s="1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3">
        <f t="shared" si="12"/>
        <v>0</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67441.69</v>
      </c>
      <c r="G291" s="39">
        <f t="shared" si="13"/>
        <v>8884.2900000000009</v>
      </c>
      <c r="H291" s="39">
        <f t="shared" si="13"/>
        <v>28328.33</v>
      </c>
      <c r="I291" s="39">
        <f t="shared" si="13"/>
        <v>14124.98</v>
      </c>
      <c r="J291" s="39">
        <f t="shared" si="13"/>
        <v>0</v>
      </c>
      <c r="K291" s="39">
        <f t="shared" si="13"/>
        <v>623.61</v>
      </c>
      <c r="L291" s="38">
        <f t="shared" si="13"/>
        <v>119402.90000000001</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3">
        <f>SUM(F296:K296)</f>
        <v>0</v>
      </c>
      <c r="M296" s="8"/>
      <c r="N296" s="1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3">
        <f>SUM(F297:K297)</f>
        <v>0</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3">
        <f t="shared" ref="L301:L307" si="14">SUM(F301:K301)</f>
        <v>0</v>
      </c>
      <c r="M301" s="8"/>
      <c r="N301" s="165"/>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3">
        <f t="shared" si="14"/>
        <v>0</v>
      </c>
      <c r="M302" s="8"/>
      <c r="N302" s="1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3">
        <f>SUM(F315:K315)</f>
        <v>0</v>
      </c>
      <c r="M315" s="8"/>
      <c r="N315" s="165"/>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3">
        <f>SUM(F316:K316)</f>
        <v>0</v>
      </c>
      <c r="M316" s="8"/>
      <c r="N316" s="1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3">
        <f t="shared" ref="L320:L326" si="16">SUM(F320:K320)</f>
        <v>0</v>
      </c>
      <c r="M320" s="8"/>
      <c r="N320" s="165"/>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3">
        <f t="shared" si="16"/>
        <v>0</v>
      </c>
      <c r="M321" s="8"/>
      <c r="N321" s="1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5"/>
    </row>
    <row r="337" spans="1:43" s="3" customFormat="1" ht="12.2" customHeight="1" thickBot="1" x14ac:dyDescent="0.2">
      <c r="A337" s="1" t="s">
        <v>584</v>
      </c>
      <c r="B337" s="6">
        <v>14</v>
      </c>
      <c r="C337" s="6">
        <v>5</v>
      </c>
      <c r="D337" s="2" t="s">
        <v>431</v>
      </c>
      <c r="E337" s="6">
        <v>4000</v>
      </c>
      <c r="F337" s="18">
        <v>0</v>
      </c>
      <c r="G337" s="18">
        <v>0</v>
      </c>
      <c r="H337" s="18">
        <v>0</v>
      </c>
      <c r="I337" s="18">
        <v>0</v>
      </c>
      <c r="J337" s="18">
        <v>0</v>
      </c>
      <c r="K337" s="18">
        <v>0</v>
      </c>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67441.69</v>
      </c>
      <c r="G339" s="38">
        <f t="shared" si="20"/>
        <v>8884.2900000000009</v>
      </c>
      <c r="H339" s="38">
        <f t="shared" si="20"/>
        <v>28328.33</v>
      </c>
      <c r="I339" s="38">
        <f t="shared" si="20"/>
        <v>14124.98</v>
      </c>
      <c r="J339" s="38">
        <f t="shared" si="20"/>
        <v>0</v>
      </c>
      <c r="K339" s="38">
        <f t="shared" si="20"/>
        <v>623.61</v>
      </c>
      <c r="L339" s="38">
        <f t="shared" si="20"/>
        <v>119402.90000000001</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0</v>
      </c>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67441.69</v>
      </c>
      <c r="G353" s="38">
        <f>G339</f>
        <v>8884.2900000000009</v>
      </c>
      <c r="H353" s="38">
        <f>H339</f>
        <v>28328.33</v>
      </c>
      <c r="I353" s="38">
        <f>I339</f>
        <v>14124.98</v>
      </c>
      <c r="J353" s="38">
        <f>J339</f>
        <v>0</v>
      </c>
      <c r="K353" s="38">
        <f>K339+K352</f>
        <v>623.61</v>
      </c>
      <c r="L353" s="38">
        <f>L339+L352</f>
        <v>119402.90000000001</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0</v>
      </c>
      <c r="G359" s="18">
        <v>0</v>
      </c>
      <c r="H359" s="18">
        <v>58348</v>
      </c>
      <c r="I359" s="18">
        <v>5304.03</v>
      </c>
      <c r="J359" s="18">
        <v>0</v>
      </c>
      <c r="K359" s="18">
        <v>0</v>
      </c>
      <c r="L359" s="13">
        <f>SUM(F359:K359)</f>
        <v>63652.03</v>
      </c>
      <c r="M359" s="8"/>
      <c r="N359" s="165"/>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3">
        <f>SUM(F360:K360)</f>
        <v>0</v>
      </c>
      <c r="M360" s="8"/>
      <c r="N360" s="165"/>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58348</v>
      </c>
      <c r="I363" s="38">
        <f t="shared" si="22"/>
        <v>5304.03</v>
      </c>
      <c r="J363" s="38">
        <f t="shared" si="22"/>
        <v>0</v>
      </c>
      <c r="K363" s="38">
        <f t="shared" si="22"/>
        <v>0</v>
      </c>
      <c r="L363" s="38">
        <f t="shared" si="22"/>
        <v>63652.03</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0</v>
      </c>
      <c r="G368" s="18">
        <v>0</v>
      </c>
      <c r="H368" s="18">
        <v>0</v>
      </c>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5304.03</v>
      </c>
      <c r="G369" s="53">
        <v>0</v>
      </c>
      <c r="H369" s="53">
        <v>0</v>
      </c>
      <c r="I369" s="13">
        <f>SUM(F369:H369)</f>
        <v>5304.03</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5304.03</v>
      </c>
      <c r="G370" s="38">
        <f>SUM(G368:G369)</f>
        <v>0</v>
      </c>
      <c r="H370" s="38">
        <f>SUM(H368:H369)</f>
        <v>0</v>
      </c>
      <c r="I370" s="38">
        <f>SUM(I368:I369)</f>
        <v>5304.03</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v>0</v>
      </c>
      <c r="G388" s="18">
        <v>0</v>
      </c>
      <c r="H388" s="18">
        <v>0</v>
      </c>
      <c r="I388" s="18">
        <v>0</v>
      </c>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v>0</v>
      </c>
      <c r="G389" s="18">
        <v>0</v>
      </c>
      <c r="H389" s="18">
        <v>0</v>
      </c>
      <c r="I389" s="18">
        <v>0</v>
      </c>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v>0</v>
      </c>
      <c r="G390" s="18">
        <v>0</v>
      </c>
      <c r="H390" s="18">
        <v>0</v>
      </c>
      <c r="I390" s="18">
        <v>0</v>
      </c>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v>0</v>
      </c>
      <c r="G391" s="18">
        <v>0</v>
      </c>
      <c r="H391" s="18">
        <v>0</v>
      </c>
      <c r="I391" s="18">
        <v>0</v>
      </c>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v>0</v>
      </c>
      <c r="G392" s="18">
        <v>0</v>
      </c>
      <c r="H392" s="18">
        <v>0</v>
      </c>
      <c r="I392" s="18">
        <v>0</v>
      </c>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v>0</v>
      </c>
      <c r="G393" s="18">
        <v>75000</v>
      </c>
      <c r="H393" s="18">
        <v>495.85</v>
      </c>
      <c r="I393" s="18">
        <v>0</v>
      </c>
      <c r="J393" s="23" t="s">
        <v>288</v>
      </c>
      <c r="K393" s="23" t="s">
        <v>288</v>
      </c>
      <c r="L393" s="13">
        <f t="shared" si="25"/>
        <v>75495.850000000006</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75000</v>
      </c>
      <c r="H394" s="97">
        <f>SUM(H388:H393)</f>
        <v>495.85</v>
      </c>
      <c r="I394" s="54">
        <f>SUM(I388:I393)</f>
        <v>0</v>
      </c>
      <c r="J394" s="42" t="s">
        <v>288</v>
      </c>
      <c r="K394" s="42" t="s">
        <v>288</v>
      </c>
      <c r="L394" s="38">
        <f>SUM(L388:L393)</f>
        <v>75495.850000000006</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v>0</v>
      </c>
      <c r="G396" s="18">
        <v>0</v>
      </c>
      <c r="H396" s="18">
        <v>0</v>
      </c>
      <c r="I396" s="18">
        <v>0</v>
      </c>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v>0</v>
      </c>
      <c r="G397" s="18">
        <v>0</v>
      </c>
      <c r="H397" s="18">
        <v>0</v>
      </c>
      <c r="I397" s="18">
        <v>0</v>
      </c>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v>0</v>
      </c>
      <c r="G398" s="18">
        <v>0</v>
      </c>
      <c r="H398" s="18">
        <v>0</v>
      </c>
      <c r="I398" s="18">
        <v>0</v>
      </c>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v>0</v>
      </c>
      <c r="G399" s="18">
        <v>0</v>
      </c>
      <c r="H399" s="18">
        <v>0</v>
      </c>
      <c r="I399" s="18">
        <v>0</v>
      </c>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v>0</v>
      </c>
      <c r="G400" s="18">
        <v>0</v>
      </c>
      <c r="H400" s="18">
        <v>0</v>
      </c>
      <c r="I400" s="18">
        <v>0</v>
      </c>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v>0</v>
      </c>
      <c r="G401" s="18">
        <v>0</v>
      </c>
      <c r="H401" s="18">
        <v>0</v>
      </c>
      <c r="I401" s="18">
        <v>0</v>
      </c>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v>0</v>
      </c>
      <c r="G404" s="18">
        <v>0</v>
      </c>
      <c r="H404" s="18">
        <v>0</v>
      </c>
      <c r="I404" s="18">
        <v>0</v>
      </c>
      <c r="J404" s="23" t="s">
        <v>288</v>
      </c>
      <c r="K404" s="23" t="s">
        <v>288</v>
      </c>
      <c r="L404" s="13">
        <f>SUM(F404:K404)</f>
        <v>0</v>
      </c>
      <c r="M404" s="8"/>
      <c r="N404" s="165"/>
    </row>
    <row r="405" spans="1:21" s="3" customFormat="1" ht="12.2" customHeight="1" x14ac:dyDescent="0.15">
      <c r="A405" s="82"/>
      <c r="B405" s="2" t="s">
        <v>381</v>
      </c>
      <c r="C405" s="6">
        <v>16</v>
      </c>
      <c r="D405" s="2" t="s">
        <v>432</v>
      </c>
      <c r="E405" s="6"/>
      <c r="F405" s="18">
        <v>0</v>
      </c>
      <c r="G405" s="18">
        <v>0</v>
      </c>
      <c r="H405" s="18">
        <v>0</v>
      </c>
      <c r="I405" s="18">
        <v>0</v>
      </c>
      <c r="J405" s="23" t="s">
        <v>288</v>
      </c>
      <c r="K405" s="23" t="s">
        <v>288</v>
      </c>
      <c r="L405" s="13">
        <f>SUM(F405:K405)</f>
        <v>0</v>
      </c>
      <c r="M405" s="8"/>
      <c r="N405" s="165"/>
    </row>
    <row r="406" spans="1:21" s="3" customFormat="1" ht="12.2" customHeight="1" x14ac:dyDescent="0.15">
      <c r="A406" s="82"/>
      <c r="B406" s="2" t="s">
        <v>381</v>
      </c>
      <c r="C406" s="6">
        <v>17</v>
      </c>
      <c r="D406" s="2" t="s">
        <v>432</v>
      </c>
      <c r="E406" s="6"/>
      <c r="F406" s="18">
        <v>0</v>
      </c>
      <c r="G406" s="18">
        <v>0</v>
      </c>
      <c r="H406" s="18">
        <v>0</v>
      </c>
      <c r="I406" s="18">
        <v>0</v>
      </c>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v>0</v>
      </c>
      <c r="G407" s="18">
        <v>0</v>
      </c>
      <c r="H407" s="18">
        <v>0</v>
      </c>
      <c r="I407" s="18">
        <v>0</v>
      </c>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75000</v>
      </c>
      <c r="H409" s="38">
        <f>H394+H402+H408</f>
        <v>495.85</v>
      </c>
      <c r="I409" s="38">
        <f>I394+I402+I408</f>
        <v>0</v>
      </c>
      <c r="J409" s="23" t="s">
        <v>288</v>
      </c>
      <c r="K409" s="23" t="s">
        <v>288</v>
      </c>
      <c r="L409" s="38">
        <f>L394+L402+L408</f>
        <v>75495.850000000006</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v>0</v>
      </c>
      <c r="G414" s="18">
        <v>0</v>
      </c>
      <c r="H414" s="18">
        <v>0</v>
      </c>
      <c r="I414" s="18">
        <v>0</v>
      </c>
      <c r="J414" s="18">
        <v>0</v>
      </c>
      <c r="K414" s="18">
        <v>0</v>
      </c>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v>0</v>
      </c>
      <c r="G415" s="18">
        <v>0</v>
      </c>
      <c r="H415" s="18">
        <v>0</v>
      </c>
      <c r="I415" s="18">
        <v>0</v>
      </c>
      <c r="J415" s="18">
        <v>0</v>
      </c>
      <c r="K415" s="18">
        <v>0</v>
      </c>
      <c r="L415" s="13">
        <f t="shared" si="27"/>
        <v>0</v>
      </c>
      <c r="N415" s="165"/>
    </row>
    <row r="416" spans="1:21" s="3" customFormat="1" ht="12.2" customHeight="1" x14ac:dyDescent="0.15">
      <c r="A416" s="62" t="s">
        <v>552</v>
      </c>
      <c r="B416" s="6">
        <v>17</v>
      </c>
      <c r="C416" s="6">
        <v>3</v>
      </c>
      <c r="D416" s="2" t="s">
        <v>432</v>
      </c>
      <c r="E416" s="6"/>
      <c r="F416" s="18">
        <v>0</v>
      </c>
      <c r="G416" s="18">
        <v>0</v>
      </c>
      <c r="H416" s="18">
        <v>0</v>
      </c>
      <c r="I416" s="18">
        <v>0</v>
      </c>
      <c r="J416" s="18">
        <v>0</v>
      </c>
      <c r="K416" s="18">
        <v>0</v>
      </c>
      <c r="L416" s="13">
        <f t="shared" si="27"/>
        <v>0</v>
      </c>
      <c r="M416" s="8"/>
      <c r="N416" s="165"/>
    </row>
    <row r="417" spans="1:21" s="3" customFormat="1" ht="12.2" customHeight="1" x14ac:dyDescent="0.15">
      <c r="A417" s="62" t="s">
        <v>553</v>
      </c>
      <c r="B417" s="6">
        <v>17</v>
      </c>
      <c r="C417" s="6">
        <v>4</v>
      </c>
      <c r="D417" s="2" t="s">
        <v>432</v>
      </c>
      <c r="E417" s="6"/>
      <c r="F417" s="18">
        <v>0</v>
      </c>
      <c r="G417" s="18">
        <v>0</v>
      </c>
      <c r="H417" s="18">
        <v>0</v>
      </c>
      <c r="I417" s="18">
        <v>0</v>
      </c>
      <c r="J417" s="18">
        <v>0</v>
      </c>
      <c r="K417" s="18">
        <v>0</v>
      </c>
      <c r="L417" s="13">
        <f t="shared" si="27"/>
        <v>0</v>
      </c>
      <c r="M417" s="8"/>
      <c r="N417" s="165"/>
    </row>
    <row r="418" spans="1:21" s="3" customFormat="1" ht="12.2" customHeight="1" x14ac:dyDescent="0.15">
      <c r="A418" s="62" t="s">
        <v>554</v>
      </c>
      <c r="B418" s="6">
        <v>17</v>
      </c>
      <c r="C418" s="6">
        <v>5</v>
      </c>
      <c r="D418" s="2" t="s">
        <v>432</v>
      </c>
      <c r="E418" s="6"/>
      <c r="F418" s="18">
        <v>0</v>
      </c>
      <c r="G418" s="18">
        <v>0</v>
      </c>
      <c r="H418" s="18">
        <v>0</v>
      </c>
      <c r="I418" s="18">
        <v>0</v>
      </c>
      <c r="J418" s="18">
        <v>0</v>
      </c>
      <c r="K418" s="18">
        <v>0</v>
      </c>
      <c r="L418" s="13">
        <f t="shared" si="27"/>
        <v>0</v>
      </c>
      <c r="M418" s="8"/>
      <c r="N418" s="165"/>
    </row>
    <row r="419" spans="1:21" s="3" customFormat="1" ht="12.2" customHeight="1" thickBot="1" x14ac:dyDescent="0.2">
      <c r="A419" s="62" t="s">
        <v>555</v>
      </c>
      <c r="B419" s="6">
        <v>17</v>
      </c>
      <c r="C419" s="6">
        <v>6</v>
      </c>
      <c r="D419" s="2" t="s">
        <v>432</v>
      </c>
      <c r="E419" s="6"/>
      <c r="F419" s="18">
        <v>0</v>
      </c>
      <c r="G419" s="18">
        <v>0</v>
      </c>
      <c r="H419" s="18">
        <v>0</v>
      </c>
      <c r="I419" s="18">
        <v>0</v>
      </c>
      <c r="J419" s="18">
        <v>0</v>
      </c>
      <c r="K419" s="18">
        <v>319500</v>
      </c>
      <c r="L419" s="13">
        <f t="shared" si="27"/>
        <v>319500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319500</v>
      </c>
      <c r="L420" s="38">
        <f t="shared" si="28"/>
        <v>319500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v>0</v>
      </c>
      <c r="G422" s="18">
        <v>0</v>
      </c>
      <c r="H422" s="18">
        <v>0</v>
      </c>
      <c r="I422" s="18">
        <v>0</v>
      </c>
      <c r="J422" s="18">
        <v>0</v>
      </c>
      <c r="K422" s="18">
        <v>0</v>
      </c>
      <c r="L422" s="13">
        <f t="shared" ref="L422:L427" si="29">SUM(F422:K422)</f>
        <v>0</v>
      </c>
      <c r="M422" s="8"/>
      <c r="N422" s="165"/>
    </row>
    <row r="423" spans="1:21" s="3" customFormat="1" ht="12.2" customHeight="1" x14ac:dyDescent="0.15">
      <c r="A423" s="62" t="s">
        <v>557</v>
      </c>
      <c r="B423" s="6">
        <v>17</v>
      </c>
      <c r="C423" s="6">
        <v>9</v>
      </c>
      <c r="D423" s="2" t="s">
        <v>432</v>
      </c>
      <c r="E423" s="6"/>
      <c r="F423" s="18">
        <v>0</v>
      </c>
      <c r="G423" s="18">
        <v>0</v>
      </c>
      <c r="H423" s="18">
        <v>0</v>
      </c>
      <c r="I423" s="18">
        <v>0</v>
      </c>
      <c r="J423" s="18">
        <v>0</v>
      </c>
      <c r="K423" s="18">
        <v>0</v>
      </c>
      <c r="L423" s="13">
        <f t="shared" si="29"/>
        <v>0</v>
      </c>
      <c r="M423" s="8"/>
      <c r="N423" s="165"/>
    </row>
    <row r="424" spans="1:21" s="3" customFormat="1" ht="12.2" customHeight="1" x14ac:dyDescent="0.15">
      <c r="A424" s="62" t="s">
        <v>515</v>
      </c>
      <c r="B424" s="6">
        <v>17</v>
      </c>
      <c r="C424" s="6">
        <v>10</v>
      </c>
      <c r="D424" s="2" t="s">
        <v>432</v>
      </c>
      <c r="E424" s="6"/>
      <c r="F424" s="18">
        <v>0</v>
      </c>
      <c r="G424" s="18">
        <v>0</v>
      </c>
      <c r="H424" s="18">
        <v>0</v>
      </c>
      <c r="I424" s="18">
        <v>0</v>
      </c>
      <c r="J424" s="18">
        <v>0</v>
      </c>
      <c r="K424" s="18">
        <v>0</v>
      </c>
      <c r="L424" s="13">
        <f t="shared" si="29"/>
        <v>0</v>
      </c>
      <c r="M424" s="8"/>
      <c r="N424" s="165"/>
    </row>
    <row r="425" spans="1:21" s="3" customFormat="1" ht="12.2" customHeight="1" x14ac:dyDescent="0.15">
      <c r="A425" s="62" t="s">
        <v>558</v>
      </c>
      <c r="B425" s="6">
        <v>17</v>
      </c>
      <c r="C425" s="6">
        <v>11</v>
      </c>
      <c r="D425" s="2" t="s">
        <v>432</v>
      </c>
      <c r="E425" s="6"/>
      <c r="F425" s="18">
        <v>0</v>
      </c>
      <c r="G425" s="18">
        <v>0</v>
      </c>
      <c r="H425" s="18">
        <v>0</v>
      </c>
      <c r="I425" s="18">
        <v>0</v>
      </c>
      <c r="J425" s="18">
        <v>0</v>
      </c>
      <c r="K425" s="18">
        <v>0</v>
      </c>
      <c r="L425" s="13">
        <f t="shared" si="29"/>
        <v>0</v>
      </c>
      <c r="M425" s="8"/>
      <c r="N425" s="165"/>
    </row>
    <row r="426" spans="1:21" s="3" customFormat="1" ht="12.2" customHeight="1" x14ac:dyDescent="0.15">
      <c r="A426" s="62" t="s">
        <v>559</v>
      </c>
      <c r="B426" s="6">
        <v>17</v>
      </c>
      <c r="C426" s="6">
        <v>12</v>
      </c>
      <c r="D426" s="2" t="s">
        <v>432</v>
      </c>
      <c r="E426" s="6"/>
      <c r="F426" s="18">
        <v>0</v>
      </c>
      <c r="G426" s="18">
        <v>0</v>
      </c>
      <c r="H426" s="18">
        <v>0</v>
      </c>
      <c r="I426" s="18">
        <v>0</v>
      </c>
      <c r="J426" s="18">
        <v>0</v>
      </c>
      <c r="K426" s="18">
        <v>0</v>
      </c>
      <c r="L426" s="13">
        <f t="shared" si="29"/>
        <v>0</v>
      </c>
      <c r="M426" s="8"/>
      <c r="N426" s="165"/>
    </row>
    <row r="427" spans="1:21" s="3" customFormat="1" ht="12.2" customHeight="1" thickBot="1" x14ac:dyDescent="0.2">
      <c r="A427" s="62" t="s">
        <v>510</v>
      </c>
      <c r="B427" s="6">
        <v>17</v>
      </c>
      <c r="C427" s="6">
        <v>13</v>
      </c>
      <c r="D427" s="2" t="s">
        <v>432</v>
      </c>
      <c r="E427" s="6"/>
      <c r="F427" s="18">
        <v>0</v>
      </c>
      <c r="G427" s="18">
        <v>0</v>
      </c>
      <c r="H427" s="18">
        <v>0</v>
      </c>
      <c r="I427" s="18">
        <v>0</v>
      </c>
      <c r="J427" s="18">
        <v>0</v>
      </c>
      <c r="K427" s="18">
        <v>0</v>
      </c>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v>0</v>
      </c>
      <c r="G430" s="18">
        <v>0</v>
      </c>
      <c r="H430" s="18">
        <v>0</v>
      </c>
      <c r="I430" s="18">
        <v>0</v>
      </c>
      <c r="J430" s="18">
        <v>0</v>
      </c>
      <c r="K430" s="18">
        <v>0</v>
      </c>
      <c r="L430" s="13">
        <f>SUM(F430:K430)</f>
        <v>0</v>
      </c>
      <c r="M430" s="8"/>
      <c r="N430" s="165"/>
    </row>
    <row r="431" spans="1:21" ht="12.2" customHeight="1" x14ac:dyDescent="0.2">
      <c r="A431" s="82"/>
      <c r="B431" s="6">
        <v>17</v>
      </c>
      <c r="C431" s="6">
        <v>16</v>
      </c>
      <c r="D431" s="2" t="s">
        <v>432</v>
      </c>
      <c r="E431" s="6"/>
      <c r="F431" s="18">
        <v>0</v>
      </c>
      <c r="G431" s="18">
        <v>0</v>
      </c>
      <c r="H431" s="18">
        <v>0</v>
      </c>
      <c r="I431" s="18">
        <v>0</v>
      </c>
      <c r="J431" s="18">
        <v>0</v>
      </c>
      <c r="K431" s="18">
        <v>0</v>
      </c>
      <c r="L431" s="13">
        <f>SUM(F431:K431)</f>
        <v>0</v>
      </c>
      <c r="N431" s="131"/>
    </row>
    <row r="432" spans="1:21" s="3" customFormat="1" ht="12.2" customHeight="1" x14ac:dyDescent="0.15">
      <c r="A432" s="82"/>
      <c r="B432" s="6">
        <v>17</v>
      </c>
      <c r="C432" s="6">
        <v>17</v>
      </c>
      <c r="D432" s="2" t="s">
        <v>432</v>
      </c>
      <c r="E432" s="6"/>
      <c r="F432" s="18">
        <v>0</v>
      </c>
      <c r="G432" s="18">
        <v>0</v>
      </c>
      <c r="H432" s="18">
        <v>0</v>
      </c>
      <c r="I432" s="18">
        <v>0</v>
      </c>
      <c r="J432" s="18">
        <v>0</v>
      </c>
      <c r="K432" s="18">
        <v>0</v>
      </c>
      <c r="L432" s="13">
        <f>SUM(F432:K432)</f>
        <v>0</v>
      </c>
      <c r="M432" s="8"/>
      <c r="N432" s="165"/>
    </row>
    <row r="433" spans="1:14" s="3" customFormat="1" ht="12.2" customHeight="1" thickBot="1" x14ac:dyDescent="0.2">
      <c r="A433" s="82"/>
      <c r="B433" s="6">
        <v>17</v>
      </c>
      <c r="C433" s="6">
        <v>18</v>
      </c>
      <c r="D433" s="2" t="s">
        <v>432</v>
      </c>
      <c r="E433" s="6"/>
      <c r="F433" s="18">
        <v>0</v>
      </c>
      <c r="G433" s="18">
        <v>0</v>
      </c>
      <c r="H433" s="18">
        <v>0</v>
      </c>
      <c r="I433" s="18">
        <v>0</v>
      </c>
      <c r="J433" s="18">
        <v>0</v>
      </c>
      <c r="K433" s="18">
        <v>0</v>
      </c>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319500</v>
      </c>
      <c r="L435" s="38">
        <f t="shared" si="32"/>
        <v>319500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0</v>
      </c>
      <c r="G440" s="18">
        <v>0</v>
      </c>
      <c r="H440" s="18">
        <v>0</v>
      </c>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384886.43</v>
      </c>
      <c r="G441" s="18">
        <v>0</v>
      </c>
      <c r="H441" s="18">
        <v>0</v>
      </c>
      <c r="I441" s="13">
        <f t="shared" si="33"/>
        <v>384886.43</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v>0</v>
      </c>
      <c r="G442" s="18">
        <v>0</v>
      </c>
      <c r="H442" s="18">
        <v>0</v>
      </c>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0</v>
      </c>
      <c r="G443" s="18">
        <v>0</v>
      </c>
      <c r="H443" s="18">
        <v>0</v>
      </c>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v>0</v>
      </c>
      <c r="G444" s="18">
        <v>0</v>
      </c>
      <c r="H444" s="18">
        <v>0</v>
      </c>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v>0</v>
      </c>
      <c r="G445" s="18">
        <v>0</v>
      </c>
      <c r="H445" s="18">
        <v>0</v>
      </c>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v>0</v>
      </c>
      <c r="G446" s="18">
        <v>0</v>
      </c>
      <c r="H446" s="18">
        <v>0</v>
      </c>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384886.43</v>
      </c>
      <c r="G447" s="13">
        <f>SUM(G440:G446)</f>
        <v>0</v>
      </c>
      <c r="H447" s="13">
        <f>SUM(H440:H446)</f>
        <v>0</v>
      </c>
      <c r="I447" s="13">
        <f>SUM(I440:I446)</f>
        <v>384886.43</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v>0</v>
      </c>
      <c r="G449" s="18">
        <v>0</v>
      </c>
      <c r="H449" s="18">
        <v>0</v>
      </c>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v>0</v>
      </c>
      <c r="G450" s="18">
        <v>0</v>
      </c>
      <c r="H450" s="18">
        <v>0</v>
      </c>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v>0</v>
      </c>
      <c r="G451" s="18">
        <v>0</v>
      </c>
      <c r="H451" s="18">
        <v>0</v>
      </c>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v>0</v>
      </c>
      <c r="G452" s="18">
        <v>0</v>
      </c>
      <c r="H452" s="18">
        <v>0</v>
      </c>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v>0</v>
      </c>
      <c r="G455" s="18">
        <v>0</v>
      </c>
      <c r="H455" s="18">
        <v>0</v>
      </c>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v>0</v>
      </c>
      <c r="G456" s="18">
        <v>0</v>
      </c>
      <c r="H456" s="18">
        <v>0</v>
      </c>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v>0</v>
      </c>
      <c r="G457" s="18">
        <v>0</v>
      </c>
      <c r="H457" s="18">
        <v>0</v>
      </c>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v>0</v>
      </c>
      <c r="G458" s="18">
        <v>0</v>
      </c>
      <c r="H458" s="18">
        <v>0</v>
      </c>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v>0</v>
      </c>
      <c r="G459" s="18">
        <v>0</v>
      </c>
      <c r="H459" s="18">
        <v>0</v>
      </c>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384886.43</v>
      </c>
      <c r="G460" s="18">
        <v>0</v>
      </c>
      <c r="H460" s="18">
        <v>0</v>
      </c>
      <c r="I460" s="13">
        <f t="shared" si="34"/>
        <v>384886.43</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384886.43</v>
      </c>
      <c r="G461" s="65">
        <f>SUM(G455:G460)</f>
        <v>0</v>
      </c>
      <c r="H461" s="65">
        <f>SUM(H455:H460)</f>
        <v>0</v>
      </c>
      <c r="I461" s="65">
        <f>SUM(I455:I460)</f>
        <v>384886.43</v>
      </c>
      <c r="J461" s="23" t="s">
        <v>288</v>
      </c>
      <c r="K461" s="23" t="s">
        <v>288</v>
      </c>
      <c r="L461" s="23" t="s">
        <v>288</v>
      </c>
      <c r="N461" s="131"/>
    </row>
    <row r="462" spans="1:86" ht="12.2" customHeight="1" thickTop="1" x14ac:dyDescent="0.2">
      <c r="A462" s="40" t="s">
        <v>424</v>
      </c>
      <c r="B462" s="41">
        <v>18</v>
      </c>
      <c r="C462" s="64">
        <v>21</v>
      </c>
      <c r="D462" s="114" t="s">
        <v>432</v>
      </c>
      <c r="E462" s="64"/>
      <c r="F462" s="39">
        <f>F453+F461</f>
        <v>384886.43</v>
      </c>
      <c r="G462" s="39">
        <f>G453+G461</f>
        <v>0</v>
      </c>
      <c r="H462" s="39">
        <f>H453+H461</f>
        <v>0</v>
      </c>
      <c r="I462" s="39">
        <f>I453+I461</f>
        <v>384886.43</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f>474478.01+5</f>
        <v>474483.01</v>
      </c>
      <c r="G466" s="18">
        <v>26162.48</v>
      </c>
      <c r="H466" s="18">
        <v>57.74</v>
      </c>
      <c r="I466" s="18"/>
      <c r="J466" s="18">
        <v>628890.57999999996</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6011679.9500000002</v>
      </c>
      <c r="G469" s="18">
        <v>66304.17</v>
      </c>
      <c r="H469" s="18">
        <v>119437.68</v>
      </c>
      <c r="I469" s="18">
        <v>0</v>
      </c>
      <c r="J469" s="18">
        <f>75000+495.85</f>
        <v>75495.850000000006</v>
      </c>
      <c r="K469" s="23" t="s">
        <v>288</v>
      </c>
      <c r="L469" s="23" t="s">
        <v>288</v>
      </c>
      <c r="N469" s="131"/>
    </row>
    <row r="470" spans="1:14" ht="12.2" customHeight="1" x14ac:dyDescent="0.2">
      <c r="A470" s="71" t="s">
        <v>611</v>
      </c>
      <c r="B470" s="22">
        <v>19</v>
      </c>
      <c r="C470" s="31">
        <v>3</v>
      </c>
      <c r="D470" s="2" t="s">
        <v>432</v>
      </c>
      <c r="E470" s="31"/>
      <c r="F470" s="18">
        <v>0</v>
      </c>
      <c r="G470" s="18">
        <v>0</v>
      </c>
      <c r="H470" s="18">
        <v>0</v>
      </c>
      <c r="I470" s="18">
        <v>0</v>
      </c>
      <c r="J470" s="18">
        <v>0</v>
      </c>
      <c r="K470" s="23" t="s">
        <v>288</v>
      </c>
      <c r="L470" s="23" t="s">
        <v>288</v>
      </c>
      <c r="N470" s="131"/>
    </row>
    <row r="471" spans="1:14" ht="12.2" customHeight="1" x14ac:dyDescent="0.2">
      <c r="A471" s="32" t="s">
        <v>425</v>
      </c>
      <c r="B471" s="22">
        <v>19</v>
      </c>
      <c r="C471" s="31">
        <v>4</v>
      </c>
      <c r="D471" s="2" t="s">
        <v>432</v>
      </c>
      <c r="E471" s="31"/>
      <c r="F471" s="19">
        <f>SUM(F469:F470)</f>
        <v>6011679.9500000002</v>
      </c>
      <c r="G471" s="19">
        <f>SUM(G469:G470)</f>
        <v>66304.17</v>
      </c>
      <c r="H471" s="19">
        <f>SUM(H469:H470)</f>
        <v>119437.68</v>
      </c>
      <c r="I471" s="19">
        <f>SUM(I469:I470)</f>
        <v>0</v>
      </c>
      <c r="J471" s="19">
        <f>SUM(J469:J470)</f>
        <v>75495.850000000006</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6025752.5199999996</v>
      </c>
      <c r="G473" s="18">
        <v>63652.03</v>
      </c>
      <c r="H473" s="18">
        <v>119402.9</v>
      </c>
      <c r="I473" s="18">
        <v>0</v>
      </c>
      <c r="J473" s="18">
        <v>319500</v>
      </c>
      <c r="K473" s="23" t="s">
        <v>288</v>
      </c>
      <c r="L473" s="23" t="s">
        <v>288</v>
      </c>
      <c r="N473" s="131"/>
    </row>
    <row r="474" spans="1:14" ht="12.2" customHeight="1" x14ac:dyDescent="0.2">
      <c r="A474" s="71" t="s">
        <v>613</v>
      </c>
      <c r="B474" s="22">
        <v>19</v>
      </c>
      <c r="C474" s="31">
        <v>6</v>
      </c>
      <c r="D474" s="2" t="s">
        <v>432</v>
      </c>
      <c r="E474" s="31"/>
      <c r="F474" s="18">
        <v>0</v>
      </c>
      <c r="G474" s="18">
        <v>0</v>
      </c>
      <c r="H474" s="18">
        <v>0</v>
      </c>
      <c r="I474" s="18">
        <v>0</v>
      </c>
      <c r="J474" s="18">
        <v>0</v>
      </c>
      <c r="K474" s="23" t="s">
        <v>288</v>
      </c>
      <c r="L474" s="23" t="s">
        <v>288</v>
      </c>
      <c r="N474" s="131"/>
    </row>
    <row r="475" spans="1:14" ht="12.2" customHeight="1" x14ac:dyDescent="0.2">
      <c r="A475" s="32" t="s">
        <v>426</v>
      </c>
      <c r="B475" s="22">
        <v>19</v>
      </c>
      <c r="C475" s="31">
        <v>7</v>
      </c>
      <c r="D475" s="2" t="s">
        <v>432</v>
      </c>
      <c r="E475" s="31"/>
      <c r="F475" s="19">
        <f>SUM(F473:F474)</f>
        <v>6025752.5199999996</v>
      </c>
      <c r="G475" s="19">
        <f>SUM(G473:G474)</f>
        <v>63652.03</v>
      </c>
      <c r="H475" s="19">
        <f>SUM(H473:H474)</f>
        <v>119402.9</v>
      </c>
      <c r="I475" s="19">
        <f>SUM(I473:I474)</f>
        <v>0</v>
      </c>
      <c r="J475" s="19">
        <f>SUM(J473:J474)</f>
        <v>319500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460410.44000000041</v>
      </c>
      <c r="G477" s="19">
        <f>(G466+G471)- G475</f>
        <v>28814.619999999995</v>
      </c>
      <c r="H477" s="19">
        <f>(H466+H471)- H475</f>
        <v>92.520000000004075</v>
      </c>
      <c r="I477" s="19">
        <f>(I466+I471)- I475</f>
        <v>0</v>
      </c>
      <c r="J477" s="19">
        <f>(J466+J471)- J475</f>
        <v>384886.42999999993</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0</v>
      </c>
      <c r="G491" s="111">
        <v>0</v>
      </c>
      <c r="H491" s="111">
        <v>0</v>
      </c>
      <c r="I491" s="111">
        <v>0</v>
      </c>
      <c r="J491" s="111">
        <v>0</v>
      </c>
      <c r="K491" s="23" t="s">
        <v>288</v>
      </c>
      <c r="L491" s="23" t="s">
        <v>288</v>
      </c>
      <c r="N491" s="131"/>
    </row>
    <row r="492" spans="1:14" ht="12.2" customHeight="1" x14ac:dyDescent="0.2">
      <c r="A492" s="21" t="s">
        <v>615</v>
      </c>
      <c r="B492" s="22">
        <v>20</v>
      </c>
      <c r="C492" s="22">
        <v>2</v>
      </c>
      <c r="D492" s="2" t="s">
        <v>432</v>
      </c>
      <c r="E492" s="22"/>
      <c r="F492" s="112" t="s">
        <v>1812</v>
      </c>
      <c r="G492" s="112" t="s">
        <v>1812</v>
      </c>
      <c r="H492" s="111">
        <v>0</v>
      </c>
      <c r="I492" s="111">
        <v>0</v>
      </c>
      <c r="J492" s="111">
        <v>0</v>
      </c>
      <c r="K492" s="23" t="s">
        <v>288</v>
      </c>
      <c r="L492" s="23" t="s">
        <v>288</v>
      </c>
      <c r="N492" s="131"/>
    </row>
    <row r="493" spans="1:14" ht="12.2" customHeight="1" x14ac:dyDescent="0.2">
      <c r="A493" s="21" t="s">
        <v>616</v>
      </c>
      <c r="B493" s="22">
        <v>20</v>
      </c>
      <c r="C493" s="22">
        <v>3</v>
      </c>
      <c r="D493" s="2" t="s">
        <v>432</v>
      </c>
      <c r="E493" s="22"/>
      <c r="F493" s="112" t="s">
        <v>1812</v>
      </c>
      <c r="G493" s="112" t="s">
        <v>1812</v>
      </c>
      <c r="H493" s="111">
        <v>0</v>
      </c>
      <c r="I493" s="111">
        <v>0</v>
      </c>
      <c r="J493" s="111">
        <v>0</v>
      </c>
      <c r="K493" s="23" t="s">
        <v>288</v>
      </c>
      <c r="L493" s="23" t="s">
        <v>288</v>
      </c>
      <c r="N493" s="131"/>
    </row>
    <row r="494" spans="1:14" ht="12.2" customHeight="1" x14ac:dyDescent="0.2">
      <c r="A494" s="21" t="s">
        <v>617</v>
      </c>
      <c r="B494" s="22">
        <v>20</v>
      </c>
      <c r="C494" s="22">
        <v>4</v>
      </c>
      <c r="D494" s="2" t="s">
        <v>432</v>
      </c>
      <c r="E494" s="22"/>
      <c r="F494" s="18">
        <v>0</v>
      </c>
      <c r="G494" s="18">
        <v>0</v>
      </c>
      <c r="H494" s="18">
        <v>0</v>
      </c>
      <c r="I494" s="18">
        <v>0</v>
      </c>
      <c r="J494" s="18">
        <v>0</v>
      </c>
      <c r="K494" s="23" t="s">
        <v>288</v>
      </c>
      <c r="L494" s="23" t="s">
        <v>288</v>
      </c>
      <c r="N494" s="131"/>
    </row>
    <row r="495" spans="1:14" ht="12.2" customHeight="1" x14ac:dyDescent="0.2">
      <c r="A495" s="21" t="s">
        <v>618</v>
      </c>
      <c r="B495" s="22">
        <v>20</v>
      </c>
      <c r="C495" s="22">
        <v>5</v>
      </c>
      <c r="D495" s="2" t="s">
        <v>432</v>
      </c>
      <c r="E495" s="22"/>
      <c r="F495" s="18">
        <v>0</v>
      </c>
      <c r="G495" s="18">
        <v>0</v>
      </c>
      <c r="H495" s="18">
        <v>0</v>
      </c>
      <c r="I495" s="18">
        <v>0</v>
      </c>
      <c r="J495" s="18">
        <v>0</v>
      </c>
      <c r="K495" s="23" t="s">
        <v>288</v>
      </c>
      <c r="L495" s="23" t="s">
        <v>288</v>
      </c>
      <c r="N495" s="131"/>
    </row>
    <row r="496" spans="1:14" ht="12.2" customHeight="1" x14ac:dyDescent="0.2">
      <c r="A496" s="21" t="s">
        <v>619</v>
      </c>
      <c r="B496" s="22">
        <v>20</v>
      </c>
      <c r="C496" s="22">
        <v>6</v>
      </c>
      <c r="D496" s="2" t="s">
        <v>432</v>
      </c>
      <c r="E496" s="22"/>
      <c r="F496" s="18">
        <v>0</v>
      </c>
      <c r="G496" s="18">
        <v>0</v>
      </c>
      <c r="H496" s="18">
        <v>0</v>
      </c>
      <c r="I496" s="18">
        <v>0</v>
      </c>
      <c r="J496" s="18">
        <v>0</v>
      </c>
      <c r="K496" s="19">
        <f>SUM(F496:J496)</f>
        <v>0</v>
      </c>
      <c r="L496" s="23" t="s">
        <v>288</v>
      </c>
      <c r="N496" s="131"/>
    </row>
    <row r="497" spans="1:14" ht="12.2" customHeight="1" x14ac:dyDescent="0.2">
      <c r="A497" s="21" t="s">
        <v>620</v>
      </c>
      <c r="B497" s="22">
        <v>20</v>
      </c>
      <c r="C497" s="22">
        <v>7</v>
      </c>
      <c r="D497" s="2" t="s">
        <v>432</v>
      </c>
      <c r="E497" s="22"/>
      <c r="F497" s="18">
        <v>0</v>
      </c>
      <c r="G497" s="18">
        <v>0</v>
      </c>
      <c r="H497" s="18">
        <v>0</v>
      </c>
      <c r="I497" s="18">
        <v>0</v>
      </c>
      <c r="J497" s="18">
        <v>0</v>
      </c>
      <c r="K497" s="19">
        <f t="shared" ref="K497:K504" si="35">SUM(F497:J497)</f>
        <v>0</v>
      </c>
      <c r="L497" s="23" t="s">
        <v>288</v>
      </c>
      <c r="N497" s="131"/>
    </row>
    <row r="498" spans="1:14" ht="12.2" customHeight="1" x14ac:dyDescent="0.2">
      <c r="A498" s="21" t="s">
        <v>621</v>
      </c>
      <c r="B498" s="22">
        <v>20</v>
      </c>
      <c r="C498" s="22">
        <v>8</v>
      </c>
      <c r="D498" s="2" t="s">
        <v>432</v>
      </c>
      <c r="E498" s="22"/>
      <c r="F498" s="18">
        <v>0</v>
      </c>
      <c r="G498" s="18">
        <v>0</v>
      </c>
      <c r="H498" s="18">
        <v>0</v>
      </c>
      <c r="I498" s="18">
        <v>0</v>
      </c>
      <c r="J498" s="18">
        <v>0</v>
      </c>
      <c r="K498" s="19">
        <f t="shared" si="35"/>
        <v>0</v>
      </c>
      <c r="L498" s="23" t="s">
        <v>288</v>
      </c>
      <c r="N498" s="131"/>
    </row>
    <row r="499" spans="1:14" ht="12.2" customHeight="1" x14ac:dyDescent="0.2">
      <c r="A499" s="144" t="s">
        <v>622</v>
      </c>
      <c r="B499" s="145">
        <v>20</v>
      </c>
      <c r="C499" s="145">
        <v>9</v>
      </c>
      <c r="D499" s="146" t="s">
        <v>432</v>
      </c>
      <c r="E499" s="145"/>
      <c r="F499" s="147">
        <v>0</v>
      </c>
      <c r="G499" s="147">
        <v>0</v>
      </c>
      <c r="H499" s="147">
        <v>0</v>
      </c>
      <c r="I499" s="147">
        <v>0</v>
      </c>
      <c r="J499" s="147">
        <v>0</v>
      </c>
      <c r="K499" s="148">
        <f t="shared" si="35"/>
        <v>0</v>
      </c>
      <c r="L499" s="149" t="s">
        <v>288</v>
      </c>
      <c r="N499" s="131"/>
    </row>
    <row r="500" spans="1:14" ht="12.2" customHeight="1" thickBot="1" x14ac:dyDescent="0.25">
      <c r="A500" s="21" t="s">
        <v>623</v>
      </c>
      <c r="B500" s="22">
        <v>20</v>
      </c>
      <c r="C500" s="22">
        <v>10</v>
      </c>
      <c r="D500" s="2" t="s">
        <v>432</v>
      </c>
      <c r="E500" s="22"/>
      <c r="F500" s="18">
        <v>0</v>
      </c>
      <c r="G500" s="18">
        <v>0</v>
      </c>
      <c r="H500" s="18">
        <v>0</v>
      </c>
      <c r="I500" s="18">
        <v>0</v>
      </c>
      <c r="J500" s="18">
        <v>0</v>
      </c>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v>0</v>
      </c>
      <c r="G502" s="147">
        <v>0</v>
      </c>
      <c r="H502" s="147">
        <v>0</v>
      </c>
      <c r="I502" s="147">
        <v>0</v>
      </c>
      <c r="J502" s="147">
        <v>0</v>
      </c>
      <c r="K502" s="148">
        <f t="shared" si="35"/>
        <v>0</v>
      </c>
      <c r="L502" s="149" t="s">
        <v>288</v>
      </c>
      <c r="N502" s="131"/>
    </row>
    <row r="503" spans="1:14" ht="12.2" customHeight="1" thickBot="1" x14ac:dyDescent="0.25">
      <c r="A503" s="21" t="s">
        <v>625</v>
      </c>
      <c r="B503" s="22">
        <v>20</v>
      </c>
      <c r="C503" s="22">
        <v>13</v>
      </c>
      <c r="D503" s="2" t="s">
        <v>432</v>
      </c>
      <c r="E503" s="22"/>
      <c r="F503" s="18">
        <v>0</v>
      </c>
      <c r="G503" s="18">
        <v>0</v>
      </c>
      <c r="H503" s="18">
        <v>0</v>
      </c>
      <c r="I503" s="18">
        <v>0</v>
      </c>
      <c r="J503" s="18">
        <v>0</v>
      </c>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v>0</v>
      </c>
      <c r="G508" s="101">
        <v>0</v>
      </c>
      <c r="H508" s="101">
        <v>0</v>
      </c>
      <c r="I508" s="101">
        <v>0</v>
      </c>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v>0</v>
      </c>
      <c r="G512" s="23" t="s">
        <v>288</v>
      </c>
      <c r="H512" s="18">
        <v>0</v>
      </c>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v>0</v>
      </c>
      <c r="G513" s="23" t="s">
        <v>288</v>
      </c>
      <c r="H513" s="18">
        <v>0</v>
      </c>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v>0</v>
      </c>
      <c r="G514" s="23" t="s">
        <v>288</v>
      </c>
      <c r="H514" s="18">
        <v>0</v>
      </c>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v>0</v>
      </c>
      <c r="G515" s="23" t="s">
        <v>288</v>
      </c>
      <c r="H515" s="18">
        <v>0</v>
      </c>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v>0</v>
      </c>
      <c r="G516" s="23" t="s">
        <v>288</v>
      </c>
      <c r="H516" s="18">
        <v>0</v>
      </c>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v>0</v>
      </c>
      <c r="H517" s="23" t="s">
        <v>288</v>
      </c>
      <c r="I517" s="18">
        <v>0</v>
      </c>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339700.46+15644.69</f>
        <v>355345.15</v>
      </c>
      <c r="G522" s="18">
        <f>94202.48+895.07+2624.59</f>
        <v>97722.14</v>
      </c>
      <c r="H522" s="18">
        <f>124186.77+6303.87+690.48+916</f>
        <v>132097.12</v>
      </c>
      <c r="I522" s="18">
        <f>3540.52+642.44+649.11</f>
        <v>4832.07</v>
      </c>
      <c r="J522" s="18">
        <v>2081.9699999999998</v>
      </c>
      <c r="K522" s="18">
        <v>0</v>
      </c>
      <c r="L522" s="69">
        <f>SUM(F522:K522)</f>
        <v>592078.44999999995</v>
      </c>
      <c r="N522" s="131"/>
    </row>
    <row r="523" spans="1:14" ht="12.2" customHeight="1" x14ac:dyDescent="0.2">
      <c r="A523" s="21" t="s">
        <v>634</v>
      </c>
      <c r="B523" s="22">
        <v>21</v>
      </c>
      <c r="C523" s="22">
        <v>2</v>
      </c>
      <c r="D523" s="2" t="s">
        <v>432</v>
      </c>
      <c r="E523" s="22"/>
      <c r="F523" s="18">
        <v>1417.62</v>
      </c>
      <c r="G523" s="18">
        <v>675.21</v>
      </c>
      <c r="H523" s="18">
        <v>116099.06</v>
      </c>
      <c r="I523" s="18">
        <v>0</v>
      </c>
      <c r="J523" s="18">
        <v>0</v>
      </c>
      <c r="K523" s="18">
        <v>0</v>
      </c>
      <c r="L523" s="69">
        <f>SUM(F523:K523)</f>
        <v>118191.89</v>
      </c>
      <c r="N523" s="131"/>
    </row>
    <row r="524" spans="1:14" ht="12.2" customHeight="1" thickBot="1" x14ac:dyDescent="0.25">
      <c r="A524" s="21" t="s">
        <v>635</v>
      </c>
      <c r="B524" s="22">
        <v>21</v>
      </c>
      <c r="C524" s="22">
        <v>3</v>
      </c>
      <c r="D524" s="2" t="s">
        <v>432</v>
      </c>
      <c r="E524" s="22"/>
      <c r="F524" s="18">
        <v>1417.62</v>
      </c>
      <c r="G524" s="18">
        <v>675.21</v>
      </c>
      <c r="H524" s="18">
        <v>254952.5</v>
      </c>
      <c r="I524" s="18">
        <v>0</v>
      </c>
      <c r="J524" s="18">
        <v>0</v>
      </c>
      <c r="K524" s="18">
        <v>0</v>
      </c>
      <c r="L524" s="69">
        <f>SUM(F524:K524)</f>
        <v>257045.33</v>
      </c>
      <c r="N524" s="131"/>
    </row>
    <row r="525" spans="1:14" ht="12.2" customHeight="1" thickTop="1" x14ac:dyDescent="0.2">
      <c r="A525" s="97" t="s">
        <v>63</v>
      </c>
      <c r="B525" s="41">
        <v>21</v>
      </c>
      <c r="C525" s="41">
        <v>4</v>
      </c>
      <c r="D525" s="115" t="s">
        <v>432</v>
      </c>
      <c r="E525" s="41"/>
      <c r="F525" s="81">
        <f>SUM(F522:F524)</f>
        <v>358180.39</v>
      </c>
      <c r="G525" s="81">
        <f t="shared" ref="G525:L525" si="36">SUM(G522:G524)</f>
        <v>99072.560000000012</v>
      </c>
      <c r="H525" s="81">
        <f t="shared" si="36"/>
        <v>503148.68</v>
      </c>
      <c r="I525" s="81">
        <f t="shared" si="36"/>
        <v>4832.07</v>
      </c>
      <c r="J525" s="81">
        <f t="shared" si="36"/>
        <v>2081.9699999999998</v>
      </c>
      <c r="K525" s="81">
        <f t="shared" si="36"/>
        <v>0</v>
      </c>
      <c r="L525" s="70">
        <f t="shared" si="36"/>
        <v>967315.66999999993</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72887</v>
      </c>
      <c r="G527" s="18">
        <v>32131.55</v>
      </c>
      <c r="H527" s="18">
        <f>39612.08+4012.5</f>
        <v>43624.58</v>
      </c>
      <c r="I527" s="18">
        <f>449.04+32.93</f>
        <v>481.97</v>
      </c>
      <c r="J527" s="18">
        <v>0</v>
      </c>
      <c r="K527" s="18">
        <v>0</v>
      </c>
      <c r="L527" s="69">
        <f>SUM(F527:K527)</f>
        <v>149125.1</v>
      </c>
      <c r="M527" s="8"/>
      <c r="N527" s="165"/>
    </row>
    <row r="528" spans="1:14" s="3" customFormat="1" ht="12.2" customHeight="1" x14ac:dyDescent="0.15">
      <c r="A528" s="21" t="s">
        <v>634</v>
      </c>
      <c r="B528" s="22">
        <v>21</v>
      </c>
      <c r="C528" s="22">
        <v>6</v>
      </c>
      <c r="D528" s="2" t="s">
        <v>432</v>
      </c>
      <c r="E528" s="22"/>
      <c r="F528" s="18">
        <v>0</v>
      </c>
      <c r="G528" s="18">
        <v>0</v>
      </c>
      <c r="H528" s="18">
        <v>0</v>
      </c>
      <c r="I528" s="18">
        <v>0</v>
      </c>
      <c r="J528" s="18">
        <v>0</v>
      </c>
      <c r="K528" s="18">
        <v>0</v>
      </c>
      <c r="L528" s="69">
        <f>SUM(F528:K528)</f>
        <v>0</v>
      </c>
      <c r="M528" s="8"/>
      <c r="N528" s="165"/>
    </row>
    <row r="529" spans="1:14" s="3" customFormat="1" ht="12.2" customHeight="1" thickBot="1" x14ac:dyDescent="0.2">
      <c r="A529" s="21" t="s">
        <v>635</v>
      </c>
      <c r="B529" s="22">
        <v>21</v>
      </c>
      <c r="C529" s="22">
        <v>7</v>
      </c>
      <c r="D529" s="2" t="s">
        <v>432</v>
      </c>
      <c r="E529" s="22"/>
      <c r="F529" s="18">
        <v>0</v>
      </c>
      <c r="G529" s="18">
        <v>0</v>
      </c>
      <c r="H529" s="18">
        <v>0</v>
      </c>
      <c r="I529" s="18">
        <v>0</v>
      </c>
      <c r="J529" s="18">
        <v>0</v>
      </c>
      <c r="K529" s="18">
        <v>0</v>
      </c>
      <c r="L529" s="69">
        <f>SUM(F529:K529)</f>
        <v>0</v>
      </c>
      <c r="M529" s="8"/>
      <c r="N529" s="165"/>
    </row>
    <row r="530" spans="1:14" s="3" customFormat="1" ht="12.2" customHeight="1" thickTop="1" x14ac:dyDescent="0.15">
      <c r="A530" s="97" t="s">
        <v>65</v>
      </c>
      <c r="B530" s="41">
        <v>21</v>
      </c>
      <c r="C530" s="41">
        <v>8</v>
      </c>
      <c r="D530" s="115" t="s">
        <v>432</v>
      </c>
      <c r="E530" s="41"/>
      <c r="F530" s="70">
        <f>SUM(F527:F529)</f>
        <v>72887</v>
      </c>
      <c r="G530" s="70">
        <f t="shared" ref="G530:L530" si="37">SUM(G527:G529)</f>
        <v>32131.55</v>
      </c>
      <c r="H530" s="70">
        <f t="shared" si="37"/>
        <v>43624.58</v>
      </c>
      <c r="I530" s="70">
        <f t="shared" si="37"/>
        <v>481.97</v>
      </c>
      <c r="J530" s="70">
        <f t="shared" si="37"/>
        <v>0</v>
      </c>
      <c r="K530" s="70">
        <f t="shared" si="37"/>
        <v>0</v>
      </c>
      <c r="L530" s="70">
        <f t="shared" si="37"/>
        <v>149125.1</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38598</v>
      </c>
      <c r="G532" s="18">
        <v>21646</v>
      </c>
      <c r="H532" s="18">
        <v>0</v>
      </c>
      <c r="I532" s="18">
        <v>0</v>
      </c>
      <c r="J532" s="18">
        <v>0</v>
      </c>
      <c r="K532" s="18">
        <v>0</v>
      </c>
      <c r="L532" s="69">
        <f>SUM(F532:K532)</f>
        <v>60244</v>
      </c>
      <c r="M532" s="8"/>
      <c r="N532" s="165"/>
    </row>
    <row r="533" spans="1:14" s="3" customFormat="1" ht="12.2" customHeight="1" x14ac:dyDescent="0.15">
      <c r="A533" s="21" t="s">
        <v>634</v>
      </c>
      <c r="B533" s="22">
        <v>21</v>
      </c>
      <c r="C533" s="22">
        <v>10</v>
      </c>
      <c r="D533" s="2" t="s">
        <v>432</v>
      </c>
      <c r="E533" s="22"/>
      <c r="F533" s="18">
        <v>0</v>
      </c>
      <c r="G533" s="18">
        <v>0</v>
      </c>
      <c r="H533" s="18">
        <v>0</v>
      </c>
      <c r="I533" s="18">
        <v>0</v>
      </c>
      <c r="J533" s="18">
        <v>0</v>
      </c>
      <c r="K533" s="18">
        <v>0</v>
      </c>
      <c r="L533" s="69">
        <f>SUM(F533:K533)</f>
        <v>0</v>
      </c>
      <c r="M533" s="8"/>
      <c r="N533" s="165"/>
    </row>
    <row r="534" spans="1:14" s="3" customFormat="1" ht="12.2" customHeight="1" thickBot="1" x14ac:dyDescent="0.2">
      <c r="A534" s="21" t="s">
        <v>635</v>
      </c>
      <c r="B534" s="22">
        <v>21</v>
      </c>
      <c r="C534" s="22">
        <v>11</v>
      </c>
      <c r="D534" s="2" t="s">
        <v>432</v>
      </c>
      <c r="E534" s="22"/>
      <c r="F534" s="18">
        <v>0</v>
      </c>
      <c r="G534" s="18">
        <v>0</v>
      </c>
      <c r="H534" s="18">
        <v>0</v>
      </c>
      <c r="I534" s="18">
        <v>0</v>
      </c>
      <c r="J534" s="18">
        <v>0</v>
      </c>
      <c r="K534" s="18">
        <v>0</v>
      </c>
      <c r="L534" s="69">
        <f>SUM(F534:K534)</f>
        <v>0</v>
      </c>
      <c r="M534" s="8"/>
      <c r="N534" s="165"/>
    </row>
    <row r="535" spans="1:14" s="3" customFormat="1" ht="12.2" customHeight="1" thickTop="1" x14ac:dyDescent="0.15">
      <c r="A535" s="97" t="s">
        <v>67</v>
      </c>
      <c r="B535" s="41">
        <v>21</v>
      </c>
      <c r="C535" s="41">
        <v>12</v>
      </c>
      <c r="D535" s="115" t="s">
        <v>432</v>
      </c>
      <c r="E535" s="41"/>
      <c r="F535" s="70">
        <f>SUM(F532:F534)</f>
        <v>38598</v>
      </c>
      <c r="G535" s="70">
        <f t="shared" ref="G535:L535" si="38">SUM(G532:G534)</f>
        <v>21646</v>
      </c>
      <c r="H535" s="70">
        <f t="shared" si="38"/>
        <v>0</v>
      </c>
      <c r="I535" s="70">
        <f t="shared" si="38"/>
        <v>0</v>
      </c>
      <c r="J535" s="70">
        <f t="shared" si="38"/>
        <v>0</v>
      </c>
      <c r="K535" s="70">
        <f t="shared" si="38"/>
        <v>0</v>
      </c>
      <c r="L535" s="70">
        <f t="shared" si="38"/>
        <v>60244</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v>0</v>
      </c>
      <c r="G537" s="18">
        <v>0</v>
      </c>
      <c r="H537" s="18">
        <v>61.36</v>
      </c>
      <c r="I537" s="18">
        <v>0</v>
      </c>
      <c r="J537" s="18">
        <v>0</v>
      </c>
      <c r="K537" s="18">
        <v>0</v>
      </c>
      <c r="L537" s="69">
        <f>SUM(F537:K537)</f>
        <v>61.36</v>
      </c>
      <c r="M537" s="8"/>
      <c r="N537" s="165"/>
    </row>
    <row r="538" spans="1:14" s="3" customFormat="1" ht="12.2" customHeight="1" x14ac:dyDescent="0.15">
      <c r="A538" s="21" t="s">
        <v>634</v>
      </c>
      <c r="B538" s="22">
        <v>21</v>
      </c>
      <c r="C538" s="22">
        <v>14</v>
      </c>
      <c r="D538" s="2" t="s">
        <v>432</v>
      </c>
      <c r="E538" s="22"/>
      <c r="F538" s="18">
        <v>0</v>
      </c>
      <c r="G538" s="18">
        <v>0</v>
      </c>
      <c r="H538" s="18">
        <v>0</v>
      </c>
      <c r="I538" s="18">
        <v>0</v>
      </c>
      <c r="J538" s="18">
        <v>0</v>
      </c>
      <c r="K538" s="18">
        <v>0</v>
      </c>
      <c r="L538" s="69">
        <f>SUM(F538:K538)</f>
        <v>0</v>
      </c>
      <c r="M538" s="8"/>
      <c r="N538" s="165"/>
    </row>
    <row r="539" spans="1:14" s="3" customFormat="1" ht="12.2" customHeight="1" thickBot="1" x14ac:dyDescent="0.2">
      <c r="A539" s="21" t="s">
        <v>635</v>
      </c>
      <c r="B539" s="22">
        <v>21</v>
      </c>
      <c r="C539" s="22">
        <v>15</v>
      </c>
      <c r="D539" s="2" t="s">
        <v>432</v>
      </c>
      <c r="E539" s="22"/>
      <c r="F539" s="18">
        <v>0</v>
      </c>
      <c r="G539" s="18">
        <v>0</v>
      </c>
      <c r="H539" s="18">
        <v>0</v>
      </c>
      <c r="I539" s="18">
        <v>0</v>
      </c>
      <c r="J539" s="18">
        <v>0</v>
      </c>
      <c r="K539" s="18">
        <v>0</v>
      </c>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61.36</v>
      </c>
      <c r="I540" s="70">
        <f t="shared" si="39"/>
        <v>0</v>
      </c>
      <c r="J540" s="70">
        <f t="shared" si="39"/>
        <v>0</v>
      </c>
      <c r="K540" s="70">
        <f t="shared" si="39"/>
        <v>0</v>
      </c>
      <c r="L540" s="70">
        <f t="shared" si="39"/>
        <v>61.36</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0</v>
      </c>
      <c r="G542" s="18">
        <v>0</v>
      </c>
      <c r="H542" s="18">
        <v>42000</v>
      </c>
      <c r="I542" s="18">
        <v>0</v>
      </c>
      <c r="J542" s="18">
        <v>0</v>
      </c>
      <c r="K542" s="18">
        <v>0</v>
      </c>
      <c r="L542" s="69">
        <f>SUM(F542:K542)</f>
        <v>42000</v>
      </c>
      <c r="M542" s="8"/>
      <c r="N542" s="165"/>
    </row>
    <row r="543" spans="1:14" s="3" customFormat="1" ht="12.2" customHeight="1" x14ac:dyDescent="0.15">
      <c r="A543" s="21" t="s">
        <v>634</v>
      </c>
      <c r="B543" s="22">
        <v>21</v>
      </c>
      <c r="C543" s="22">
        <v>18</v>
      </c>
      <c r="D543" s="2" t="s">
        <v>432</v>
      </c>
      <c r="E543" s="22"/>
      <c r="F543" s="18">
        <v>0</v>
      </c>
      <c r="G543" s="18">
        <v>0</v>
      </c>
      <c r="H543" s="18">
        <v>0</v>
      </c>
      <c r="I543" s="18">
        <v>0</v>
      </c>
      <c r="J543" s="18">
        <v>0</v>
      </c>
      <c r="K543" s="18">
        <v>0</v>
      </c>
      <c r="L543" s="69">
        <f>SUM(F543:K543)</f>
        <v>0</v>
      </c>
      <c r="M543" s="8"/>
      <c r="N543" s="165"/>
    </row>
    <row r="544" spans="1:14" s="3" customFormat="1" ht="12.2" customHeight="1" thickBot="1" x14ac:dyDescent="0.2">
      <c r="A544" s="21" t="s">
        <v>635</v>
      </c>
      <c r="B544" s="22">
        <v>21</v>
      </c>
      <c r="C544" s="22">
        <v>19</v>
      </c>
      <c r="D544" s="2" t="s">
        <v>432</v>
      </c>
      <c r="E544" s="22"/>
      <c r="F544" s="18">
        <v>0</v>
      </c>
      <c r="G544" s="18">
        <v>0</v>
      </c>
      <c r="H544" s="18">
        <v>73329.53</v>
      </c>
      <c r="I544" s="18">
        <v>0</v>
      </c>
      <c r="J544" s="18">
        <v>0</v>
      </c>
      <c r="K544" s="18">
        <v>0</v>
      </c>
      <c r="L544" s="69">
        <f>SUM(F544:K544)</f>
        <v>73329.53</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115329.53</v>
      </c>
      <c r="I545" s="141">
        <f t="shared" si="40"/>
        <v>0</v>
      </c>
      <c r="J545" s="141">
        <f t="shared" si="40"/>
        <v>0</v>
      </c>
      <c r="K545" s="141">
        <f t="shared" si="40"/>
        <v>0</v>
      </c>
      <c r="L545" s="141">
        <f t="shared" si="40"/>
        <v>115329.53</v>
      </c>
      <c r="M545" s="8"/>
      <c r="N545" s="165"/>
    </row>
    <row r="546" spans="1:14" s="3" customFormat="1" ht="12.2" customHeight="1" thickTop="1" x14ac:dyDescent="0.15">
      <c r="A546" s="75" t="s">
        <v>72</v>
      </c>
      <c r="B546" s="41">
        <v>21</v>
      </c>
      <c r="C546" s="41">
        <v>21</v>
      </c>
      <c r="D546" s="115" t="s">
        <v>432</v>
      </c>
      <c r="E546" s="41"/>
      <c r="F546" s="70">
        <f>F525+F530+F535+F540+F545</f>
        <v>469665.39</v>
      </c>
      <c r="G546" s="70">
        <f t="shared" ref="G546:L546" si="41">G525+G530+G535+G540+G545</f>
        <v>152850.11000000002</v>
      </c>
      <c r="H546" s="70">
        <f t="shared" si="41"/>
        <v>662164.15</v>
      </c>
      <c r="I546" s="70">
        <f t="shared" si="41"/>
        <v>5314.04</v>
      </c>
      <c r="J546" s="70">
        <f t="shared" si="41"/>
        <v>2081.9699999999998</v>
      </c>
      <c r="K546" s="70">
        <f t="shared" si="41"/>
        <v>0</v>
      </c>
      <c r="L546" s="70">
        <f t="shared" si="41"/>
        <v>1292075.6600000001</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592078.44999999995</v>
      </c>
      <c r="G550" s="69">
        <f>L527</f>
        <v>149125.1</v>
      </c>
      <c r="H550" s="69">
        <f>L532</f>
        <v>60244</v>
      </c>
      <c r="I550" s="69">
        <f>L537</f>
        <v>61.36</v>
      </c>
      <c r="J550" s="69">
        <f>L542</f>
        <v>42000</v>
      </c>
      <c r="K550" s="69">
        <f>SUM(F550:J550)</f>
        <v>843508.90999999992</v>
      </c>
      <c r="L550" s="23" t="s">
        <v>288</v>
      </c>
      <c r="M550" s="8"/>
      <c r="N550" s="165"/>
    </row>
    <row r="551" spans="1:14" s="3" customFormat="1" ht="12.2" customHeight="1" x14ac:dyDescent="0.15">
      <c r="A551" s="21" t="s">
        <v>634</v>
      </c>
      <c r="B551" s="22">
        <v>21</v>
      </c>
      <c r="C551" s="22">
        <v>23</v>
      </c>
      <c r="D551" s="2" t="s">
        <v>432</v>
      </c>
      <c r="E551" s="22"/>
      <c r="F551" s="69">
        <f>L523</f>
        <v>118191.89</v>
      </c>
      <c r="G551" s="69">
        <f>L528</f>
        <v>0</v>
      </c>
      <c r="H551" s="69">
        <f>L533</f>
        <v>0</v>
      </c>
      <c r="I551" s="69">
        <f>L538</f>
        <v>0</v>
      </c>
      <c r="J551" s="69">
        <f>L543</f>
        <v>0</v>
      </c>
      <c r="K551" s="69">
        <f>SUM(F551:J551)</f>
        <v>118191.89</v>
      </c>
      <c r="L551" s="23" t="s">
        <v>288</v>
      </c>
      <c r="M551" s="8"/>
      <c r="N551" s="165"/>
    </row>
    <row r="552" spans="1:14" s="3" customFormat="1" ht="12.2" customHeight="1" thickBot="1" x14ac:dyDescent="0.2">
      <c r="A552" s="21" t="s">
        <v>635</v>
      </c>
      <c r="B552" s="22">
        <v>21</v>
      </c>
      <c r="C552" s="22">
        <v>24</v>
      </c>
      <c r="D552" s="2" t="s">
        <v>432</v>
      </c>
      <c r="E552" s="22"/>
      <c r="F552" s="69">
        <f>L524</f>
        <v>257045.33</v>
      </c>
      <c r="G552" s="69">
        <f>L529</f>
        <v>0</v>
      </c>
      <c r="H552" s="69">
        <f>L534</f>
        <v>0</v>
      </c>
      <c r="I552" s="69">
        <f>L539</f>
        <v>0</v>
      </c>
      <c r="J552" s="69">
        <f>L544</f>
        <v>73329.53</v>
      </c>
      <c r="K552" s="69">
        <f>SUM(F552:J552)</f>
        <v>330374.86</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967315.66999999993</v>
      </c>
      <c r="G553" s="70">
        <f t="shared" si="42"/>
        <v>149125.1</v>
      </c>
      <c r="H553" s="70">
        <f t="shared" si="42"/>
        <v>60244</v>
      </c>
      <c r="I553" s="70">
        <f t="shared" si="42"/>
        <v>61.36</v>
      </c>
      <c r="J553" s="70">
        <f t="shared" si="42"/>
        <v>115329.53</v>
      </c>
      <c r="K553" s="70">
        <f t="shared" si="42"/>
        <v>1292075.6599999999</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v>0</v>
      </c>
      <c r="G558" s="18">
        <v>0</v>
      </c>
      <c r="H558" s="18">
        <v>0</v>
      </c>
      <c r="I558" s="18">
        <v>0</v>
      </c>
      <c r="J558" s="18">
        <v>0</v>
      </c>
      <c r="K558" s="18">
        <v>0</v>
      </c>
      <c r="L558" s="69">
        <f>SUM(F558:K558)</f>
        <v>0</v>
      </c>
      <c r="M558" s="8"/>
      <c r="N558" s="165"/>
    </row>
    <row r="559" spans="1:14" s="3" customFormat="1" ht="12.2" customHeight="1" x14ac:dyDescent="0.15">
      <c r="A559" s="21" t="s">
        <v>634</v>
      </c>
      <c r="B559" s="22">
        <v>22</v>
      </c>
      <c r="C559" s="22">
        <v>2</v>
      </c>
      <c r="D559" s="2" t="s">
        <v>432</v>
      </c>
      <c r="E559" s="22"/>
      <c r="F559" s="18">
        <v>0</v>
      </c>
      <c r="G559" s="18">
        <v>0</v>
      </c>
      <c r="H559" s="18">
        <v>0</v>
      </c>
      <c r="I559" s="18">
        <v>0</v>
      </c>
      <c r="J559" s="18">
        <v>0</v>
      </c>
      <c r="K559" s="18">
        <v>0</v>
      </c>
      <c r="L559" s="69">
        <f>SUM(F559:K559)</f>
        <v>0</v>
      </c>
      <c r="M559" s="8"/>
      <c r="N559" s="165"/>
    </row>
    <row r="560" spans="1:14" s="3" customFormat="1" ht="12.2" customHeight="1" thickBot="1" x14ac:dyDescent="0.2">
      <c r="A560" s="21" t="s">
        <v>635</v>
      </c>
      <c r="B560" s="22">
        <v>22</v>
      </c>
      <c r="C560" s="22">
        <v>3</v>
      </c>
      <c r="D560" s="2" t="s">
        <v>432</v>
      </c>
      <c r="E560" s="22"/>
      <c r="F560" s="18">
        <v>0</v>
      </c>
      <c r="G560" s="18">
        <v>0</v>
      </c>
      <c r="H560" s="18">
        <v>0</v>
      </c>
      <c r="I560" s="18">
        <v>0</v>
      </c>
      <c r="J560" s="18">
        <v>0</v>
      </c>
      <c r="K560" s="18">
        <v>0</v>
      </c>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0</v>
      </c>
      <c r="G563" s="18">
        <v>0</v>
      </c>
      <c r="H563" s="18">
        <v>0</v>
      </c>
      <c r="I563" s="18">
        <v>0</v>
      </c>
      <c r="J563" s="18">
        <v>0</v>
      </c>
      <c r="K563" s="18">
        <v>0</v>
      </c>
      <c r="L563" s="69">
        <f>SUM(F563:K563)</f>
        <v>0</v>
      </c>
      <c r="M563" s="8"/>
      <c r="N563" s="165"/>
    </row>
    <row r="564" spans="1:14" s="3" customFormat="1" ht="12.2" customHeight="1" x14ac:dyDescent="0.15">
      <c r="A564" s="21" t="s">
        <v>634</v>
      </c>
      <c r="B564" s="22">
        <v>22</v>
      </c>
      <c r="C564" s="22">
        <v>6</v>
      </c>
      <c r="D564" s="2" t="s">
        <v>432</v>
      </c>
      <c r="E564" s="22"/>
      <c r="F564" s="18">
        <v>0</v>
      </c>
      <c r="G564" s="18">
        <v>0</v>
      </c>
      <c r="H564" s="18">
        <v>0</v>
      </c>
      <c r="I564" s="18">
        <v>0</v>
      </c>
      <c r="J564" s="18">
        <v>0</v>
      </c>
      <c r="K564" s="18">
        <v>0</v>
      </c>
      <c r="L564" s="69">
        <f>SUM(F564:K564)</f>
        <v>0</v>
      </c>
      <c r="M564" s="8"/>
      <c r="N564" s="165"/>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5"/>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5"/>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0</v>
      </c>
      <c r="G576" s="18">
        <v>0</v>
      </c>
      <c r="H576" s="18">
        <v>0</v>
      </c>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v>0</v>
      </c>
      <c r="G577" s="18">
        <v>518712.21</v>
      </c>
      <c r="H577" s="18">
        <v>1095534.6200000001</v>
      </c>
      <c r="I577" s="69">
        <f t="shared" ref="I577:I588" si="47">SUM(F577:H577)</f>
        <v>1614246.83</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v>0</v>
      </c>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11400</v>
      </c>
      <c r="G580" s="18">
        <v>0</v>
      </c>
      <c r="H580" s="18">
        <v>0</v>
      </c>
      <c r="I580" s="69">
        <f t="shared" si="47"/>
        <v>11400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0</v>
      </c>
      <c r="G581" s="18">
        <v>98464.06</v>
      </c>
      <c r="H581" s="18">
        <v>237317.5</v>
      </c>
      <c r="I581" s="69">
        <f t="shared" si="47"/>
        <v>335781.56</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v>0</v>
      </c>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96982.88</v>
      </c>
      <c r="G583" s="18">
        <v>0</v>
      </c>
      <c r="H583" s="18">
        <v>0</v>
      </c>
      <c r="I583" s="69">
        <f t="shared" si="47"/>
        <v>96982.88</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v>0</v>
      </c>
      <c r="G585" s="18">
        <v>0</v>
      </c>
      <c r="H585" s="18">
        <v>0</v>
      </c>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v>0</v>
      </c>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v>0</v>
      </c>
      <c r="G588" s="18">
        <v>0</v>
      </c>
      <c r="H588" s="18">
        <v>0</v>
      </c>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114711.8</v>
      </c>
      <c r="I592" s="18">
        <f>36708+4222.5</f>
        <v>40930.5</v>
      </c>
      <c r="J592" s="18">
        <f>78004+4222.5</f>
        <v>82226.5</v>
      </c>
      <c r="K592" s="80">
        <f t="shared" ref="K592:K598" si="48">SUM(H592:J592)</f>
        <v>237868.79999999999</v>
      </c>
      <c r="L592" s="23" t="s">
        <v>288</v>
      </c>
      <c r="M592" s="8"/>
      <c r="N592" s="165"/>
    </row>
    <row r="593" spans="1:14" s="3" customFormat="1" ht="12.2" customHeight="1" x14ac:dyDescent="0.15">
      <c r="A593" s="3" t="s">
        <v>638</v>
      </c>
      <c r="B593" s="22">
        <v>23</v>
      </c>
      <c r="C593" s="22">
        <v>2</v>
      </c>
      <c r="D593" s="2" t="s">
        <v>432</v>
      </c>
      <c r="E593" s="22"/>
      <c r="F593" s="78">
        <v>2722</v>
      </c>
      <c r="G593" s="79" t="s">
        <v>97</v>
      </c>
      <c r="H593" s="18">
        <v>42000</v>
      </c>
      <c r="I593" s="18">
        <v>0</v>
      </c>
      <c r="J593" s="18">
        <v>73329.53</v>
      </c>
      <c r="K593" s="80">
        <f t="shared" si="48"/>
        <v>115329.53</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v>0</v>
      </c>
      <c r="J594" s="18">
        <v>0</v>
      </c>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0</v>
      </c>
      <c r="I595" s="18">
        <v>0</v>
      </c>
      <c r="J595" s="18">
        <v>0</v>
      </c>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1946.17</v>
      </c>
      <c r="I596" s="18">
        <v>4195</v>
      </c>
      <c r="J596" s="18">
        <v>4195</v>
      </c>
      <c r="K596" s="80">
        <f t="shared" si="48"/>
        <v>10336.17</v>
      </c>
      <c r="L596" s="23" t="s">
        <v>288</v>
      </c>
      <c r="M596" s="8"/>
      <c r="N596" s="165"/>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158657.97</v>
      </c>
      <c r="I599" s="81">
        <f>SUM(I592:I598)</f>
        <v>45125.5</v>
      </c>
      <c r="J599" s="81">
        <f>SUM(J592:J598)</f>
        <v>159751.03</v>
      </c>
      <c r="K599" s="81">
        <f>SUM(K592:K598)</f>
        <v>363534.49999999994</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43370.54+20069</f>
        <v>63439.54</v>
      </c>
      <c r="I605" s="18">
        <v>0</v>
      </c>
      <c r="J605" s="18">
        <v>0</v>
      </c>
      <c r="K605" s="80">
        <f>SUM(H605:J605)</f>
        <v>63439.54</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63439.54</v>
      </c>
      <c r="I606" s="81">
        <f>SUM(I603:I605)</f>
        <v>0</v>
      </c>
      <c r="J606" s="81">
        <f>SUM(J603:J605)</f>
        <v>0</v>
      </c>
      <c r="K606" s="81">
        <f>SUM(K603:K605)</f>
        <v>63439.54</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0</v>
      </c>
      <c r="G612" s="18">
        <v>0</v>
      </c>
      <c r="H612" s="18">
        <v>0</v>
      </c>
      <c r="I612" s="18">
        <v>0</v>
      </c>
      <c r="J612" s="18">
        <v>0</v>
      </c>
      <c r="K612" s="18">
        <v>0</v>
      </c>
      <c r="L612" s="69">
        <f>SUM(F612:K612)</f>
        <v>0</v>
      </c>
      <c r="M612" s="8"/>
      <c r="N612" s="165"/>
    </row>
    <row r="613" spans="1:14" s="3" customFormat="1" ht="12.2" customHeight="1" x14ac:dyDescent="0.15">
      <c r="A613" s="21" t="s">
        <v>634</v>
      </c>
      <c r="B613" s="22">
        <v>23</v>
      </c>
      <c r="C613" s="22">
        <v>14</v>
      </c>
      <c r="D613" s="2" t="s">
        <v>432</v>
      </c>
      <c r="E613" s="22"/>
      <c r="F613" s="18">
        <v>0</v>
      </c>
      <c r="G613" s="18">
        <v>0</v>
      </c>
      <c r="H613" s="18">
        <v>0</v>
      </c>
      <c r="I613" s="18">
        <v>0</v>
      </c>
      <c r="J613" s="18">
        <v>0</v>
      </c>
      <c r="K613" s="18">
        <v>0</v>
      </c>
      <c r="L613" s="69">
        <f>SUM(F613:K613)</f>
        <v>0</v>
      </c>
      <c r="M613" s="8"/>
      <c r="N613" s="165"/>
    </row>
    <row r="614" spans="1:14" s="3" customFormat="1" ht="12.2" customHeight="1" thickBot="1" x14ac:dyDescent="0.2">
      <c r="A614" s="21" t="s">
        <v>645</v>
      </c>
      <c r="B614" s="22">
        <v>23</v>
      </c>
      <c r="C614" s="22">
        <v>15</v>
      </c>
      <c r="D614" s="2" t="s">
        <v>432</v>
      </c>
      <c r="E614" s="22"/>
      <c r="F614" s="18">
        <v>0</v>
      </c>
      <c r="G614" s="18">
        <v>0</v>
      </c>
      <c r="H614" s="18">
        <v>0</v>
      </c>
      <c r="I614" s="18">
        <v>0</v>
      </c>
      <c r="J614" s="18">
        <v>0</v>
      </c>
      <c r="K614" s="18">
        <v>0</v>
      </c>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2220686.75</v>
      </c>
      <c r="H618" s="80">
        <f>SUM(F52)</f>
        <v>2220686.75</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648755.88</v>
      </c>
      <c r="H619" s="80">
        <f>SUM(G52)</f>
        <v>648755.88</v>
      </c>
      <c r="I619" s="87" t="s">
        <v>875</v>
      </c>
      <c r="J619" s="80">
        <f>G619-H619</f>
        <v>0</v>
      </c>
      <c r="K619" s="80"/>
      <c r="L619" s="80"/>
      <c r="M619" s="8"/>
    </row>
    <row r="620" spans="1:14" s="3" customFormat="1" ht="12.2" customHeight="1" x14ac:dyDescent="0.15">
      <c r="A620" s="74"/>
      <c r="B620" s="22"/>
      <c r="C620" s="22"/>
      <c r="D620" s="22"/>
      <c r="E620" s="22"/>
      <c r="F620" s="87" t="s">
        <v>685</v>
      </c>
      <c r="G620" s="80">
        <f>SUM(H19)</f>
        <v>978857.54999999993</v>
      </c>
      <c r="H620" s="80">
        <f>SUM(H52)</f>
        <v>978857.55</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384886.43</v>
      </c>
      <c r="H622" s="80">
        <f>SUM(J52)</f>
        <v>384886.43</v>
      </c>
      <c r="I622" s="87" t="s">
        <v>878</v>
      </c>
      <c r="J622" s="80">
        <f>G622-H622</f>
        <v>0</v>
      </c>
      <c r="K622" s="80"/>
      <c r="L622" s="80"/>
      <c r="M622" s="8"/>
    </row>
    <row r="623" spans="1:14" s="3" customFormat="1" ht="12.2" customHeight="1" x14ac:dyDescent="0.15">
      <c r="A623" s="74"/>
      <c r="B623" s="22"/>
      <c r="C623" s="22"/>
      <c r="D623" s="22"/>
      <c r="E623" s="22"/>
      <c r="F623" s="87" t="s">
        <v>864</v>
      </c>
      <c r="G623" s="80">
        <f>F51</f>
        <v>460410.44</v>
      </c>
      <c r="H623" s="80">
        <f>F477</f>
        <v>460410.44000000041</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28814.62</v>
      </c>
      <c r="H624" s="80">
        <f>G477</f>
        <v>28814.619999999995</v>
      </c>
      <c r="I624" s="87" t="s">
        <v>102</v>
      </c>
      <c r="J624" s="80">
        <f t="shared" si="50"/>
        <v>0</v>
      </c>
      <c r="K624" s="80"/>
      <c r="L624" s="80"/>
      <c r="M624" s="8"/>
    </row>
    <row r="625" spans="1:13" s="3" customFormat="1" ht="12.2" customHeight="1" x14ac:dyDescent="0.15">
      <c r="A625" s="74"/>
      <c r="B625" s="22"/>
      <c r="C625" s="22"/>
      <c r="D625" s="22"/>
      <c r="E625" s="22"/>
      <c r="F625" s="86" t="s">
        <v>866</v>
      </c>
      <c r="G625" s="80">
        <f>H51</f>
        <v>92.52</v>
      </c>
      <c r="H625" s="80">
        <f>H477</f>
        <v>92.520000000004075</v>
      </c>
      <c r="I625" s="87" t="s">
        <v>103</v>
      </c>
      <c r="J625" s="80">
        <f t="shared" si="50"/>
        <v>-4.0785153032629751E-12</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384886.43</v>
      </c>
      <c r="H627" s="80">
        <f>J477</f>
        <v>384886.42999999993</v>
      </c>
      <c r="I627" s="87" t="s">
        <v>105</v>
      </c>
      <c r="J627" s="80">
        <f t="shared" si="50"/>
        <v>0</v>
      </c>
      <c r="K627" s="67"/>
      <c r="L627" s="69"/>
      <c r="M627" s="8"/>
    </row>
    <row r="628" spans="1:13" s="3" customFormat="1" ht="12.2" customHeight="1" x14ac:dyDescent="0.15">
      <c r="A628" s="21"/>
      <c r="B628" s="22"/>
      <c r="C628" s="22"/>
      <c r="D628" s="22"/>
      <c r="E628" s="22"/>
      <c r="F628" s="86" t="s">
        <v>658</v>
      </c>
      <c r="G628" s="80">
        <f>F194</f>
        <v>6011679.9500000002</v>
      </c>
      <c r="H628" s="80">
        <f>SUM(F469)</f>
        <v>6011679.9500000002</v>
      </c>
      <c r="I628" s="87" t="s">
        <v>106</v>
      </c>
      <c r="J628" s="80">
        <f>G628-H628</f>
        <v>0</v>
      </c>
      <c r="K628" s="67"/>
      <c r="L628" s="69"/>
      <c r="M628" s="8"/>
    </row>
    <row r="629" spans="1:13" s="3" customFormat="1" ht="12.2" customHeight="1" x14ac:dyDescent="0.15">
      <c r="A629" s="21"/>
      <c r="B629" s="22"/>
      <c r="C629" s="22"/>
      <c r="D629" s="22"/>
      <c r="E629" s="22"/>
      <c r="F629" s="86" t="s">
        <v>659</v>
      </c>
      <c r="G629" s="80">
        <f>G194</f>
        <v>66304.17</v>
      </c>
      <c r="H629" s="80">
        <f>SUM(G469)</f>
        <v>66304.17</v>
      </c>
      <c r="I629" s="87" t="s">
        <v>107</v>
      </c>
      <c r="J629" s="80">
        <f>G629-H629</f>
        <v>0</v>
      </c>
      <c r="K629" s="67"/>
      <c r="L629" s="69"/>
      <c r="M629" s="8"/>
    </row>
    <row r="630" spans="1:13" s="3" customFormat="1" ht="12.2" customHeight="1" x14ac:dyDescent="0.15">
      <c r="A630" s="21"/>
      <c r="B630" s="22"/>
      <c r="C630" s="22"/>
      <c r="D630" s="22"/>
      <c r="E630" s="22"/>
      <c r="F630" s="86" t="s">
        <v>660</v>
      </c>
      <c r="G630" s="80">
        <f>H194</f>
        <v>119437.68</v>
      </c>
      <c r="H630" s="80">
        <f>SUM(H469)</f>
        <v>119437.68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75495.850000000006</v>
      </c>
      <c r="H632" s="80">
        <f>SUM(J469)</f>
        <v>75495.850000000006</v>
      </c>
      <c r="I632" s="87" t="s">
        <v>110</v>
      </c>
      <c r="J632" s="80">
        <f>G632-H632</f>
        <v>0</v>
      </c>
      <c r="K632" s="67"/>
      <c r="L632" s="69"/>
      <c r="M632" s="8"/>
    </row>
    <row r="633" spans="1:13" s="3" customFormat="1" ht="12.2" customHeight="1" x14ac:dyDescent="0.15">
      <c r="A633" s="21"/>
      <c r="B633" s="22"/>
      <c r="C633" s="22"/>
      <c r="D633" s="22"/>
      <c r="E633" s="22"/>
      <c r="F633" s="86" t="s">
        <v>394</v>
      </c>
      <c r="G633" s="80">
        <f>SUM(L272)</f>
        <v>6025752.5200000014</v>
      </c>
      <c r="H633" s="80">
        <f>SUM(F473)</f>
        <v>6025752.5199999996</v>
      </c>
      <c r="I633" s="87" t="s">
        <v>111</v>
      </c>
      <c r="J633" s="80">
        <f t="shared" si="50"/>
        <v>0</v>
      </c>
      <c r="K633" s="67"/>
      <c r="L633" s="69"/>
      <c r="M633" s="8"/>
    </row>
    <row r="634" spans="1:13" s="3" customFormat="1" ht="12.2" customHeight="1" x14ac:dyDescent="0.15">
      <c r="A634" s="21"/>
      <c r="B634" s="22"/>
      <c r="C634" s="22"/>
      <c r="D634" s="22"/>
      <c r="E634" s="22"/>
      <c r="F634" s="86" t="s">
        <v>395</v>
      </c>
      <c r="G634" s="80">
        <f>SUM(L353)</f>
        <v>119402.90000000001</v>
      </c>
      <c r="H634" s="80">
        <f>SUM(H473)</f>
        <v>119402.9</v>
      </c>
      <c r="I634" s="87" t="s">
        <v>112</v>
      </c>
      <c r="J634" s="80">
        <f>G634-H634</f>
        <v>0</v>
      </c>
      <c r="K634" s="67"/>
      <c r="L634" s="69"/>
      <c r="M634" s="8"/>
    </row>
    <row r="635" spans="1:13" s="124" customFormat="1" ht="12.2" customHeight="1" x14ac:dyDescent="0.15">
      <c r="A635" s="21"/>
      <c r="B635" s="22"/>
      <c r="C635" s="22"/>
      <c r="D635" s="22"/>
      <c r="E635" s="22"/>
      <c r="F635" s="99" t="s">
        <v>247</v>
      </c>
      <c r="G635" s="80">
        <f>I363</f>
        <v>5304.03</v>
      </c>
      <c r="H635" s="80">
        <f>I370</f>
        <v>5304.03</v>
      </c>
      <c r="I635" s="100" t="s">
        <v>248</v>
      </c>
      <c r="J635" s="80">
        <f>G635-H635</f>
        <v>0</v>
      </c>
      <c r="K635" s="67"/>
      <c r="L635" s="69"/>
      <c r="M635" s="123"/>
    </row>
    <row r="636" spans="1:13" s="124" customFormat="1" ht="12.2" customHeight="1" x14ac:dyDescent="0.15">
      <c r="A636" s="21"/>
      <c r="B636" s="22"/>
      <c r="C636" s="22"/>
      <c r="D636" s="22"/>
      <c r="E636" s="22"/>
      <c r="F636" s="86" t="s">
        <v>113</v>
      </c>
      <c r="G636" s="80">
        <f>SUM(L363)</f>
        <v>63652.03</v>
      </c>
      <c r="H636" s="80">
        <f>SUM(G473)</f>
        <v>63652.03</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75495.850000000006</v>
      </c>
      <c r="H638" s="108">
        <f>SUM(J469)</f>
        <v>75495.850000000006</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319500</v>
      </c>
      <c r="H639" s="108">
        <f>SUM(J473)</f>
        <v>319500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384886.43</v>
      </c>
      <c r="H640" s="80">
        <f>SUM(F462)</f>
        <v>384886.43</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384886.43</v>
      </c>
      <c r="H643" s="80">
        <f>SUM(I462)</f>
        <v>384886.43</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495.85</v>
      </c>
      <c r="H645" s="80">
        <f>H409</f>
        <v>495.85</v>
      </c>
      <c r="I645" s="87" t="s">
        <v>480</v>
      </c>
      <c r="J645" s="80">
        <f t="shared" si="50"/>
        <v>0</v>
      </c>
      <c r="K645" s="67"/>
      <c r="L645" s="69"/>
      <c r="M645" s="8"/>
    </row>
    <row r="646" spans="1:13" s="3" customFormat="1" ht="12.2" customHeight="1" x14ac:dyDescent="0.15">
      <c r="A646" s="21"/>
      <c r="B646" s="22"/>
      <c r="C646" s="22"/>
      <c r="D646" s="22"/>
      <c r="E646" s="22"/>
      <c r="F646" s="86" t="s">
        <v>664</v>
      </c>
      <c r="G646" s="80">
        <f>J184</f>
        <v>75000</v>
      </c>
      <c r="H646" s="80">
        <f>G409</f>
        <v>75000</v>
      </c>
      <c r="I646" s="87" t="s">
        <v>481</v>
      </c>
      <c r="J646" s="80">
        <f t="shared" si="50"/>
        <v>0</v>
      </c>
      <c r="K646" s="67"/>
      <c r="L646" s="69"/>
      <c r="M646" s="8"/>
    </row>
    <row r="647" spans="1:13" s="3" customFormat="1" ht="12.2" customHeight="1" x14ac:dyDescent="0.15">
      <c r="A647" s="21"/>
      <c r="B647" s="22"/>
      <c r="C647" s="22"/>
      <c r="D647" s="22"/>
      <c r="E647" s="22"/>
      <c r="F647" s="86" t="s">
        <v>662</v>
      </c>
      <c r="G647" s="80">
        <f>J194</f>
        <v>75495.850000000006</v>
      </c>
      <c r="H647" s="80">
        <f>L409</f>
        <v>75495.850000000006</v>
      </c>
      <c r="I647" s="87" t="s">
        <v>477</v>
      </c>
      <c r="J647" s="80">
        <f t="shared" si="50"/>
        <v>0</v>
      </c>
      <c r="K647" s="67"/>
      <c r="L647" s="69"/>
      <c r="M647" s="8"/>
    </row>
    <row r="648" spans="1:13" s="3" customFormat="1" ht="12.2" customHeight="1" x14ac:dyDescent="0.15">
      <c r="A648" s="21"/>
      <c r="B648" s="22"/>
      <c r="C648" s="22"/>
      <c r="D648" s="22"/>
      <c r="E648" s="22"/>
      <c r="F648" s="86" t="s">
        <v>51</v>
      </c>
      <c r="G648" s="80">
        <f>K599</f>
        <v>363534.49999999994</v>
      </c>
      <c r="H648" s="80">
        <f>L209+L227+L245</f>
        <v>363534.5</v>
      </c>
      <c r="I648" s="87" t="s">
        <v>396</v>
      </c>
      <c r="J648" s="80">
        <f t="shared" si="50"/>
        <v>0</v>
      </c>
      <c r="K648" s="67"/>
      <c r="L648" s="69"/>
      <c r="M648" s="8"/>
    </row>
    <row r="649" spans="1:13" s="3" customFormat="1" ht="12.2" customHeight="1" x14ac:dyDescent="0.15">
      <c r="A649" s="21"/>
      <c r="B649" s="22"/>
      <c r="C649" s="22"/>
      <c r="D649" s="22"/>
      <c r="E649" s="22"/>
      <c r="F649" s="86" t="s">
        <v>52</v>
      </c>
      <c r="G649" s="80">
        <f>K606</f>
        <v>63439.54</v>
      </c>
      <c r="H649" s="80">
        <f>(J258+J339)-(J256+J337)</f>
        <v>63439.54</v>
      </c>
      <c r="I649" s="87" t="s">
        <v>699</v>
      </c>
      <c r="J649" s="80">
        <f t="shared" si="50"/>
        <v>0</v>
      </c>
      <c r="K649" s="67"/>
      <c r="L649" s="69"/>
      <c r="M649" s="8"/>
    </row>
    <row r="650" spans="1:13" s="3" customFormat="1" ht="12.2" customHeight="1" x14ac:dyDescent="0.15">
      <c r="A650" s="21"/>
      <c r="B650" s="22"/>
      <c r="C650" s="22"/>
      <c r="D650" s="22"/>
      <c r="E650" s="22"/>
      <c r="F650" s="86" t="s">
        <v>387</v>
      </c>
      <c r="G650" s="80">
        <f>L209</f>
        <v>158657.97</v>
      </c>
      <c r="H650" s="80">
        <f>H599</f>
        <v>158657.97</v>
      </c>
      <c r="I650" s="87" t="s">
        <v>388</v>
      </c>
      <c r="J650" s="80">
        <f t="shared" si="50"/>
        <v>0</v>
      </c>
      <c r="K650" s="67"/>
      <c r="L650" s="69"/>
      <c r="M650" s="8"/>
    </row>
    <row r="651" spans="1:13" s="3" customFormat="1" ht="12.2" customHeight="1" x14ac:dyDescent="0.15">
      <c r="A651" s="21"/>
      <c r="B651" s="22"/>
      <c r="C651" s="22"/>
      <c r="D651" s="22"/>
      <c r="E651" s="22"/>
      <c r="F651" s="86" t="s">
        <v>392</v>
      </c>
      <c r="G651" s="80">
        <f>L227</f>
        <v>45125.5</v>
      </c>
      <c r="H651" s="80">
        <f>I599</f>
        <v>45125.5</v>
      </c>
      <c r="I651" s="87" t="s">
        <v>389</v>
      </c>
      <c r="J651" s="80">
        <f t="shared" si="50"/>
        <v>0</v>
      </c>
      <c r="K651" s="67"/>
      <c r="L651" s="69"/>
      <c r="M651" s="8"/>
    </row>
    <row r="652" spans="1:13" s="3" customFormat="1" ht="12.2" customHeight="1" x14ac:dyDescent="0.15">
      <c r="A652" s="21"/>
      <c r="B652" s="22"/>
      <c r="C652" s="22"/>
      <c r="D652" s="22"/>
      <c r="E652" s="22"/>
      <c r="F652" s="86" t="s">
        <v>393</v>
      </c>
      <c r="G652" s="80">
        <f>L245</f>
        <v>159751.03</v>
      </c>
      <c r="H652" s="80">
        <f>J599</f>
        <v>159751.03</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75000</v>
      </c>
      <c r="H656" s="80">
        <f>K267+K348</f>
        <v>75000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3927838.1500000004</v>
      </c>
      <c r="G661" s="13">
        <f>(L230+L310+L360)</f>
        <v>687833.96</v>
      </c>
      <c r="H661" s="13">
        <f>(L248+L329+L361)</f>
        <v>1518135.3400000003</v>
      </c>
      <c r="I661" s="13">
        <f>SUM(F661:H661)</f>
        <v>6133807.4500000011</v>
      </c>
      <c r="J661" s="13"/>
      <c r="K661" s="13"/>
      <c r="L661" s="13"/>
      <c r="M661" s="9"/>
    </row>
    <row r="662" spans="1:13" s="3" customFormat="1" ht="12.2" customHeight="1" x14ac:dyDescent="0.2">
      <c r="A662" s="1" t="s">
        <v>127</v>
      </c>
      <c r="F662" s="13">
        <f>(L359/IF(SUM(L359:L361)=0,1,SUM(L359:L361))*(SUM(G97:G110)))</f>
        <v>31667.85</v>
      </c>
      <c r="G662" s="13">
        <f>(L360/IF(SUM(L359:L361)=0,1,SUM(L359:L361))*(SUM(G97:G110)))</f>
        <v>0</v>
      </c>
      <c r="H662" s="13">
        <f>(L361/IF(SUM(L359:L361)=0,1,SUM(L359:L361))*(SUM(G97:G110)))</f>
        <v>0</v>
      </c>
      <c r="I662" s="13">
        <f>SUM(F662:H662)</f>
        <v>31667.85</v>
      </c>
      <c r="J662"/>
      <c r="K662" s="13"/>
      <c r="L662" s="13"/>
      <c r="M662" s="8"/>
    </row>
    <row r="663" spans="1:13" s="3" customFormat="1" ht="12.2" customHeight="1" x14ac:dyDescent="0.2">
      <c r="A663" s="1" t="s">
        <v>128</v>
      </c>
      <c r="F663" s="13">
        <f>(L209+L288)-(J209+J288)</f>
        <v>158657.97</v>
      </c>
      <c r="G663" s="13">
        <f>(L227+L307)-(J227+J307)</f>
        <v>45125.5</v>
      </c>
      <c r="H663" s="13">
        <f>(L245+L326)-(J245+J326)</f>
        <v>159751.03</v>
      </c>
      <c r="I663" s="13">
        <f>SUM(F663:H663)</f>
        <v>363534.5</v>
      </c>
      <c r="J663"/>
      <c r="K663" s="13"/>
      <c r="L663" s="13"/>
      <c r="M663" s="9"/>
    </row>
    <row r="664" spans="1:13" s="3" customFormat="1" ht="12.2" customHeight="1" x14ac:dyDescent="0.15">
      <c r="A664" s="142" t="s">
        <v>129</v>
      </c>
      <c r="B664" s="124"/>
      <c r="C664" s="124"/>
      <c r="D664" s="124"/>
      <c r="E664" s="124"/>
      <c r="F664" s="143">
        <f>SUM(F576:F588)+SUM(H603:H605)+SUM(L612)</f>
        <v>171822.42</v>
      </c>
      <c r="G664" s="143">
        <f>SUM(G576:G588)+SUM(I603:I605)+L613</f>
        <v>617176.27</v>
      </c>
      <c r="H664" s="143">
        <f>SUM(H576:H588)+SUM(J603:J605)+L614</f>
        <v>1332852.1200000001</v>
      </c>
      <c r="I664" s="13">
        <f>SUM(F664:H664)</f>
        <v>2121850.81</v>
      </c>
      <c r="J664" s="13"/>
      <c r="K664" s="13"/>
      <c r="L664" s="13"/>
      <c r="M664" s="9"/>
    </row>
    <row r="665" spans="1:13" s="3" customFormat="1" ht="12.2" customHeight="1" x14ac:dyDescent="0.15">
      <c r="A665" s="1" t="s">
        <v>130</v>
      </c>
      <c r="F665" s="13">
        <f>F661-SUM(F662:F664)</f>
        <v>3565689.91</v>
      </c>
      <c r="G665" s="13">
        <f>G661-SUM(G662:G664)</f>
        <v>25532.189999999944</v>
      </c>
      <c r="H665" s="13">
        <f>H661-SUM(H662:H664)</f>
        <v>25532.190000000177</v>
      </c>
      <c r="I665" s="13">
        <f>I661-SUM(I662:I664)</f>
        <v>3616754.290000001</v>
      </c>
      <c r="J665" s="13"/>
      <c r="K665" s="13"/>
      <c r="L665" s="13"/>
      <c r="M665" s="8"/>
    </row>
    <row r="666" spans="1:13" s="3" customFormat="1" ht="12.2" customHeight="1" x14ac:dyDescent="0.2">
      <c r="A666" s="1" t="s">
        <v>131</v>
      </c>
      <c r="F666" s="183">
        <v>134.88</v>
      </c>
      <c r="G666" s="184"/>
      <c r="H666" s="184"/>
      <c r="I666" s="13">
        <f>SUM(F666:H666)</f>
        <v>134.88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26436.02</v>
      </c>
      <c r="G668" s="13" t="e">
        <f>ROUND(G665/G666,2)</f>
        <v>#DIV/0!</v>
      </c>
      <c r="H668" s="13" t="e">
        <f>ROUND(H665/H666,2)</f>
        <v>#DIV/0!</v>
      </c>
      <c r="I668" s="13">
        <f>ROUND(I665/I666,2)</f>
        <v>26814.61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f t="shared" si="51"/>
        <v>-25532.189999999944</v>
      </c>
      <c r="H670" s="73">
        <f t="shared" si="51"/>
        <v>-25532.190000000177</v>
      </c>
      <c r="I670" s="13">
        <f>SUM(F670:H670)</f>
        <v>-51064.380000000121</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26436.02</v>
      </c>
      <c r="G673" s="13" t="e">
        <f>ROUND((G665+G670)/(G666+G671),2)</f>
        <v>#DIV/0!</v>
      </c>
      <c r="H673" s="13" t="e">
        <f>ROUND((H665+H670)/(H666+H671),2)</f>
        <v>#DIV/0!</v>
      </c>
      <c r="I673" s="13">
        <f>ROUND((I665+I670)/(I666+I671),2)</f>
        <v>26436.02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29871.67</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270+3724+284.9+559.14+5000+12619.53+302.86</f>
        <v>22760.43</v>
      </c>
      <c r="F9" s="272" t="s">
        <v>1627</v>
      </c>
    </row>
    <row r="10" spans="2:8" x14ac:dyDescent="0.25">
      <c r="B10" s="271"/>
      <c r="C10" s="271"/>
      <c r="D10" s="271"/>
      <c r="E10" s="271"/>
      <c r="F10" s="271"/>
    </row>
    <row r="11" spans="2:8" x14ac:dyDescent="0.25">
      <c r="B11" s="271"/>
      <c r="C11" s="275" t="s">
        <v>1631</v>
      </c>
      <c r="D11" s="272" t="s">
        <v>1634</v>
      </c>
      <c r="E11" s="260">
        <v>0</v>
      </c>
      <c r="F11" s="272" t="s">
        <v>1628</v>
      </c>
    </row>
    <row r="12" spans="2:8" x14ac:dyDescent="0.25">
      <c r="B12" s="271"/>
      <c r="C12" s="271"/>
      <c r="D12" s="272"/>
      <c r="E12" s="271"/>
      <c r="F12" s="271"/>
    </row>
    <row r="13" spans="2:8" x14ac:dyDescent="0.25">
      <c r="B13" s="271"/>
      <c r="C13" s="272" t="s">
        <v>1621</v>
      </c>
      <c r="D13" s="272" t="s">
        <v>1635</v>
      </c>
      <c r="E13" s="260">
        <f>2726.36+4225+159.88</f>
        <v>7111.2400000000007</v>
      </c>
      <c r="F13" s="272" t="s">
        <v>1629</v>
      </c>
    </row>
    <row r="14" spans="2:8" x14ac:dyDescent="0.25">
      <c r="B14" s="271"/>
      <c r="C14" s="271"/>
      <c r="D14" s="272"/>
      <c r="E14" s="271"/>
      <c r="F14" s="271"/>
    </row>
    <row r="15" spans="2:8" x14ac:dyDescent="0.25">
      <c r="B15" s="271"/>
      <c r="C15" s="272" t="s">
        <v>1623</v>
      </c>
      <c r="D15" s="272" t="s">
        <v>1636</v>
      </c>
      <c r="E15" s="260">
        <v>0</v>
      </c>
      <c r="F15" s="272" t="s">
        <v>1630</v>
      </c>
    </row>
    <row r="16" spans="2:8" x14ac:dyDescent="0.25">
      <c r="B16" s="271"/>
      <c r="C16" s="271"/>
      <c r="D16" s="271"/>
      <c r="E16" s="271"/>
      <c r="F16" s="271"/>
    </row>
    <row r="17" spans="2:8" x14ac:dyDescent="0.25">
      <c r="B17" s="271"/>
      <c r="C17" s="272" t="s">
        <v>1622</v>
      </c>
      <c r="D17" s="272" t="s">
        <v>1637</v>
      </c>
      <c r="E17" s="260">
        <v>0</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0</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Rollinsford</v>
      </c>
      <c r="C5" s="317"/>
      <c r="D5" s="317"/>
      <c r="E5" s="317"/>
      <c r="F5" s="317"/>
    </row>
    <row r="8" spans="1:9" ht="18" x14ac:dyDescent="0.25">
      <c r="A8" s="240" t="s">
        <v>1560</v>
      </c>
      <c r="F8" s="247" t="s">
        <v>1578</v>
      </c>
    </row>
    <row r="9" spans="1:9" ht="15" x14ac:dyDescent="0.2">
      <c r="A9" s="238" t="s">
        <v>1561</v>
      </c>
      <c r="B9" s="241">
        <f>'DOE25'!G97</f>
        <v>31667.85</v>
      </c>
      <c r="F9" s="238" t="s">
        <v>1574</v>
      </c>
    </row>
    <row r="10" spans="1:9" ht="15" x14ac:dyDescent="0.2">
      <c r="A10" s="238" t="s">
        <v>1562</v>
      </c>
      <c r="B10" s="241">
        <f>'DOE25'!G112-'DOE25'!G97</f>
        <v>0</v>
      </c>
      <c r="F10" s="238" t="s">
        <v>1575</v>
      </c>
    </row>
    <row r="11" spans="1:9" ht="15" x14ac:dyDescent="0.2">
      <c r="A11" s="238" t="s">
        <v>1563</v>
      </c>
      <c r="B11" s="241">
        <f>'DOE25'!G140</f>
        <v>15138.24</v>
      </c>
      <c r="F11" s="238" t="s">
        <v>1576</v>
      </c>
    </row>
    <row r="12" spans="1:9" ht="15" x14ac:dyDescent="0.2">
      <c r="A12" s="238" t="s">
        <v>1564</v>
      </c>
      <c r="B12" s="241">
        <f>'DOE25'!G170</f>
        <v>19498.080000000002</v>
      </c>
      <c r="F12" s="238" t="s">
        <v>1577</v>
      </c>
    </row>
    <row r="13" spans="1:9" ht="15" x14ac:dyDescent="0.2">
      <c r="A13" s="238" t="s">
        <v>1565</v>
      </c>
      <c r="B13" s="241">
        <f>'DOE25'!G193-'DOE25'!G180</f>
        <v>0</v>
      </c>
      <c r="F13" s="238" t="s">
        <v>1587</v>
      </c>
    </row>
    <row r="14" spans="1:9" ht="18" x14ac:dyDescent="0.25">
      <c r="A14" s="240" t="s">
        <v>732</v>
      </c>
      <c r="B14" s="242">
        <f>SUM(B9:B13)</f>
        <v>66304.17</v>
      </c>
    </row>
    <row r="16" spans="1:9" ht="18" x14ac:dyDescent="0.25">
      <c r="A16" s="240" t="s">
        <v>786</v>
      </c>
      <c r="F16" s="247" t="s">
        <v>1579</v>
      </c>
    </row>
    <row r="17" spans="1:6" ht="15" x14ac:dyDescent="0.2">
      <c r="A17" s="238" t="s">
        <v>1566</v>
      </c>
      <c r="B17" s="241">
        <f>'DOE25'!L363-'DOE25'!L362</f>
        <v>63652.03</v>
      </c>
      <c r="F17" s="238" t="s">
        <v>1580</v>
      </c>
    </row>
    <row r="18" spans="1:6" ht="15" x14ac:dyDescent="0.2">
      <c r="A18" s="238" t="s">
        <v>1567</v>
      </c>
      <c r="B18" s="251">
        <v>0</v>
      </c>
      <c r="F18" s="247" t="s">
        <v>1604</v>
      </c>
    </row>
    <row r="19" spans="1:6" ht="18" x14ac:dyDescent="0.25">
      <c r="A19" s="240" t="s">
        <v>725</v>
      </c>
      <c r="B19" s="242">
        <f>SUM(B17:B18)</f>
        <v>63652.03</v>
      </c>
    </row>
    <row r="21" spans="1:6" ht="18.75" thickBot="1" x14ac:dyDescent="0.3">
      <c r="A21" s="240" t="s">
        <v>1568</v>
      </c>
    </row>
    <row r="22" spans="1:6" ht="18.75" thickTop="1" x14ac:dyDescent="0.25">
      <c r="A22" s="240" t="s">
        <v>1569</v>
      </c>
      <c r="B22" s="246">
        <f>B14-B19</f>
        <v>2652.1399999999994</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26162.48</v>
      </c>
      <c r="F31" s="238" t="s">
        <v>1584</v>
      </c>
    </row>
    <row r="33" spans="1:6" ht="15" x14ac:dyDescent="0.2">
      <c r="A33" s="238" t="s">
        <v>1798</v>
      </c>
      <c r="B33" s="241">
        <f>'DOE25'!G477</f>
        <v>28814.619999999995</v>
      </c>
      <c r="F33" s="238" t="s">
        <v>1585</v>
      </c>
    </row>
    <row r="36" spans="1:6" ht="15" x14ac:dyDescent="0.2">
      <c r="A36" s="238" t="s">
        <v>1571</v>
      </c>
      <c r="B36" s="252">
        <v>5146.8900000000003</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21" sqref="B21"/>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Rollinsford</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861861.73</v>
      </c>
      <c r="C9" s="167">
        <f>'DOE25'!G198+'DOE25'!G216+'DOE25'!G234+'DOE25'!G277+'DOE25'!G296+'DOE25'!G315</f>
        <v>425491.46</v>
      </c>
    </row>
    <row r="10" spans="1:3" x14ac:dyDescent="0.2">
      <c r="A10" t="s">
        <v>775</v>
      </c>
      <c r="B10" s="177">
        <f>709204.51+43732+16578.88</f>
        <v>769515.39</v>
      </c>
      <c r="C10" s="177">
        <f>193926.44+5105.55+2772.06+1324.18+37.29+52120.2+121006.07+32371.9+3630.86</f>
        <v>412294.55</v>
      </c>
    </row>
    <row r="11" spans="1:3" x14ac:dyDescent="0.2">
      <c r="A11" t="s">
        <v>776</v>
      </c>
      <c r="B11" s="177">
        <f>49995.11+16826.23</f>
        <v>66821.34</v>
      </c>
      <c r="C11" s="177">
        <f>107.61+20.07+531.72+3823.01+1275.97+4098.26+1250.6</f>
        <v>11107.24</v>
      </c>
    </row>
    <row r="12" spans="1:3" x14ac:dyDescent="0.2">
      <c r="A12" t="s">
        <v>777</v>
      </c>
      <c r="B12" s="177">
        <f>24525+1000</f>
        <v>25525</v>
      </c>
      <c r="C12" s="177">
        <f>72.73+140.6+1876.34</f>
        <v>2089.67</v>
      </c>
    </row>
    <row r="13" spans="1:3" x14ac:dyDescent="0.2">
      <c r="A13" t="str">
        <f>IF(B9=B13,IF(C9=C13,"Check Total OK","Check Total Error"),"Check Total Error")</f>
        <v>Check Total OK</v>
      </c>
      <c r="B13" s="169">
        <f>SUM(B10:B12)</f>
        <v>861861.73</v>
      </c>
      <c r="C13" s="169">
        <f>SUM(C10:C12)</f>
        <v>425491.45999999996</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358180.38999999996</v>
      </c>
      <c r="C18" s="167">
        <f>'DOE25'!G199+'DOE25'!G217+'DOE25'!G235+'DOE25'!G278+'DOE25'!G297+'DOE25'!G316</f>
        <v>99072.56</v>
      </c>
    </row>
    <row r="19" spans="1:3" x14ac:dyDescent="0.2">
      <c r="A19" t="s">
        <v>775</v>
      </c>
      <c r="B19" s="177">
        <f>119195.76+1417.62+1417.62</f>
        <v>122030.99999999999</v>
      </c>
      <c r="C19" s="177">
        <f>11267.34+248.33+248.33+526.34+14.36+14.36+475.12+5+5+230.91+2.78+2.78+9166.24+106.75+106.75+25055.24+297.99+297.99</f>
        <v>48071.61</v>
      </c>
    </row>
    <row r="20" spans="1:3" x14ac:dyDescent="0.2">
      <c r="A20" t="s">
        <v>776</v>
      </c>
      <c r="B20" s="177">
        <f>28047.6+190497.1+1960</f>
        <v>220504.7</v>
      </c>
      <c r="C20" s="177">
        <f>64.53+447.32+2145.77+14346.78+305.62+148.38+3943.58+24827.96+839.75+411.6</f>
        <v>47481.29</v>
      </c>
    </row>
    <row r="21" spans="1:3" x14ac:dyDescent="0.2">
      <c r="A21" t="s">
        <v>777</v>
      </c>
      <c r="B21" s="177">
        <v>15644.69</v>
      </c>
      <c r="C21" s="177">
        <v>3519.66</v>
      </c>
    </row>
    <row r="22" spans="1:3" x14ac:dyDescent="0.2">
      <c r="A22" t="str">
        <f>IF(B18=B22,IF(C18=C22,"Check Total OK","Check Total Error"),"Check Total Error")</f>
        <v>Check Total OK</v>
      </c>
      <c r="B22" s="169">
        <f>SUM(B19:B21)</f>
        <v>358180.39</v>
      </c>
      <c r="C22" s="169">
        <f>SUM(C19:C21)</f>
        <v>99072.56</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v>0</v>
      </c>
      <c r="C28" s="177">
        <v>0</v>
      </c>
    </row>
    <row r="29" spans="1:3" x14ac:dyDescent="0.2">
      <c r="A29" t="s">
        <v>776</v>
      </c>
      <c r="B29" s="177">
        <v>0</v>
      </c>
      <c r="C29" s="177">
        <v>0</v>
      </c>
    </row>
    <row r="30" spans="1:3" x14ac:dyDescent="0.2">
      <c r="A30" t="s">
        <v>777</v>
      </c>
      <c r="B30" s="177">
        <v>0</v>
      </c>
      <c r="C30" s="177">
        <v>0</v>
      </c>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3420</v>
      </c>
      <c r="C36" s="173">
        <f>'DOE25'!G201+'DOE25'!G219+'DOE25'!G237+'DOE25'!G280+'DOE25'!G299+'DOE25'!G318</f>
        <v>956.8</v>
      </c>
    </row>
    <row r="37" spans="1:3" x14ac:dyDescent="0.2">
      <c r="A37" t="s">
        <v>775</v>
      </c>
      <c r="B37" s="177">
        <v>0</v>
      </c>
      <c r="C37" s="177">
        <v>0</v>
      </c>
    </row>
    <row r="38" spans="1:3" x14ac:dyDescent="0.2">
      <c r="A38" t="s">
        <v>776</v>
      </c>
      <c r="B38" s="177">
        <v>0</v>
      </c>
      <c r="C38" s="177">
        <v>0</v>
      </c>
    </row>
    <row r="39" spans="1:3" x14ac:dyDescent="0.2">
      <c r="A39" t="s">
        <v>777</v>
      </c>
      <c r="B39" s="177">
        <v>3420</v>
      </c>
      <c r="C39" s="177">
        <v>956.8</v>
      </c>
    </row>
    <row r="40" spans="1:3" x14ac:dyDescent="0.2">
      <c r="A40" t="str">
        <f>IF(B36=B40,IF(C36=C40,"Check Total OK","Check Total Error"),"Check Total Error")</f>
        <v>Check Total OK</v>
      </c>
      <c r="B40" s="169">
        <f>SUM(B37:B39)</f>
        <v>3420</v>
      </c>
      <c r="C40" s="169">
        <f>SUM(C37:C39)</f>
        <v>956.8</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Rollinsford</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3936889.89</v>
      </c>
      <c r="D5" s="19">
        <f>SUM('DOE25'!L198:L201)+SUM('DOE25'!L216:L219)+SUM('DOE25'!L234:L237)-F5-G5-H5</f>
        <v>3899016.6100000003</v>
      </c>
      <c r="E5" s="180"/>
      <c r="F5" s="181">
        <v>0</v>
      </c>
      <c r="G5" s="19">
        <f>SUM('DOE25'!J198:J201)+SUM('DOE25'!J216:J219)+SUM('DOE25'!J234:J237)</f>
        <v>37873.279999999999</v>
      </c>
      <c r="H5" s="19">
        <f>SUM('DOE25'!K198:K201)+SUM('DOE25'!K216:K219)+SUM('DOE25'!K234:K237)</f>
        <v>0</v>
      </c>
      <c r="I5" s="192"/>
    </row>
    <row r="6" spans="1:9" x14ac:dyDescent="0.2">
      <c r="A6" s="31">
        <v>2100</v>
      </c>
      <c r="B6" t="s">
        <v>796</v>
      </c>
      <c r="C6" s="206">
        <f t="shared" si="0"/>
        <v>371105.24</v>
      </c>
      <c r="D6" s="19">
        <f>'DOE25'!L203+'DOE25'!L221+'DOE25'!L239-F6-G6-H6</f>
        <v>356739.3</v>
      </c>
      <c r="E6" s="180"/>
      <c r="F6" s="181">
        <v>13565.94</v>
      </c>
      <c r="G6" s="19">
        <f>'DOE25'!J203+'DOE25'!J221+'DOE25'!J239</f>
        <v>800</v>
      </c>
      <c r="H6" s="19">
        <f>'DOE25'!K203+'DOE25'!K221+'DOE25'!K239</f>
        <v>0</v>
      </c>
      <c r="I6" s="192"/>
    </row>
    <row r="7" spans="1:9" x14ac:dyDescent="0.2">
      <c r="A7" s="31">
        <v>2200</v>
      </c>
      <c r="B7" t="s">
        <v>820</v>
      </c>
      <c r="C7" s="206">
        <f t="shared" si="0"/>
        <v>72372.66</v>
      </c>
      <c r="D7" s="19">
        <f>'DOE25'!L204+'DOE25'!L222+'DOE25'!L240-F7-G7-H7</f>
        <v>69648.83</v>
      </c>
      <c r="E7" s="180"/>
      <c r="F7" s="181">
        <v>0</v>
      </c>
      <c r="G7" s="19">
        <f>'DOE25'!J204+'DOE25'!J222+'DOE25'!J240</f>
        <v>1799.48</v>
      </c>
      <c r="H7" s="19">
        <f>'DOE25'!K204+'DOE25'!K222+'DOE25'!K240</f>
        <v>924.35</v>
      </c>
      <c r="I7" s="192"/>
    </row>
    <row r="8" spans="1:9" x14ac:dyDescent="0.2">
      <c r="A8" s="31">
        <v>2300</v>
      </c>
      <c r="B8" t="s">
        <v>797</v>
      </c>
      <c r="C8" s="206">
        <f t="shared" si="0"/>
        <v>219965.61</v>
      </c>
      <c r="D8" s="180"/>
      <c r="E8" s="19">
        <f>'DOE25'!L205+'DOE25'!L223+'DOE25'!L241-F8-G8-H8-D9-D11</f>
        <v>216706.31</v>
      </c>
      <c r="F8" s="181">
        <v>0</v>
      </c>
      <c r="G8" s="19">
        <f>'DOE25'!J205+'DOE25'!J223+'DOE25'!J241</f>
        <v>0</v>
      </c>
      <c r="H8" s="19">
        <f>'DOE25'!K205+'DOE25'!K223+'DOE25'!K241</f>
        <v>3259.3</v>
      </c>
      <c r="I8" s="192"/>
    </row>
    <row r="9" spans="1:9" ht="14.25" x14ac:dyDescent="0.2">
      <c r="A9" s="31">
        <v>2310</v>
      </c>
      <c r="B9" s="71" t="s">
        <v>887</v>
      </c>
      <c r="C9" s="206">
        <f t="shared" si="0"/>
        <v>14846.41</v>
      </c>
      <c r="D9" s="181">
        <f>3259.3+9952.45+1454.66+180</f>
        <v>14846.41</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243551.08000000002</v>
      </c>
      <c r="D12" s="19">
        <f>'DOE25'!L206+'DOE25'!L224+'DOE25'!L242-F12-G12-H12</f>
        <v>239986.91</v>
      </c>
      <c r="E12" s="180"/>
      <c r="F12" s="181">
        <v>0</v>
      </c>
      <c r="G12" s="19">
        <f>'DOE25'!J206+'DOE25'!J224+'DOE25'!J242</f>
        <v>0</v>
      </c>
      <c r="H12" s="19">
        <f>'DOE25'!K206+'DOE25'!K224+'DOE25'!K242</f>
        <v>3564.17</v>
      </c>
      <c r="I12" s="192"/>
    </row>
    <row r="13" spans="1:9" x14ac:dyDescent="0.2">
      <c r="A13" s="31">
        <v>2500</v>
      </c>
      <c r="B13" t="s">
        <v>798</v>
      </c>
      <c r="C13" s="206">
        <f t="shared" si="0"/>
        <v>0</v>
      </c>
      <c r="D13" s="180"/>
      <c r="E13" s="19">
        <f>'DOE25'!L207+'DOE25'!L225+'DOE25'!L243-F13-G13-H13</f>
        <v>0</v>
      </c>
      <c r="F13" s="181">
        <v>0</v>
      </c>
      <c r="G13" s="19">
        <f>'DOE25'!J207+'DOE25'!J225+'DOE25'!J243</f>
        <v>0</v>
      </c>
      <c r="H13" s="19">
        <f>'DOE25'!K207+'DOE25'!K225+'DOE25'!K243</f>
        <v>0</v>
      </c>
      <c r="I13" s="192"/>
    </row>
    <row r="14" spans="1:9" x14ac:dyDescent="0.2">
      <c r="A14" s="31">
        <v>2600</v>
      </c>
      <c r="B14" t="s">
        <v>818</v>
      </c>
      <c r="C14" s="206">
        <f t="shared" si="0"/>
        <v>704275.03</v>
      </c>
      <c r="D14" s="19">
        <f>'DOE25'!L208+'DOE25'!L226+'DOE25'!L244-F14-G14-H14</f>
        <v>688942.25</v>
      </c>
      <c r="E14" s="180"/>
      <c r="F14" s="181">
        <v>12435</v>
      </c>
      <c r="G14" s="19">
        <f>'DOE25'!J208+'DOE25'!J226+'DOE25'!J244</f>
        <v>2897.78</v>
      </c>
      <c r="H14" s="19">
        <f>'DOE25'!K208+'DOE25'!K226+'DOE25'!K244</f>
        <v>0</v>
      </c>
      <c r="I14" s="192"/>
    </row>
    <row r="15" spans="1:9" x14ac:dyDescent="0.2">
      <c r="A15" s="31">
        <v>2700</v>
      </c>
      <c r="B15" t="s">
        <v>799</v>
      </c>
      <c r="C15" s="206">
        <f t="shared" si="0"/>
        <v>363534.5</v>
      </c>
      <c r="D15" s="19">
        <f>'DOE25'!L209+'DOE25'!L227+'DOE25'!L245-F15-G15-H15</f>
        <v>75186.520000000019</v>
      </c>
      <c r="E15" s="180"/>
      <c r="F15" s="181">
        <f>204423.8+83924.18</f>
        <v>288347.98</v>
      </c>
      <c r="G15" s="19">
        <f>'DOE25'!J209+'DOE25'!J227+'DOE25'!J245</f>
        <v>0</v>
      </c>
      <c r="H15" s="19">
        <f>'DOE25'!K209+'DOE25'!K227+'DOE25'!K245</f>
        <v>0</v>
      </c>
      <c r="I15" s="192"/>
    </row>
    <row r="16" spans="1:9" x14ac:dyDescent="0.2">
      <c r="A16" s="31">
        <v>2800</v>
      </c>
      <c r="B16" t="s">
        <v>800</v>
      </c>
      <c r="C16" s="206">
        <f t="shared" si="0"/>
        <v>24212.1</v>
      </c>
      <c r="D16" s="180"/>
      <c r="E16" s="19">
        <f>'DOE25'!L210+'DOE25'!L228+'DOE25'!L246-F16-G16-H16</f>
        <v>0</v>
      </c>
      <c r="F16" s="181">
        <v>0</v>
      </c>
      <c r="G16" s="19">
        <f>'DOE25'!J210+'DOE25'!J228+'DOE25'!J246</f>
        <v>20069</v>
      </c>
      <c r="H16" s="19">
        <f>'DOE25'!K210+'DOE25'!K228+'DOE25'!K246</f>
        <v>4143.1000000000004</v>
      </c>
      <c r="I16" s="192"/>
    </row>
    <row r="17" spans="1:9" x14ac:dyDescent="0.2">
      <c r="A17" s="31">
        <v>1600</v>
      </c>
      <c r="B17" t="s">
        <v>801</v>
      </c>
      <c r="C17" s="206">
        <f t="shared" si="0"/>
        <v>0</v>
      </c>
      <c r="D17" s="19">
        <f>'DOE25'!L252-F17-G17-H17</f>
        <v>0</v>
      </c>
      <c r="E17" s="180"/>
      <c r="F17" s="181">
        <v>0</v>
      </c>
      <c r="G17" s="19">
        <f>'DOE25'!J252</f>
        <v>0</v>
      </c>
      <c r="H17" s="19">
        <f>'DOE25'!K252</f>
        <v>0</v>
      </c>
      <c r="I17" s="192"/>
    </row>
    <row r="18" spans="1:9" x14ac:dyDescent="0.2">
      <c r="A18" s="31">
        <v>1700</v>
      </c>
      <c r="B18" t="s">
        <v>802</v>
      </c>
      <c r="C18" s="206">
        <f t="shared" si="0"/>
        <v>0</v>
      </c>
      <c r="D18" s="19">
        <f>'DOE25'!L253-F18-G18-H18</f>
        <v>0</v>
      </c>
      <c r="E18" s="180"/>
      <c r="F18" s="181">
        <v>0</v>
      </c>
      <c r="G18" s="19">
        <f>'DOE25'!J253</f>
        <v>0</v>
      </c>
      <c r="H18" s="19">
        <f>'DOE25'!K253</f>
        <v>0</v>
      </c>
      <c r="I18" s="192"/>
    </row>
    <row r="19" spans="1:9" x14ac:dyDescent="0.2">
      <c r="A19" s="31">
        <v>1800</v>
      </c>
      <c r="B19" t="s">
        <v>803</v>
      </c>
      <c r="C19" s="206">
        <f t="shared" si="0"/>
        <v>0</v>
      </c>
      <c r="D19" s="19">
        <f>'DOE25'!L254-F19-G19-H19</f>
        <v>0</v>
      </c>
      <c r="E19" s="180"/>
      <c r="F19" s="181">
        <v>0</v>
      </c>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39701.03</v>
      </c>
      <c r="D29" s="212">
        <f>'DOE25'!L359+'DOE25'!L360+'DOE25'!L361-'DOE25'!I368-F29-G29-H29-F39</f>
        <v>39701.03</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119402.90000000001</v>
      </c>
      <c r="D31" s="19">
        <f>'DOE25'!L291+'DOE25'!L310+'DOE25'!L329+'DOE25'!L334+'DOE25'!L335+'DOE25'!L336-F31-G31-H31</f>
        <v>118779.29000000001</v>
      </c>
      <c r="E31" s="180"/>
      <c r="F31" s="181">
        <v>0</v>
      </c>
      <c r="G31" s="19">
        <f>'DOE25'!J291+'DOE25'!J310+'DOE25'!J329+'DOE25'!J334+'DOE25'!J335+'DOE25'!J336</f>
        <v>0</v>
      </c>
      <c r="H31" s="19">
        <f>'DOE25'!K291+'DOE25'!K310+'DOE25'!K329+'DOE25'!K334+'DOE25'!K335+'DOE25'!K336</f>
        <v>623.61</v>
      </c>
      <c r="I31" s="192"/>
    </row>
    <row r="32" spans="1:9" ht="12" thickBot="1" x14ac:dyDescent="0.25">
      <c r="C32" s="207"/>
      <c r="G32" s="188"/>
      <c r="H32" s="188"/>
      <c r="I32" s="194"/>
    </row>
    <row r="33" spans="1:9" ht="12" thickTop="1" x14ac:dyDescent="0.2">
      <c r="B33" t="s">
        <v>809</v>
      </c>
      <c r="D33" s="182">
        <f t="shared" ref="D33:I33" si="1">SUM(D5:D31)</f>
        <v>5502847.1500000004</v>
      </c>
      <c r="E33" s="182">
        <f t="shared" si="1"/>
        <v>216706.31</v>
      </c>
      <c r="F33" s="182">
        <f t="shared" si="1"/>
        <v>314348.92</v>
      </c>
      <c r="G33" s="182">
        <f t="shared" si="1"/>
        <v>63439.54</v>
      </c>
      <c r="H33" s="182">
        <f t="shared" si="1"/>
        <v>12514.530000000002</v>
      </c>
      <c r="I33" s="182">
        <f t="shared" si="1"/>
        <v>0</v>
      </c>
    </row>
    <row r="34" spans="1:9" ht="12" thickBot="1" x14ac:dyDescent="0.25"/>
    <row r="35" spans="1:9" ht="12" thickBot="1" x14ac:dyDescent="0.25">
      <c r="B35" s="188" t="s">
        <v>830</v>
      </c>
      <c r="D35" s="189">
        <f>E33</f>
        <v>216706.31</v>
      </c>
      <c r="E35" s="185"/>
      <c r="F35" s="295" t="s">
        <v>1608</v>
      </c>
      <c r="G35" s="296"/>
      <c r="H35" s="296"/>
      <c r="I35" s="297"/>
    </row>
    <row r="36" spans="1:9" ht="12" thickTop="1" x14ac:dyDescent="0.2">
      <c r="B36" t="s">
        <v>810</v>
      </c>
      <c r="D36" s="19">
        <f>D33</f>
        <v>5502847.1500000004</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23951</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B4" zoomScale="80" zoomScaleNormal="80" workbookViewId="0">
      <selection activeCell="P7" sqref="P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Rollinsford</v>
      </c>
      <c r="B2">
        <f>'DOE25'!B2</f>
        <v>463</v>
      </c>
      <c r="J2" s="224" t="s">
        <v>1808</v>
      </c>
      <c r="K2" s="309">
        <f>SUM('DOE25'!L198:L201)+SUM('DOE25'!L216:L219)+SUM('DOE25'!L234:L237)+SUM('DOE25'!L277:L280)+SUM('DOE25'!L296:L299)+SUM('DOE25'!L315:L318)</f>
        <v>4024974.1100000003</v>
      </c>
      <c r="L2" s="309">
        <f>'DOE25'!L203+'DOE25'!L221+'DOE25'!L239+'DOE25'!L282+'DOE25'!L301+'DOE25'!L320</f>
        <v>375117.74</v>
      </c>
      <c r="M2" s="309">
        <f>'DOE25'!L204+'DOE25'!L222+'DOE25'!L240+'DOE25'!L283+'DOE25'!L302+'DOE25'!L321</f>
        <v>99055.23000000001</v>
      </c>
      <c r="N2" s="309">
        <f>'DOE25'!L206+'DOE25'!L224+'DOE25'!L242+'DOE25'!L285+'DOE25'!L304+'DOE25'!L323</f>
        <v>243551.08000000002</v>
      </c>
      <c r="O2" s="309">
        <f>'Salaries-Benefits'!B10+'Salaries-Benefits'!B12+'Salaries-Benefits'!B19+'Salaries-Benefits'!B21+'Salaries-Benefits'!B28+'Salaries-Benefits'!B30+'Salaries-Benefits'!B37+'Salaries-Benefits'!B39</f>
        <v>936136.08</v>
      </c>
      <c r="P2" s="309">
        <f>'Salaries-Benefits'!B11+'Salaries-Benefits'!B20+'Salaries-Benefits'!B29+'Salaries-Benefits'!B38</f>
        <v>287326.04000000004</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3864186.12</v>
      </c>
      <c r="G4" s="229">
        <f>'DOE25'!L212+'DOE25'!L291</f>
        <v>3864186.1200000006</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0</v>
      </c>
      <c r="E5" s="220">
        <v>0</v>
      </c>
      <c r="F5" s="232">
        <f>D5+E5</f>
        <v>0</v>
      </c>
      <c r="G5" s="223"/>
      <c r="H5" s="223"/>
      <c r="J5" s="223"/>
      <c r="K5" s="223"/>
      <c r="L5" s="223"/>
      <c r="M5" s="223"/>
      <c r="N5" s="223"/>
      <c r="O5" s="223"/>
      <c r="P5" s="223"/>
      <c r="Q5" s="223"/>
    </row>
    <row r="6" spans="1:21" x14ac:dyDescent="0.2">
      <c r="A6" t="str" cm="1">
        <f t="array" ref="A6">IFERROR(INDEX('School Tables'!$A$4:$G$325,'School Tables'!$J4,3),"")</f>
        <v>Rollinsford Grade School</v>
      </c>
      <c r="B6" s="230">
        <f>IFERROR(VLOOKUP(A6,'School Tables'!$C$3:$D$365,2,FALSE),"")</f>
        <v>22810</v>
      </c>
      <c r="C6" s="223" t="str">
        <f>IFERROR(INDEX('School Tables'!$B$3:$B$365,MATCH('School Level Expenditures'!B6,'School Tables'!$D$3:$D$365,0)),"")</f>
        <v>Rollinsford</v>
      </c>
      <c r="D6" s="220">
        <f>3777783.22+42000-75000</f>
        <v>3744783.22</v>
      </c>
      <c r="E6" s="220">
        <v>119402.9</v>
      </c>
      <c r="F6" s="232">
        <f t="shared" ref="F6:F20" si="1">D6+E6</f>
        <v>3864186.12</v>
      </c>
      <c r="G6" s="223"/>
      <c r="H6" s="223"/>
      <c r="J6" t="str">
        <f>A6</f>
        <v>Rollinsford Grade School</v>
      </c>
      <c r="K6" s="20">
        <f>1330334.37+563712.2+4376.8+6800.2+50191.41+2726.36+6994.35+642.44+20729.46+48982.47</f>
        <v>2035490.06</v>
      </c>
      <c r="L6" s="20">
        <f>104521.4+109780.15+105051.48+40061.12+4012.5+82.37</f>
        <v>363509.01999999996</v>
      </c>
      <c r="M6" s="308">
        <f>2405.85+69966.81+270+9568.04+4225+12619.53</f>
        <v>99055.23000000001</v>
      </c>
      <c r="N6" s="20">
        <v>243551.08</v>
      </c>
      <c r="O6" s="20">
        <f>709204.51+16578.88+43732+119195.76+15644.69+1000+24525+3420</f>
        <v>933300.84</v>
      </c>
      <c r="P6" s="20">
        <f>49995.11+16826.23+28047.6+190497.1+1960</f>
        <v>287326.04000000004</v>
      </c>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3744783.22</v>
      </c>
      <c r="E21" s="262">
        <f>SUM(E5:E20)</f>
        <v>119402.9</v>
      </c>
      <c r="F21" s="217"/>
      <c r="G21" s="217"/>
      <c r="H21" s="217"/>
      <c r="K21" s="263">
        <f t="shared" ref="K21:Q21" si="3">SUM(K5:K20)</f>
        <v>2035490.06</v>
      </c>
      <c r="L21" s="263">
        <f t="shared" si="3"/>
        <v>363509.01999999996</v>
      </c>
      <c r="M21" s="263">
        <f t="shared" si="3"/>
        <v>99055.23000000001</v>
      </c>
      <c r="N21" s="263">
        <f t="shared" si="3"/>
        <v>243551.08</v>
      </c>
      <c r="O21" s="263">
        <f t="shared" si="3"/>
        <v>933300.84</v>
      </c>
      <c r="P21" s="263">
        <f t="shared" si="3"/>
        <v>287326.04000000004</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687833.96</v>
      </c>
      <c r="G24" s="229">
        <f>'DOE25'!L230+'DOE25'!L310</f>
        <v>687833.96</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f>683611.46+4222.5</f>
        <v>687833.96</v>
      </c>
      <c r="E25" s="220">
        <v>0</v>
      </c>
      <c r="F25" s="232">
        <f>D25+E25</f>
        <v>687833.96</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f>518712.21+118191.89</f>
        <v>636904.1</v>
      </c>
      <c r="L26" s="20">
        <v>5804.36</v>
      </c>
      <c r="M26" s="308">
        <v>0</v>
      </c>
      <c r="N26" s="20">
        <v>0</v>
      </c>
      <c r="O26" s="20">
        <v>1417.62</v>
      </c>
      <c r="P26" s="20">
        <v>0</v>
      </c>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687833.96</v>
      </c>
      <c r="E33" s="262">
        <f>SUM(E25:E32)</f>
        <v>0</v>
      </c>
      <c r="F33" s="217"/>
      <c r="G33" s="217"/>
      <c r="H33" s="217"/>
      <c r="K33" s="263">
        <f t="shared" ref="K33:Q33" si="6">SUM(K25:K32)</f>
        <v>636904.1</v>
      </c>
      <c r="L33" s="263">
        <f t="shared" si="6"/>
        <v>5804.36</v>
      </c>
      <c r="M33" s="263">
        <f t="shared" si="6"/>
        <v>0</v>
      </c>
      <c r="N33" s="263">
        <f t="shared" si="6"/>
        <v>0</v>
      </c>
      <c r="O33" s="263">
        <f t="shared" si="6"/>
        <v>1417.62</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1518135.34</v>
      </c>
      <c r="G36" s="229">
        <f>'DOE25'!L248+'DOE25'!L329</f>
        <v>1518135.3400000003</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1518135.34</v>
      </c>
      <c r="E37" s="220">
        <v>0</v>
      </c>
      <c r="F37" s="232">
        <f t="shared" ref="F37:F42" si="7">D37+E37</f>
        <v>1518135.34</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f>1095534.62+257045.33</f>
        <v>1352579.9500000002</v>
      </c>
      <c r="L38" s="20">
        <v>5804.36</v>
      </c>
      <c r="M38" s="308">
        <v>0</v>
      </c>
      <c r="N38" s="20">
        <v>0</v>
      </c>
      <c r="O38" s="20">
        <v>1417.62</v>
      </c>
      <c r="P38" s="20">
        <v>0</v>
      </c>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1518135.34</v>
      </c>
      <c r="E43" s="263">
        <f>SUM(E37:E42)</f>
        <v>0</v>
      </c>
      <c r="K43" s="263">
        <f t="shared" ref="K43:Q43" si="9">SUM(K37:K42)</f>
        <v>1352579.9500000002</v>
      </c>
      <c r="L43" s="263">
        <f t="shared" si="9"/>
        <v>5804.36</v>
      </c>
      <c r="M43" s="263">
        <f t="shared" si="9"/>
        <v>0</v>
      </c>
      <c r="N43" s="263">
        <f t="shared" si="9"/>
        <v>0</v>
      </c>
      <c r="O43" s="263">
        <f t="shared" si="9"/>
        <v>1417.62</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Rollinsford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639136.32999999996</v>
      </c>
      <c r="D8" s="73">
        <f>'DOE25'!G9</f>
        <v>0</v>
      </c>
      <c r="E8" s="73">
        <f>'DOE25'!H9</f>
        <v>0</v>
      </c>
      <c r="F8" s="73">
        <f>'DOE25'!I9</f>
        <v>0</v>
      </c>
      <c r="G8" s="73">
        <f>'DOE25'!J9</f>
        <v>0</v>
      </c>
      <c r="H8" s="13">
        <f>SUM(C8:G8)</f>
        <v>639136.32999999996</v>
      </c>
      <c r="I8" s="90"/>
    </row>
    <row r="9" spans="1:9" x14ac:dyDescent="0.2">
      <c r="A9" s="1" t="s">
        <v>140</v>
      </c>
      <c r="B9" s="6">
        <v>110</v>
      </c>
      <c r="C9" s="73">
        <f>'DOE25'!F10</f>
        <v>0</v>
      </c>
      <c r="D9" s="73">
        <f>'DOE25'!G10</f>
        <v>0</v>
      </c>
      <c r="E9" s="73">
        <f>'DOE25'!H10</f>
        <v>0</v>
      </c>
      <c r="F9" s="73">
        <f>'DOE25'!I10</f>
        <v>0</v>
      </c>
      <c r="G9" s="73">
        <f>'DOE25'!J10</f>
        <v>384886.43</v>
      </c>
      <c r="H9" s="13">
        <f t="shared" ref="H9:H18" si="0">SUM(C9:G9)</f>
        <v>384886.43</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1577527.0699999998</v>
      </c>
      <c r="D11" s="73">
        <f>'DOE25'!G12</f>
        <v>640124.71</v>
      </c>
      <c r="E11" s="73">
        <f>'DOE25'!H12</f>
        <v>943733.35</v>
      </c>
      <c r="F11" s="73">
        <f>'DOE25'!I12</f>
        <v>0</v>
      </c>
      <c r="G11" s="73">
        <f>'DOE25'!J12</f>
        <v>0</v>
      </c>
      <c r="H11" s="13">
        <f t="shared" si="0"/>
        <v>3161385.13</v>
      </c>
      <c r="I11" s="90"/>
    </row>
    <row r="12" spans="1:9" x14ac:dyDescent="0.2">
      <c r="A12" s="1" t="s">
        <v>143</v>
      </c>
      <c r="B12" s="6">
        <v>140</v>
      </c>
      <c r="C12" s="73">
        <f>'DOE25'!F13</f>
        <v>4023.35</v>
      </c>
      <c r="D12" s="73">
        <f>'DOE25'!G13</f>
        <v>8631.17</v>
      </c>
      <c r="E12" s="73">
        <f>'DOE25'!H13</f>
        <v>35124.199999999997</v>
      </c>
      <c r="F12" s="73">
        <f>'DOE25'!I13</f>
        <v>0</v>
      </c>
      <c r="G12" s="73">
        <f>'DOE25'!J13</f>
        <v>0</v>
      </c>
      <c r="H12" s="13">
        <f t="shared" si="0"/>
        <v>47778.720000000001</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2220686.75</v>
      </c>
      <c r="D18" s="38">
        <f>SUM(D8:D17)</f>
        <v>648755.88</v>
      </c>
      <c r="E18" s="38">
        <f>SUM(E8:E17)</f>
        <v>978857.54999999993</v>
      </c>
      <c r="F18" s="38">
        <f>SUM(F8:F17)</f>
        <v>0</v>
      </c>
      <c r="G18" s="38">
        <f>SUM(G8:G17)</f>
        <v>384886.43</v>
      </c>
      <c r="H18" s="38">
        <f t="shared" si="0"/>
        <v>4233186.6099999994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1583853</v>
      </c>
      <c r="D21" s="73">
        <f>'DOE25'!G22</f>
        <v>598762.25</v>
      </c>
      <c r="E21" s="73">
        <f>'DOE25'!H22</f>
        <v>978765.03</v>
      </c>
      <c r="F21" s="73">
        <f>'DOE25'!I22</f>
        <v>0</v>
      </c>
      <c r="G21" s="73">
        <f>'DOE25'!J22</f>
        <v>0</v>
      </c>
      <c r="H21" s="13">
        <f t="shared" ref="H21:H31" si="1">SUM(C21:G21)</f>
        <v>3161380.2800000003</v>
      </c>
      <c r="I21" s="90"/>
    </row>
    <row r="22" spans="1:9" x14ac:dyDescent="0.2">
      <c r="A22" s="1" t="s">
        <v>151</v>
      </c>
      <c r="B22" s="6">
        <v>410</v>
      </c>
      <c r="C22" s="73">
        <f>'DOE25'!F23</f>
        <v>175788.66</v>
      </c>
      <c r="D22" s="73">
        <f>'DOE25'!G23</f>
        <v>19187.349999999999</v>
      </c>
      <c r="E22" s="73">
        <f>'DOE25'!H23</f>
        <v>0</v>
      </c>
      <c r="F22" s="73">
        <f>'DOE25'!I23</f>
        <v>0</v>
      </c>
      <c r="G22" s="73">
        <f>'DOE25'!J23</f>
        <v>0</v>
      </c>
      <c r="H22" s="13">
        <f t="shared" si="1"/>
        <v>194976.01</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634.65</v>
      </c>
      <c r="D28" s="73">
        <f>'DOE25'!G29</f>
        <v>0</v>
      </c>
      <c r="E28" s="73">
        <f>'DOE25'!H29</f>
        <v>0</v>
      </c>
      <c r="F28" s="73">
        <f>'DOE25'!I29</f>
        <v>0</v>
      </c>
      <c r="G28" s="23" t="s">
        <v>288</v>
      </c>
      <c r="H28" s="13">
        <f t="shared" si="1"/>
        <v>634.65</v>
      </c>
      <c r="I28" s="90"/>
    </row>
    <row r="29" spans="1:9" x14ac:dyDescent="0.2">
      <c r="A29" s="1" t="s">
        <v>158</v>
      </c>
      <c r="B29" s="6">
        <v>480</v>
      </c>
      <c r="C29" s="73">
        <f>'DOE25'!F30</f>
        <v>0</v>
      </c>
      <c r="D29" s="73">
        <f>'DOE25'!G30</f>
        <v>1991.66</v>
      </c>
      <c r="E29" s="73">
        <f>'DOE25'!H30</f>
        <v>0</v>
      </c>
      <c r="F29" s="73">
        <f>'DOE25'!I30</f>
        <v>0</v>
      </c>
      <c r="G29" s="23" t="s">
        <v>288</v>
      </c>
      <c r="H29" s="13">
        <f t="shared" si="1"/>
        <v>1991.66</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1760276.3099999998</v>
      </c>
      <c r="D31" s="38">
        <f>SUM(D21:D30)</f>
        <v>619941.26</v>
      </c>
      <c r="E31" s="38">
        <f>SUM(E21:E30)</f>
        <v>978765.03</v>
      </c>
      <c r="F31" s="38">
        <f>SUM(F21:F30)</f>
        <v>0</v>
      </c>
      <c r="G31" s="38">
        <f>SUM(G21:G30)</f>
        <v>0</v>
      </c>
      <c r="H31" s="38">
        <f t="shared" si="1"/>
        <v>3358982.5999999996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75000</v>
      </c>
      <c r="D43" s="73">
        <f>'DOE25'!G44</f>
        <v>0</v>
      </c>
      <c r="E43" s="73">
        <f>'DOE25'!H44</f>
        <v>0</v>
      </c>
      <c r="F43" s="73">
        <f>'DOE25'!I44</f>
        <v>0</v>
      </c>
      <c r="G43" s="23" t="s">
        <v>288</v>
      </c>
      <c r="H43" s="13">
        <f t="shared" si="2"/>
        <v>75000</v>
      </c>
      <c r="I43" s="90"/>
    </row>
    <row r="44" spans="1:9" x14ac:dyDescent="0.2">
      <c r="A44" s="1" t="s">
        <v>863</v>
      </c>
      <c r="B44" s="6">
        <v>753</v>
      </c>
      <c r="C44" s="73">
        <f>'DOE25'!F45</f>
        <v>0</v>
      </c>
      <c r="D44" s="73">
        <f>'DOE25'!G45</f>
        <v>0</v>
      </c>
      <c r="E44" s="73">
        <f>'DOE25'!H45</f>
        <v>92.52</v>
      </c>
      <c r="F44" s="73">
        <f>'DOE25'!I45</f>
        <v>0</v>
      </c>
      <c r="G44" s="73">
        <f>'DOE25'!J45</f>
        <v>0</v>
      </c>
      <c r="H44" s="13">
        <f t="shared" si="2"/>
        <v>92.52</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28814.62</v>
      </c>
      <c r="E47" s="73">
        <f>'DOE25'!H48</f>
        <v>0</v>
      </c>
      <c r="F47" s="73">
        <f>'DOE25'!I48</f>
        <v>0</v>
      </c>
      <c r="G47" s="73">
        <f>'DOE25'!J48</f>
        <v>384886.43</v>
      </c>
      <c r="H47" s="13">
        <f t="shared" si="2"/>
        <v>413701.05</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385410.44</v>
      </c>
      <c r="D49" s="23" t="s">
        <v>288</v>
      </c>
      <c r="E49" s="23" t="s">
        <v>288</v>
      </c>
      <c r="F49" s="23" t="s">
        <v>288</v>
      </c>
      <c r="G49" s="23" t="s">
        <v>288</v>
      </c>
      <c r="H49" s="13">
        <f t="shared" si="2"/>
        <v>385410.44</v>
      </c>
      <c r="I49" s="90"/>
    </row>
    <row r="50" spans="1:9" ht="12.75" thickTop="1" thickBot="1" x14ac:dyDescent="0.25">
      <c r="A50" s="35" t="s">
        <v>883</v>
      </c>
      <c r="B50" s="44"/>
      <c r="C50" s="38">
        <f>SUM(C34:C49)</f>
        <v>460410.44</v>
      </c>
      <c r="D50" s="38">
        <f>SUM(D34:D49)</f>
        <v>28814.62</v>
      </c>
      <c r="E50" s="38">
        <f>SUM(E34:E49)</f>
        <v>92.52</v>
      </c>
      <c r="F50" s="38">
        <f>SUM(F34:F49)</f>
        <v>0</v>
      </c>
      <c r="G50" s="38">
        <f>SUM(G34:G49)</f>
        <v>384886.43</v>
      </c>
      <c r="H50" s="38">
        <f t="shared" si="2"/>
        <v>874204.01</v>
      </c>
      <c r="I50" s="90"/>
    </row>
    <row r="51" spans="1:9" ht="12" thickTop="1" x14ac:dyDescent="0.2">
      <c r="A51" s="35" t="s">
        <v>884</v>
      </c>
      <c r="B51" s="2"/>
      <c r="C51" s="38">
        <f>C50+C31</f>
        <v>2220686.75</v>
      </c>
      <c r="D51" s="38">
        <f>D50+D31</f>
        <v>648755.88</v>
      </c>
      <c r="E51" s="38">
        <f>E50+E31</f>
        <v>978857.55</v>
      </c>
      <c r="F51" s="38">
        <f>F50+F31</f>
        <v>0</v>
      </c>
      <c r="G51" s="38">
        <f>G50+G31</f>
        <v>384886.43</v>
      </c>
      <c r="H51" s="38">
        <f t="shared" si="2"/>
        <v>4233186.6099999994</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4446413</v>
      </c>
      <c r="D56" s="73">
        <f>'DOE25'!G60</f>
        <v>0</v>
      </c>
      <c r="E56" s="73">
        <f>'DOE25'!H60</f>
        <v>0</v>
      </c>
      <c r="F56" s="73">
        <f>'DOE25'!I60</f>
        <v>0</v>
      </c>
      <c r="G56" s="73">
        <f>'DOE25'!J60</f>
        <v>0</v>
      </c>
      <c r="H56" s="13">
        <f t="shared" ref="H56:H63" si="3">SUM(C56:G56)</f>
        <v>4446413</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122.31</v>
      </c>
      <c r="D59" s="73">
        <f>'DOE25'!G96</f>
        <v>0</v>
      </c>
      <c r="E59" s="73">
        <f>'DOE25'!H96</f>
        <v>0</v>
      </c>
      <c r="F59" s="73">
        <f>'DOE25'!I96</f>
        <v>0</v>
      </c>
      <c r="G59" s="73">
        <f>'DOE25'!J96</f>
        <v>495.85</v>
      </c>
      <c r="H59" s="13">
        <f t="shared" si="3"/>
        <v>618.16000000000008</v>
      </c>
      <c r="I59"/>
    </row>
    <row r="60" spans="1:9" x14ac:dyDescent="0.2">
      <c r="A60" s="1" t="s">
        <v>170</v>
      </c>
      <c r="B60" s="22" t="s">
        <v>171</v>
      </c>
      <c r="C60" s="23" t="s">
        <v>288</v>
      </c>
      <c r="D60" s="73">
        <f>'DOE25'!G97</f>
        <v>31667.85</v>
      </c>
      <c r="E60" s="23" t="s">
        <v>288</v>
      </c>
      <c r="F60" s="23" t="s">
        <v>288</v>
      </c>
      <c r="G60" s="23" t="s">
        <v>288</v>
      </c>
      <c r="H60" s="13">
        <f t="shared" si="3"/>
        <v>31667.85</v>
      </c>
      <c r="I60"/>
    </row>
    <row r="61" spans="1:9" ht="12" thickBot="1" x14ac:dyDescent="0.25">
      <c r="A61" s="1" t="s">
        <v>172</v>
      </c>
      <c r="B61" s="22" t="s">
        <v>173</v>
      </c>
      <c r="C61" s="73">
        <f>SUM('DOE25'!F98:F110)</f>
        <v>2257</v>
      </c>
      <c r="D61" s="73">
        <f>SUM('DOE25'!G98:G110)</f>
        <v>0</v>
      </c>
      <c r="E61" s="73">
        <f>SUM('DOE25'!H98:H110)</f>
        <v>34.78</v>
      </c>
      <c r="F61" s="73">
        <f>SUM('DOE25'!I98:I110)</f>
        <v>0</v>
      </c>
      <c r="G61" s="73">
        <f>SUM('DOE25'!J98:J110)</f>
        <v>0</v>
      </c>
      <c r="H61" s="13">
        <f t="shared" si="3"/>
        <v>2291.7800000000002</v>
      </c>
      <c r="I61"/>
    </row>
    <row r="62" spans="1:9" ht="12.75" thickTop="1" thickBot="1" x14ac:dyDescent="0.25">
      <c r="A62" s="28" t="s">
        <v>174</v>
      </c>
      <c r="B62" s="6"/>
      <c r="C62" s="93">
        <f>SUM(C57:C61)</f>
        <v>2379.31</v>
      </c>
      <c r="D62" s="93">
        <f>SUM(D57:D61)</f>
        <v>31667.85</v>
      </c>
      <c r="E62" s="93">
        <f>SUM(E57:E61)</f>
        <v>34.78</v>
      </c>
      <c r="F62" s="93">
        <f>SUM(F57:F61)</f>
        <v>0</v>
      </c>
      <c r="G62" s="93">
        <f>SUM(G57:G61)</f>
        <v>495.85</v>
      </c>
      <c r="H62" s="13">
        <f t="shared" si="3"/>
        <v>34577.789999999994</v>
      </c>
      <c r="I62"/>
    </row>
    <row r="63" spans="1:9" ht="12" thickTop="1" x14ac:dyDescent="0.2">
      <c r="A63" s="28" t="s">
        <v>175</v>
      </c>
      <c r="B63" s="6"/>
      <c r="C63" s="21">
        <f>C56+C62</f>
        <v>4448792.3099999996</v>
      </c>
      <c r="D63" s="21">
        <f>D56+D62</f>
        <v>31667.85</v>
      </c>
      <c r="E63" s="21">
        <f>E56+E62</f>
        <v>34.78</v>
      </c>
      <c r="F63" s="21">
        <f>F56+F62</f>
        <v>0</v>
      </c>
      <c r="G63" s="21">
        <f>G56+G62</f>
        <v>495.85</v>
      </c>
      <c r="H63" s="13">
        <f t="shared" si="3"/>
        <v>4480990.7899999991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805491.22</v>
      </c>
      <c r="D66" s="23" t="s">
        <v>288</v>
      </c>
      <c r="E66" s="23" t="s">
        <v>288</v>
      </c>
      <c r="F66" s="23" t="s">
        <v>288</v>
      </c>
      <c r="G66" s="23" t="s">
        <v>288</v>
      </c>
      <c r="H66" s="13">
        <f t="shared" ref="H66:H81" si="4">SUM(C66:G66)</f>
        <v>805491.22</v>
      </c>
      <c r="I66"/>
    </row>
    <row r="67" spans="1:9" x14ac:dyDescent="0.2">
      <c r="A67" s="1" t="s">
        <v>770</v>
      </c>
      <c r="B67" s="6">
        <v>3112</v>
      </c>
      <c r="C67" s="73">
        <f>'DOE25'!F118</f>
        <v>419847</v>
      </c>
      <c r="D67" s="23"/>
      <c r="E67" s="23"/>
      <c r="F67" s="23"/>
      <c r="G67" s="23"/>
      <c r="H67" s="13">
        <f t="shared" si="4"/>
        <v>419847</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17979.560000000001</v>
      </c>
      <c r="D69" s="73">
        <f>'DOE25'!G120</f>
        <v>14503.38</v>
      </c>
      <c r="E69" s="73">
        <f>'DOE25'!H120</f>
        <v>0</v>
      </c>
      <c r="F69" s="73">
        <f>'DOE25'!I120</f>
        <v>0</v>
      </c>
      <c r="G69" s="73">
        <f>'DOE25'!J120</f>
        <v>0</v>
      </c>
      <c r="H69" s="13">
        <f t="shared" si="4"/>
        <v>32482.940000000002</v>
      </c>
      <c r="I69"/>
    </row>
    <row r="70" spans="1:9" ht="12" thickTop="1" x14ac:dyDescent="0.2">
      <c r="A70" s="28" t="s">
        <v>252</v>
      </c>
      <c r="B70" s="2"/>
      <c r="C70" s="97">
        <f>SUM(C66:C69)</f>
        <v>1243317.78</v>
      </c>
      <c r="D70" s="97">
        <f>D69</f>
        <v>14503.38</v>
      </c>
      <c r="E70" s="97">
        <f>E69</f>
        <v>0</v>
      </c>
      <c r="F70" s="97">
        <f>F69</f>
        <v>0</v>
      </c>
      <c r="G70" s="97">
        <f>G69</f>
        <v>0</v>
      </c>
      <c r="H70" s="13">
        <f t="shared" si="4"/>
        <v>1257821.1599999999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634.86</v>
      </c>
      <c r="E77" s="73">
        <f>SUM('DOE25'!H131:H135)</f>
        <v>0</v>
      </c>
      <c r="F77" s="73">
        <f>SUM('DOE25'!I131:I135)</f>
        <v>0</v>
      </c>
      <c r="G77" s="73">
        <f>SUM('DOE25'!J131:J135)</f>
        <v>0</v>
      </c>
      <c r="H77" s="13">
        <f t="shared" si="4"/>
        <v>634.86</v>
      </c>
      <c r="I77"/>
    </row>
    <row r="78" spans="1:9" ht="12.75" thickTop="1" thickBot="1" x14ac:dyDescent="0.25">
      <c r="A78" s="28" t="s">
        <v>259</v>
      </c>
      <c r="B78" s="6"/>
      <c r="C78" s="93">
        <f>SUM(C72:C77)</f>
        <v>0</v>
      </c>
      <c r="D78" s="93">
        <f>SUM(D72:D77)</f>
        <v>634.86</v>
      </c>
      <c r="E78" s="93">
        <f>SUM(E72:E77)</f>
        <v>0</v>
      </c>
      <c r="F78" s="93">
        <f>SUM(F72:F77)</f>
        <v>0</v>
      </c>
      <c r="G78" s="93">
        <f>SUM(G72:G77)</f>
        <v>0</v>
      </c>
      <c r="H78" s="13">
        <f t="shared" si="4"/>
        <v>634.86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1243317.78</v>
      </c>
      <c r="D81" s="93">
        <f>SUM(D79:D80)+D78+D70</f>
        <v>15138.24</v>
      </c>
      <c r="E81" s="93">
        <f>SUM(E79:E80)+E78+E70</f>
        <v>0</v>
      </c>
      <c r="F81" s="93">
        <f>SUM(F79:F80)+F78+F70</f>
        <v>0</v>
      </c>
      <c r="G81" s="93">
        <f>SUM(G79:G80)+G78+G70</f>
        <v>0</v>
      </c>
      <c r="H81" s="93">
        <f t="shared" si="4"/>
        <v>1258456.02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69.86</v>
      </c>
      <c r="D88" s="253">
        <f>SUM('DOE25'!G153:G162)</f>
        <v>19498.080000000002</v>
      </c>
      <c r="E88" s="253">
        <f>SUM('DOE25'!H153:H162)</f>
        <v>119402.9</v>
      </c>
      <c r="F88" s="253">
        <f>SUM('DOE25'!I153:I162)</f>
        <v>0</v>
      </c>
      <c r="G88" s="23" t="s">
        <v>288</v>
      </c>
      <c r="H88" s="13">
        <f t="shared" si="5"/>
        <v>138970.84</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69.86</v>
      </c>
      <c r="D91" s="94">
        <f>SUM(D85:D90)</f>
        <v>19498.080000000002</v>
      </c>
      <c r="E91" s="94">
        <f>SUM(E85:E90)</f>
        <v>119402.9</v>
      </c>
      <c r="F91" s="94">
        <f>SUM(F85:F90)</f>
        <v>0</v>
      </c>
      <c r="G91" s="23" t="s">
        <v>288</v>
      </c>
      <c r="H91" s="13">
        <f t="shared" si="5"/>
        <v>138970.84</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75000</v>
      </c>
      <c r="H96" s="13">
        <f t="shared" si="5"/>
        <v>75000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319500</v>
      </c>
      <c r="D99" s="73">
        <f>'DOE25'!G186</f>
        <v>0</v>
      </c>
      <c r="E99" s="73">
        <f>'DOE25'!H186</f>
        <v>0</v>
      </c>
      <c r="F99" s="73">
        <f>'DOE25'!I186</f>
        <v>0</v>
      </c>
      <c r="G99" s="23" t="s">
        <v>288</v>
      </c>
      <c r="H99" s="13">
        <f t="shared" si="5"/>
        <v>319500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319500</v>
      </c>
      <c r="D103" s="68">
        <f>SUM(D93:D102)</f>
        <v>0</v>
      </c>
      <c r="E103" s="68">
        <f>SUM(E93:E102)</f>
        <v>0</v>
      </c>
      <c r="F103" s="68">
        <f>SUM(F93:F102)</f>
        <v>0</v>
      </c>
      <c r="G103" s="68">
        <f>SUM(G93:G102)</f>
        <v>75000</v>
      </c>
      <c r="H103" s="68">
        <f t="shared" si="5"/>
        <v>394500</v>
      </c>
    </row>
    <row r="104" spans="1:8" ht="12.75" thickTop="1" thickBot="1" x14ac:dyDescent="0.25">
      <c r="A104" s="32" t="s">
        <v>761</v>
      </c>
      <c r="C104" s="68">
        <f>C63+C81+C91+C103</f>
        <v>6011679.9500000002</v>
      </c>
      <c r="D104" s="68">
        <f>D63+D81+D91+D103</f>
        <v>66304.17</v>
      </c>
      <c r="E104" s="68">
        <f>E63+E81+E91+E103</f>
        <v>119437.68</v>
      </c>
      <c r="F104" s="68">
        <f>F63+F81+F91+F103</f>
        <v>0</v>
      </c>
      <c r="G104" s="68">
        <f>G63+G81+G103</f>
        <v>75495.850000000006</v>
      </c>
      <c r="H104" s="68">
        <f t="shared" si="5"/>
        <v>6272917.6499999994</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2993563.67</v>
      </c>
      <c r="D109" s="23" t="s">
        <v>288</v>
      </c>
      <c r="E109" s="73">
        <f>('DOE25'!L277)+('DOE25'!L296)+('DOE25'!L315)</f>
        <v>59717.97</v>
      </c>
      <c r="F109" s="23" t="s">
        <v>288</v>
      </c>
      <c r="G109" s="23" t="s">
        <v>288</v>
      </c>
      <c r="H109" s="13">
        <f t="shared" ref="H109:H115" si="6">SUM(C109:G109)</f>
        <v>3053281.64</v>
      </c>
    </row>
    <row r="110" spans="1:8" x14ac:dyDescent="0.2">
      <c r="A110" t="s">
        <v>198</v>
      </c>
      <c r="B110" s="31" t="s">
        <v>199</v>
      </c>
      <c r="C110" s="73">
        <f>('DOE25'!L199)+('DOE25'!L217)+('DOE25'!L235)</f>
        <v>938949.41999999993</v>
      </c>
      <c r="D110" s="23" t="s">
        <v>288</v>
      </c>
      <c r="E110" s="73">
        <f>('DOE25'!L278)+('DOE25'!L297)+('DOE25'!L316)</f>
        <v>28366.249999999996</v>
      </c>
      <c r="F110" s="23" t="s">
        <v>288</v>
      </c>
      <c r="G110" s="23" t="s">
        <v>288</v>
      </c>
      <c r="H110" s="13">
        <f t="shared" si="6"/>
        <v>967315.66999999993</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4376.8</v>
      </c>
      <c r="D112" s="23" t="s">
        <v>288</v>
      </c>
      <c r="E112" s="73">
        <f>+('DOE25'!L280)+('DOE25'!L299)+('DOE25'!L318)</f>
        <v>0</v>
      </c>
      <c r="F112" s="23" t="s">
        <v>288</v>
      </c>
      <c r="G112" s="23" t="s">
        <v>288</v>
      </c>
      <c r="H112" s="13">
        <f t="shared" si="6"/>
        <v>4376.8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3936889.8899999997</v>
      </c>
      <c r="D115" s="68">
        <f>SUM(D109:D114)</f>
        <v>0</v>
      </c>
      <c r="E115" s="68">
        <f>SUM(E109:E114)</f>
        <v>88084.22</v>
      </c>
      <c r="F115" s="68">
        <f>SUM(F109:F114)</f>
        <v>0</v>
      </c>
      <c r="G115" s="68">
        <f>SUM(G109:G114)</f>
        <v>0</v>
      </c>
      <c r="H115" s="68">
        <f t="shared" si="6"/>
        <v>4024974.11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371105.24</v>
      </c>
      <c r="D118" s="23" t="s">
        <v>288</v>
      </c>
      <c r="E118" s="73">
        <f>+('DOE25'!L282)+('DOE25'!L301)+('DOE25'!L320)</f>
        <v>4012.5</v>
      </c>
      <c r="F118" s="23" t="s">
        <v>288</v>
      </c>
      <c r="G118" s="23" t="s">
        <v>288</v>
      </c>
      <c r="H118" s="13">
        <f t="shared" ref="H118:H145" si="7">SUM(C118:G118)</f>
        <v>375117.74</v>
      </c>
    </row>
    <row r="119" spans="1:8" x14ac:dyDescent="0.2">
      <c r="A119" t="s">
        <v>208</v>
      </c>
      <c r="B119" s="31" t="s">
        <v>209</v>
      </c>
      <c r="C119" s="73">
        <f>('DOE25'!L204)+('DOE25'!L222)+('DOE25'!L240)</f>
        <v>72372.66</v>
      </c>
      <c r="D119" s="23" t="s">
        <v>288</v>
      </c>
      <c r="E119" s="73">
        <f>+('DOE25'!L283)+('DOE25'!L302)+('DOE25'!L321)</f>
        <v>26682.57</v>
      </c>
      <c r="F119" s="23" t="s">
        <v>288</v>
      </c>
      <c r="G119" s="23" t="s">
        <v>288</v>
      </c>
      <c r="H119" s="13">
        <f t="shared" si="7"/>
        <v>99055.23000000001</v>
      </c>
    </row>
    <row r="120" spans="1:8" x14ac:dyDescent="0.2">
      <c r="A120" t="s">
        <v>210</v>
      </c>
      <c r="B120" s="31" t="s">
        <v>211</v>
      </c>
      <c r="C120" s="73">
        <f>('DOE25'!L205)+('DOE25'!L223)+('DOE25'!L241)</f>
        <v>234812.02</v>
      </c>
      <c r="D120" s="23" t="s">
        <v>288</v>
      </c>
      <c r="E120" s="73">
        <f>+('DOE25'!L284)+('DOE25'!L303)+('DOE25'!L322)</f>
        <v>0</v>
      </c>
      <c r="F120" s="23" t="s">
        <v>288</v>
      </c>
      <c r="G120" s="23" t="s">
        <v>288</v>
      </c>
      <c r="H120" s="13">
        <f t="shared" si="7"/>
        <v>234812.02</v>
      </c>
    </row>
    <row r="121" spans="1:8" x14ac:dyDescent="0.2">
      <c r="A121" t="s">
        <v>212</v>
      </c>
      <c r="B121" s="31" t="s">
        <v>213</v>
      </c>
      <c r="C121" s="73">
        <f>('DOE25'!L206)+('DOE25'!L224)+('DOE25'!L242)</f>
        <v>243551.08000000002</v>
      </c>
      <c r="D121" s="23" t="s">
        <v>288</v>
      </c>
      <c r="E121" s="73">
        <f>+('DOE25'!L285)+('DOE25'!L304)+('DOE25'!L323)</f>
        <v>0</v>
      </c>
      <c r="F121" s="23" t="s">
        <v>288</v>
      </c>
      <c r="G121" s="23" t="s">
        <v>288</v>
      </c>
      <c r="H121" s="13">
        <f t="shared" si="7"/>
        <v>243551.08000000002</v>
      </c>
    </row>
    <row r="122" spans="1:8" x14ac:dyDescent="0.2">
      <c r="A122" t="s">
        <v>214</v>
      </c>
      <c r="B122" s="31" t="s">
        <v>215</v>
      </c>
      <c r="C122" s="73">
        <f>('DOE25'!L207)+('DOE25'!L225)+('DOE25'!L243)</f>
        <v>0</v>
      </c>
      <c r="D122" s="23" t="s">
        <v>288</v>
      </c>
      <c r="E122" s="73">
        <f>+('DOE25'!L286)+('DOE25'!L305)+('DOE25'!L324)</f>
        <v>623.61</v>
      </c>
      <c r="F122" s="23" t="s">
        <v>288</v>
      </c>
      <c r="G122" s="23" t="s">
        <v>288</v>
      </c>
      <c r="H122" s="13">
        <f t="shared" si="7"/>
        <v>623.61</v>
      </c>
    </row>
    <row r="123" spans="1:8" x14ac:dyDescent="0.2">
      <c r="A123" t="s">
        <v>216</v>
      </c>
      <c r="B123" s="31" t="s">
        <v>217</v>
      </c>
      <c r="C123" s="73">
        <f>('DOE25'!L208)+('DOE25'!L226)+('DOE25'!L244)</f>
        <v>704275.03</v>
      </c>
      <c r="D123" s="23" t="s">
        <v>288</v>
      </c>
      <c r="E123" s="73">
        <f>+('DOE25'!L287)+('DOE25'!L306)+('DOE25'!L325)</f>
        <v>0</v>
      </c>
      <c r="F123" s="23" t="s">
        <v>288</v>
      </c>
      <c r="G123" s="23" t="s">
        <v>288</v>
      </c>
      <c r="H123" s="13">
        <f t="shared" si="7"/>
        <v>704275.03</v>
      </c>
    </row>
    <row r="124" spans="1:8" x14ac:dyDescent="0.2">
      <c r="A124" t="s">
        <v>218</v>
      </c>
      <c r="B124" s="31" t="s">
        <v>219</v>
      </c>
      <c r="C124" s="73">
        <f>('DOE25'!L209)+('DOE25'!L227)+('DOE25'!L245+'DOE25'!L255)</f>
        <v>363534.5</v>
      </c>
      <c r="D124" s="23" t="s">
        <v>288</v>
      </c>
      <c r="E124" s="73">
        <f>+('DOE25'!L288)+('DOE25'!L307)+('DOE25'!L326)</f>
        <v>0</v>
      </c>
      <c r="F124" s="23" t="s">
        <v>288</v>
      </c>
      <c r="G124" s="23" t="s">
        <v>288</v>
      </c>
      <c r="H124" s="13">
        <f t="shared" si="7"/>
        <v>363534.5</v>
      </c>
    </row>
    <row r="125" spans="1:8" x14ac:dyDescent="0.2">
      <c r="A125" t="s">
        <v>220</v>
      </c>
      <c r="B125" s="31" t="s">
        <v>221</v>
      </c>
      <c r="C125" s="73">
        <f>('DOE25'!L210)+('DOE25'!L228)+('DOE25'!L246)</f>
        <v>24212.1</v>
      </c>
      <c r="D125" s="23" t="s">
        <v>288</v>
      </c>
      <c r="E125" s="73">
        <f>+('DOE25'!L289)+('DOE25'!L308)+('DOE25'!L327)</f>
        <v>0</v>
      </c>
      <c r="F125" s="23" t="s">
        <v>288</v>
      </c>
      <c r="G125" s="23" t="s">
        <v>288</v>
      </c>
      <c r="H125" s="13">
        <f t="shared" si="7"/>
        <v>24212.1</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63652.03</v>
      </c>
      <c r="E127" s="23" t="s">
        <v>288</v>
      </c>
      <c r="F127" s="23" t="s">
        <v>288</v>
      </c>
      <c r="G127" s="23" t="s">
        <v>288</v>
      </c>
      <c r="H127" s="13">
        <f t="shared" si="7"/>
        <v>63652.03</v>
      </c>
    </row>
    <row r="128" spans="1:8" ht="12.75" thickTop="1" thickBot="1" x14ac:dyDescent="0.25">
      <c r="A128" s="32" t="s">
        <v>226</v>
      </c>
      <c r="C128" s="68">
        <f>SUM(C118:C127)</f>
        <v>2013862.6300000001</v>
      </c>
      <c r="D128" s="68">
        <f>SUM(D118:D127)</f>
        <v>63652.03</v>
      </c>
      <c r="E128" s="68">
        <f>SUM(E118:E127)</f>
        <v>31318.68</v>
      </c>
      <c r="F128" s="68">
        <f>SUM(F118:F127)</f>
        <v>0</v>
      </c>
      <c r="G128" s="68">
        <f>SUM(G118:G127)</f>
        <v>0</v>
      </c>
      <c r="H128" s="68">
        <f t="shared" si="7"/>
        <v>2108833.3400000003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319500</v>
      </c>
      <c r="H134" s="13">
        <f t="shared" si="7"/>
        <v>319500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75495.850000000006</v>
      </c>
      <c r="D138" s="23" t="s">
        <v>288</v>
      </c>
      <c r="E138" s="23" t="s">
        <v>288</v>
      </c>
      <c r="F138" s="23" t="s">
        <v>288</v>
      </c>
      <c r="G138" s="23" t="s">
        <v>288</v>
      </c>
      <c r="H138" s="13">
        <f t="shared" si="7"/>
        <v>75495.850000000006</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-495.85000000000582</v>
      </c>
      <c r="D141" s="23" t="s">
        <v>288</v>
      </c>
      <c r="E141" s="23" t="s">
        <v>288</v>
      </c>
      <c r="F141" s="23" t="s">
        <v>288</v>
      </c>
      <c r="G141" s="23" t="s">
        <v>288</v>
      </c>
      <c r="H141" s="13">
        <f t="shared" si="7"/>
        <v>-495.85000000000582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75000</v>
      </c>
      <c r="D144" s="98">
        <f>SUM(D130:D143)</f>
        <v>0</v>
      </c>
      <c r="E144" s="98">
        <f>SUM(E130:E143)</f>
        <v>0</v>
      </c>
      <c r="F144" s="98">
        <f>SUM(F130:F143)</f>
        <v>0</v>
      </c>
      <c r="G144" s="98">
        <f>SUM(G130:G143)</f>
        <v>319500</v>
      </c>
      <c r="H144" s="98">
        <f t="shared" si="7"/>
        <v>394500</v>
      </c>
    </row>
    <row r="145" spans="1:9" ht="12.75" thickTop="1" thickBot="1" x14ac:dyDescent="0.25">
      <c r="A145" s="32" t="s">
        <v>244</v>
      </c>
      <c r="C145" s="68">
        <f>(C115+C128+C144)</f>
        <v>6025752.5199999996</v>
      </c>
      <c r="D145" s="68">
        <f>(D115+D128+D144)</f>
        <v>63652.03</v>
      </c>
      <c r="E145" s="68">
        <f>(E115+E128+E144)</f>
        <v>119402.9</v>
      </c>
      <c r="F145" s="68">
        <f>(F115+F128+F144)</f>
        <v>0</v>
      </c>
      <c r="G145" s="68">
        <f>(G115+G128+G144)</f>
        <v>319500</v>
      </c>
      <c r="H145" s="68">
        <f t="shared" si="7"/>
        <v>6528307.4500000002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t="str">
        <f>'DOE25'!F492</f>
        <v>0</v>
      </c>
      <c r="C152" s="109" t="str">
        <f>'DOE25'!G492</f>
        <v>0</v>
      </c>
      <c r="D152" s="109">
        <f>'DOE25'!H492</f>
        <v>0</v>
      </c>
      <c r="E152" s="109">
        <f>'DOE25'!I492</f>
        <v>0</v>
      </c>
      <c r="F152" s="109">
        <f>'DOE25'!J492</f>
        <v>0</v>
      </c>
      <c r="G152" s="23" t="s">
        <v>288</v>
      </c>
    </row>
    <row r="153" spans="1:9" x14ac:dyDescent="0.2">
      <c r="A153" s="21" t="s">
        <v>29</v>
      </c>
      <c r="B153" s="109" t="str">
        <f>'DOE25'!F493</f>
        <v>0</v>
      </c>
      <c r="C153" s="109" t="str">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Rollinsford</v>
      </c>
    </row>
    <row r="3" spans="1:4" x14ac:dyDescent="0.2">
      <c r="B3" s="137" t="s">
        <v>1799</v>
      </c>
    </row>
    <row r="4" spans="1:4" x14ac:dyDescent="0.2">
      <c r="B4" t="s">
        <v>61</v>
      </c>
      <c r="C4" s="129">
        <f>IF('DOE25'!F666+'DOE25'!F671=0,0,ROUND('DOE25'!F673,0))</f>
        <v>26436</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26436</v>
      </c>
    </row>
    <row r="9" spans="1:4" x14ac:dyDescent="0.2">
      <c r="A9" s="136" t="s">
        <v>94</v>
      </c>
      <c r="B9" s="137" t="s">
        <v>1800</v>
      </c>
      <c r="C9" s="131" t="s">
        <v>720</v>
      </c>
      <c r="D9" s="131" t="s">
        <v>721</v>
      </c>
    </row>
    <row r="10" spans="1:4" x14ac:dyDescent="0.2">
      <c r="A10">
        <v>1100</v>
      </c>
      <c r="B10" t="s">
        <v>702</v>
      </c>
      <c r="C10" s="129">
        <f>ROUND('DOE25'!L198+'DOE25'!L216+'DOE25'!L234+'DOE25'!L277+'DOE25'!L296+'DOE25'!L315,0)</f>
        <v>3053282</v>
      </c>
      <c r="D10" s="132">
        <f>ROUND((C10/$C$28)*100,1)</f>
        <v>50</v>
      </c>
    </row>
    <row r="11" spans="1:4" x14ac:dyDescent="0.2">
      <c r="A11">
        <v>1200</v>
      </c>
      <c r="B11" t="s">
        <v>703</v>
      </c>
      <c r="C11" s="129">
        <f>ROUND('DOE25'!L199+'DOE25'!L217+'DOE25'!L235+'DOE25'!L278+'DOE25'!L297+'DOE25'!L316,0)</f>
        <v>967316</v>
      </c>
      <c r="D11" s="132">
        <f>ROUND((C11/$C$28)*100,1)</f>
        <v>15.9</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4377</v>
      </c>
      <c r="D13" s="132">
        <f>ROUND((C13/$C$28)*100,1)</f>
        <v>0.1</v>
      </c>
    </row>
    <row r="14" spans="1:4" x14ac:dyDescent="0.2">
      <c r="D14" s="132"/>
    </row>
    <row r="15" spans="1:4" x14ac:dyDescent="0.2">
      <c r="A15">
        <v>2100</v>
      </c>
      <c r="B15" t="s">
        <v>706</v>
      </c>
      <c r="C15" s="129">
        <f>ROUND('DOE25'!L203+'DOE25'!L221+'DOE25'!L239+'DOE25'!L282+'DOE25'!L301+'DOE25'!L320,0)</f>
        <v>375118</v>
      </c>
      <c r="D15" s="132">
        <f t="shared" ref="D15:D27" si="0">ROUND((C15/$C$28)*100,1)</f>
        <v>6.1</v>
      </c>
    </row>
    <row r="16" spans="1:4" x14ac:dyDescent="0.2">
      <c r="A16">
        <v>2200</v>
      </c>
      <c r="B16" t="s">
        <v>707</v>
      </c>
      <c r="C16" s="129">
        <f>ROUND('DOE25'!L204+'DOE25'!L222+'DOE25'!L240+'DOE25'!L283+'DOE25'!L302+'DOE25'!L321,0)</f>
        <v>99055</v>
      </c>
      <c r="D16" s="132">
        <f t="shared" si="0"/>
        <v>1.6</v>
      </c>
    </row>
    <row r="17" spans="1:4" x14ac:dyDescent="0.2">
      <c r="A17" s="133" t="s">
        <v>723</v>
      </c>
      <c r="B17" t="s">
        <v>738</v>
      </c>
      <c r="C17" s="129">
        <f>ROUND('DOE25'!L205+'DOE25'!L210+'DOE25'!L223+'DOE25'!L228+'DOE25'!L241+'DOE25'!L246+'DOE25'!L284+'DOE25'!L289+'DOE25'!L303+'DOE25'!L308+'DOE25'!L322+'DOE25'!L327,0)</f>
        <v>259024</v>
      </c>
      <c r="D17" s="132">
        <f t="shared" si="0"/>
        <v>4.2</v>
      </c>
    </row>
    <row r="18" spans="1:4" x14ac:dyDescent="0.2">
      <c r="A18">
        <v>2400</v>
      </c>
      <c r="B18" t="s">
        <v>711</v>
      </c>
      <c r="C18" s="129">
        <f>ROUND('DOE25'!L206+'DOE25'!L224+'DOE25'!L242+'DOE25'!L285+'DOE25'!L304+'DOE25'!L323,0)</f>
        <v>243551</v>
      </c>
      <c r="D18" s="132">
        <f t="shared" si="0"/>
        <v>4</v>
      </c>
    </row>
    <row r="19" spans="1:4" x14ac:dyDescent="0.2">
      <c r="A19">
        <v>2500</v>
      </c>
      <c r="B19" t="s">
        <v>708</v>
      </c>
      <c r="C19" s="129">
        <f>ROUND('DOE25'!L207+'DOE25'!L225+'DOE25'!L243+'DOE25'!L286+'DOE25'!L305+'DOE25'!L324,0)</f>
        <v>624</v>
      </c>
      <c r="D19" s="132">
        <f t="shared" si="0"/>
        <v>0</v>
      </c>
    </row>
    <row r="20" spans="1:4" x14ac:dyDescent="0.2">
      <c r="A20">
        <v>2600</v>
      </c>
      <c r="B20" t="s">
        <v>709</v>
      </c>
      <c r="C20" s="129">
        <f>ROUND('DOE25'!L208+'DOE25'!L226+'DOE25'!L244+'DOE25'!L287+'DOE25'!L306+'DOE25'!L325,0)</f>
        <v>704275</v>
      </c>
      <c r="D20" s="132">
        <f t="shared" si="0"/>
        <v>11.5</v>
      </c>
    </row>
    <row r="21" spans="1:4" x14ac:dyDescent="0.2">
      <c r="A21">
        <v>2700</v>
      </c>
      <c r="B21" t="s">
        <v>710</v>
      </c>
      <c r="C21" s="129">
        <f>ROUND('DOE25'!L209+'DOE25'!L227+'DOE25'!L245+'DOE25'!L288+'DOE25'!L307+'DOE25'!L326,0)</f>
        <v>363535</v>
      </c>
      <c r="D21" s="132">
        <f t="shared" si="0"/>
        <v>6</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31984.15</v>
      </c>
      <c r="D27" s="132">
        <f t="shared" si="0"/>
        <v>0.5</v>
      </c>
    </row>
    <row r="28" spans="1:4" x14ac:dyDescent="0.2">
      <c r="B28" s="136" t="s">
        <v>719</v>
      </c>
      <c r="C28" s="130">
        <f>SUM(C10:C27)</f>
        <v>6102141.1500000004</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6102141.1500000004</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4446413</v>
      </c>
      <c r="D35" s="132">
        <f t="shared" ref="D35:D40" si="1">ROUND((C35/$C$41)*100,1)</f>
        <v>76</v>
      </c>
    </row>
    <row r="36" spans="1:4" x14ac:dyDescent="0.2">
      <c r="B36" s="71" t="s">
        <v>739</v>
      </c>
      <c r="C36" s="129">
        <f>SUM('DOE25'!F112:J112)-SUM('DOE25'!G97:G110)+('DOE25'!F175+'DOE25'!F176+'DOE25'!I175+'DOE25'!I176)-C35</f>
        <v>2909.9399999994785</v>
      </c>
      <c r="D36" s="132">
        <f t="shared" si="1"/>
        <v>0</v>
      </c>
    </row>
    <row r="37" spans="1:4" x14ac:dyDescent="0.2">
      <c r="A37" s="133" t="s">
        <v>834</v>
      </c>
      <c r="B37" s="71" t="s">
        <v>728</v>
      </c>
      <c r="C37" s="129">
        <f>ROUND('DOE25'!F117+'DOE25'!F118,0)</f>
        <v>1225338</v>
      </c>
      <c r="D37" s="132">
        <f t="shared" si="1"/>
        <v>21</v>
      </c>
    </row>
    <row r="38" spans="1:4" x14ac:dyDescent="0.2">
      <c r="A38" s="133" t="s">
        <v>734</v>
      </c>
      <c r="B38" s="71" t="s">
        <v>729</v>
      </c>
      <c r="C38" s="129">
        <f>ROUND(SUM('DOE25'!F140:J140)-SUM('DOE25'!F117:F119),0)</f>
        <v>33118</v>
      </c>
      <c r="D38" s="132">
        <f t="shared" si="1"/>
        <v>0.6</v>
      </c>
    </row>
    <row r="39" spans="1:4" x14ac:dyDescent="0.2">
      <c r="A39">
        <v>4000</v>
      </c>
      <c r="B39" s="71" t="s">
        <v>730</v>
      </c>
      <c r="C39" s="129">
        <f>ROUND('DOE25'!F170+'DOE25'!G170+'DOE25'!H170+'DOE25'!I170,0)</f>
        <v>138971</v>
      </c>
      <c r="D39" s="132">
        <f t="shared" si="1"/>
        <v>2.4</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5846749.9399999995</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Rollinsford</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255</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f>IF('School Level Expenditures'!$B$2=A258,'School Tables'!H258,"")</f>
        <v>255</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2023-08-15T15:32:37Z</cp:lastPrinted>
  <dcterms:created xsi:type="dcterms:W3CDTF">1997-12-04T19:04:30Z</dcterms:created>
  <dcterms:modified xsi:type="dcterms:W3CDTF">2023-12-29T14:19:44Z</dcterms:modified>
</cp:coreProperties>
</file>