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32657F6-1E28-4B8B-BF12-692681B3190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 i="2" l="1"/>
  <c r="K7" i="14"/>
  <c r="K6" i="14"/>
  <c r="O7" i="14"/>
  <c r="O6" i="14"/>
  <c r="P7" i="14"/>
  <c r="P6" i="14"/>
  <c r="L6" i="14"/>
  <c r="L7" i="14"/>
  <c r="N6" i="14"/>
  <c r="M7" i="14"/>
  <c r="M6" i="14"/>
  <c r="E7" i="14"/>
  <c r="E6" i="14"/>
  <c r="D7" i="14"/>
  <c r="D6" i="14"/>
  <c r="B20" i="12"/>
  <c r="B19" i="12"/>
  <c r="B10" i="12"/>
  <c r="B11" i="12"/>
  <c r="B12" i="12" l="1"/>
  <c r="H605" i="1"/>
  <c r="H596" i="1"/>
  <c r="H592" i="1"/>
  <c r="F583" i="1"/>
  <c r="F522" i="1"/>
  <c r="H527" i="1"/>
  <c r="G527" i="1"/>
  <c r="F527" i="1"/>
  <c r="J522" i="1"/>
  <c r="I522" i="1"/>
  <c r="G522" i="1"/>
  <c r="I527" i="1"/>
  <c r="H522" i="1"/>
  <c r="F473" i="1"/>
  <c r="H473" i="1"/>
  <c r="J473" i="1"/>
  <c r="J469" i="1"/>
  <c r="H282" i="1"/>
  <c r="I278" i="1"/>
  <c r="G278" i="1"/>
  <c r="F278" i="1"/>
  <c r="I198" i="1"/>
  <c r="H209" i="1"/>
  <c r="H208" i="1"/>
  <c r="H206" i="1"/>
  <c r="H204" i="1"/>
  <c r="G204" i="1"/>
  <c r="I203" i="1"/>
  <c r="H201" i="1"/>
  <c r="I199" i="1"/>
  <c r="J198" i="1"/>
  <c r="H198" i="1"/>
  <c r="F198" i="1"/>
  <c r="G198" i="1"/>
  <c r="G208" i="1"/>
  <c r="F208" i="1"/>
  <c r="F204" i="1"/>
  <c r="H203" i="1"/>
  <c r="G203" i="1"/>
  <c r="F203" i="1"/>
  <c r="H235" i="1"/>
  <c r="I208" i="1" l="1"/>
  <c r="K206" i="1"/>
  <c r="I206" i="1"/>
  <c r="G206" i="1"/>
  <c r="F206" i="1"/>
  <c r="K204" i="1"/>
  <c r="J204" i="1"/>
  <c r="I204" i="1"/>
  <c r="I201" i="1"/>
  <c r="G201" i="1"/>
  <c r="F201" i="1"/>
  <c r="H199" i="1"/>
  <c r="G199" i="1"/>
  <c r="F199" i="1"/>
  <c r="H159" i="1"/>
  <c r="F110" i="1" l="1"/>
  <c r="F63" i="1"/>
  <c r="F30" i="1"/>
  <c r="F12" i="1"/>
  <c r="F29" i="1"/>
  <c r="F28"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H26" i="2" s="1"/>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H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25" i="2" l="1"/>
  <c r="H38" i="2"/>
  <c r="H29" i="2"/>
  <c r="H132" i="2"/>
  <c r="H44" i="2"/>
  <c r="H125" i="2"/>
  <c r="H35" i="2"/>
  <c r="H9" i="2"/>
  <c r="E13" i="13"/>
  <c r="C13" i="13" s="1"/>
  <c r="H30" i="2"/>
  <c r="H28" i="2"/>
  <c r="H23" i="2"/>
  <c r="H17" i="2"/>
  <c r="H15" i="2"/>
  <c r="H43" i="2"/>
  <c r="H102" i="2"/>
  <c r="H100" i="2"/>
  <c r="H98" i="2"/>
  <c r="H73" i="2"/>
  <c r="H11" i="2"/>
  <c r="H143" i="2"/>
  <c r="H80" i="2"/>
  <c r="H34" i="2"/>
  <c r="H22" i="2"/>
  <c r="H89" i="2"/>
  <c r="D18" i="13"/>
  <c r="C18" i="13" s="1"/>
  <c r="D15" i="13"/>
  <c r="C15" i="13" s="1"/>
  <c r="H36" i="2"/>
  <c r="H48" i="2"/>
  <c r="H101" i="2"/>
  <c r="H99" i="2"/>
  <c r="H79" i="2"/>
  <c r="H76" i="2"/>
  <c r="H58" i="2"/>
  <c r="H113" i="2"/>
  <c r="H97" i="2"/>
  <c r="H87" i="2"/>
  <c r="H61" i="2"/>
  <c r="H13" i="2"/>
  <c r="H59" i="2"/>
  <c r="H96" i="2"/>
  <c r="J652" i="1"/>
  <c r="G477" i="1"/>
  <c r="G409" i="1"/>
  <c r="H646" i="1" s="1"/>
  <c r="D29" i="13"/>
  <c r="C29" i="13" s="1"/>
  <c r="G662" i="1"/>
  <c r="M2" i="14"/>
  <c r="M3" i="14" s="1"/>
  <c r="C120" i="2"/>
  <c r="H120" i="2" s="1"/>
  <c r="C112" i="2"/>
  <c r="H112" i="2" s="1"/>
  <c r="C121" i="2"/>
  <c r="H121" i="2" s="1"/>
  <c r="C119" i="2"/>
  <c r="D6" i="13"/>
  <c r="C6" i="13" s="1"/>
  <c r="L2" i="14"/>
  <c r="L3" i="14" s="1"/>
  <c r="A40" i="12"/>
  <c r="K2" i="14"/>
  <c r="K3" i="14" s="1"/>
  <c r="H77" i="2"/>
  <c r="H12"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6" i="2"/>
  <c r="H85" i="2"/>
  <c r="H57" i="2"/>
  <c r="H114" i="2"/>
  <c r="H91" i="2"/>
  <c r="H42" i="2"/>
  <c r="G144" i="2"/>
  <c r="G145" i="2" s="1"/>
  <c r="H134" i="2"/>
  <c r="D128" i="2"/>
  <c r="D145" i="2" s="1"/>
  <c r="H127" i="2"/>
  <c r="I662" i="1"/>
  <c r="H123" i="2"/>
  <c r="E128" i="2"/>
  <c r="H119" i="2"/>
  <c r="H78" i="2"/>
  <c r="H103" i="2"/>
  <c r="H62" i="2"/>
  <c r="F194" i="1"/>
  <c r="G628" i="1" s="1"/>
  <c r="J628" i="1" s="1"/>
  <c r="C81" i="2"/>
  <c r="H81" i="2" s="1"/>
  <c r="H31" i="2"/>
  <c r="H50" i="2"/>
  <c r="D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128" i="2"/>
  <c r="C144" i="2"/>
  <c r="C145" i="2" s="1"/>
  <c r="H141" i="2"/>
  <c r="C104" i="2"/>
  <c r="H104" i="2" s="1"/>
  <c r="H63" i="2"/>
  <c r="M36" i="14"/>
  <c r="I36" i="14"/>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<sst xmlns="http://schemas.openxmlformats.org/spreadsheetml/2006/main" count="6560" uniqueCount="1812">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</sst>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G668" sqref="G66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1384</v>
      </c>
      <c r="B2">
        <f>INDEX('School Tables'!$AH$3:$AH$209,MATCH('DOE25'!A2,'School Tables'!$AJ$3:$AJ$209,0))</f>
        <v>471</v>
      </c>
      <c r="C2">
        <f>INDEX('School Tables'!$AI$3:$AI$209,MATCH('DOE25'!A2,'School Tables'!$AJ$3:$AJ$209,0))</f>
        <v>471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1839623.46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t="s">
        <v>286</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36492.17+43088.3</f>
        <v>79580.47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14685.42</v>
      </c>
      <c r="G13" s="18">
        <v>4848.78</v>
      </c>
      <c r="H13" s="18">
        <v>198105.14</v>
      </c>
      <c r="I13" s="18"/>
      <c r="J13" s="13">
        <f>SUM(I443)</f>
        <v>478099.23</v>
      </c>
      <c r="K13" s="23" t="s">
        <v>288</v>
      </c>
      <c r="L13" s="23" t="s">
        <v>288</v>
      </c>
      <c r="M13" s="8"/>
      <c r="N13" s="165"/>
    </row>
    <row r="14" spans="1:14" s="3" customFormat="1" ht="12.2" customHeight="1" x14ac:dyDescent="0.15">
      <c r="A14" s="1" t="s">
        <v>565</v>
      </c>
      <c r="B14" s="2" t="s">
        <v>289</v>
      </c>
      <c r="C14" s="6">
        <v>6</v>
      </c>
      <c r="D14" s="2" t="s">
        <v>428</v>
      </c>
      <c r="E14" s="6">
        <v>150</v>
      </c>
      <c r="F14" s="18"/>
      <c r="G14" s="18">
        <v>493.6</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1149.0999999999999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1933889.3499999999</v>
      </c>
      <c r="G19" s="38">
        <f>SUM(G9:G18)</f>
        <v>6491.48</v>
      </c>
      <c r="H19" s="38">
        <f>SUM(H9:H18)</f>
        <v>198105.14</v>
      </c>
      <c r="I19" s="38">
        <f>SUM(I9:I18)</f>
        <v>0</v>
      </c>
      <c r="J19" s="38">
        <f>SUM(J9:J18)</f>
        <v>478099.23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-151117.76000000001</v>
      </c>
      <c r="G22" s="18">
        <v>-3899.08</v>
      </c>
      <c r="H22" s="18">
        <v>198105.14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36492.17</v>
      </c>
      <c r="K23" s="23" t="s">
        <v>288</v>
      </c>
      <c r="L23" s="23" t="s">
        <v>288</v>
      </c>
      <c r="M23" s="8"/>
      <c r="N23" s="165"/>
    </row>
    <row r="24" spans="1:14" s="3" customFormat="1" ht="12.2" customHeight="1" x14ac:dyDescent="0.15">
      <c r="A24" s="1" t="s">
        <v>570</v>
      </c>
      <c r="B24" s="2" t="s">
        <v>289</v>
      </c>
      <c r="C24" s="6">
        <v>14</v>
      </c>
      <c r="D24" s="2" t="s">
        <v>429</v>
      </c>
      <c r="E24" s="6">
        <v>420</v>
      </c>
      <c r="F24" s="18"/>
      <c r="G24" s="18">
        <v>8232.94</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57684.4+535131.82</f>
        <v>592816.22</v>
      </c>
      <c r="G28" s="18">
        <v>1008.52</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23299.05+6091.18+211.52+245.26</f>
        <v>29847.01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f>500+43088.3</f>
        <v>43588.3</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515133.76999999996</v>
      </c>
      <c r="G32" s="38">
        <f>SUM(G22:G31)</f>
        <v>5342.380000000001</v>
      </c>
      <c r="H32" s="38">
        <f>SUM(H22:H31)</f>
        <v>198105.14</v>
      </c>
      <c r="I32" s="38">
        <f>SUM(I22:I31)</f>
        <v>0</v>
      </c>
      <c r="J32" s="38">
        <f>SUM(J22:J31)</f>
        <v>36492.17</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1149.0999999999999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625000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550000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441607.06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243755.58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1418755.58</v>
      </c>
      <c r="G51" s="38">
        <f>SUM(G35:G50)</f>
        <v>1149.0999999999999</v>
      </c>
      <c r="H51" s="38">
        <f>SUM(H35:H50)</f>
        <v>0</v>
      </c>
      <c r="I51" s="38">
        <f>SUM(I35:I50)</f>
        <v>0</v>
      </c>
      <c r="J51" s="38">
        <f>SUM(J35:J50)</f>
        <v>441607.06</v>
      </c>
      <c r="K51" s="42" t="s">
        <v>288</v>
      </c>
      <c r="L51" s="42" t="s">
        <v>288</v>
      </c>
      <c r="N51" s="131"/>
    </row>
    <row r="52" spans="1:14" s="3" customFormat="1" ht="12.2" customHeight="1" thickTop="1" x14ac:dyDescent="0.15">
      <c r="A52" s="35" t="s">
        <v>455</v>
      </c>
      <c r="B52" s="36" t="s">
        <v>289</v>
      </c>
      <c r="C52" s="6">
        <v>37</v>
      </c>
      <c r="D52" s="36" t="s">
        <v>653</v>
      </c>
      <c r="E52" s="36"/>
      <c r="F52" s="38">
        <f>F51+F32</f>
        <v>1933889.35</v>
      </c>
      <c r="G52" s="38">
        <f>G51+G32</f>
        <v>6491.4800000000014</v>
      </c>
      <c r="H52" s="38">
        <f>H51+H32</f>
        <v>198105.14</v>
      </c>
      <c r="I52" s="38">
        <f>I51+I32</f>
        <v>0</v>
      </c>
      <c r="J52" s="38">
        <f>J51+J32</f>
        <v>478099.23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10365744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10365744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6603+4000</f>
        <v>10603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141016.42000000001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151619.42000000001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55530.87</v>
      </c>
      <c r="G96" s="18"/>
      <c r="H96" s="18"/>
      <c r="I96" s="18"/>
      <c r="J96" s="18">
        <v>20624.97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108787.63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55041.16</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28477.19</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301.10000000000002</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93382.43+7146.82</f>
        <v>100529.25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239879.57</v>
      </c>
      <c r="G111" s="38">
        <f>SUM(G96:G110)</f>
        <v>108787.63</v>
      </c>
      <c r="H111" s="38">
        <f>SUM(H96:H110)</f>
        <v>0</v>
      </c>
      <c r="I111" s="38">
        <f>SUM(I96:I110)</f>
        <v>0</v>
      </c>
      <c r="J111" s="38">
        <f>SUM(J96:J110)</f>
        <v>20624.97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10757242.99</v>
      </c>
      <c r="G112" s="38">
        <f>G60+G111</f>
        <v>108787.63</v>
      </c>
      <c r="H112" s="38">
        <f>H60+H79+H94+H111</f>
        <v>0</v>
      </c>
      <c r="I112" s="38">
        <f>I60+I111</f>
        <v>0</v>
      </c>
      <c r="J112" s="38">
        <f>J60+J111</f>
        <v>20624.97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1277895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3344277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59982.02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4682154.0199999996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6880.62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1536.89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4"/>
      <c r="G135" s="18"/>
      <c r="H135" s="18">
        <v>115109.92</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6880.62</v>
      </c>
      <c r="G136" s="38">
        <f>SUM(G123:G135)</f>
        <v>1536.89</v>
      </c>
      <c r="H136" s="38">
        <f>SUM(H123:H135)</f>
        <v>115109.92</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4689034.6399999997</v>
      </c>
      <c r="G140" s="38">
        <f>G121+SUM(G136:G137)</f>
        <v>1536.89</v>
      </c>
      <c r="H140" s="38">
        <f>H121+SUM(H136:H139)</f>
        <v>115109.92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14406.83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57311.39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70467+46443.12</f>
        <v>116910.12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79395.259999999995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57311.39</v>
      </c>
      <c r="H163" s="38">
        <f>SUM(H150:H162)</f>
        <v>210712.20999999996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57311.39</v>
      </c>
      <c r="H170" s="38">
        <f>H147+H163+SUM(H164:H169)</f>
        <v>210712.20999999996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40295.730000000003</v>
      </c>
      <c r="H180" s="18"/>
      <c r="I180" s="18"/>
      <c r="J180" s="18">
        <v>170000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40295.730000000003</v>
      </c>
      <c r="H184" s="38">
        <f>SUM(H180:H183)</f>
        <v>0</v>
      </c>
      <c r="I184" s="38">
        <f>SUM(I180:I183)</f>
        <v>0</v>
      </c>
      <c r="J184" s="38">
        <f>SUM(J180:J183)</f>
        <v>170000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289017.17</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289017.17</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289017.17</v>
      </c>
      <c r="G193" s="38">
        <f>G184+SUM(G189:G192)</f>
        <v>40295.730000000003</v>
      </c>
      <c r="H193" s="38">
        <f>+H184+SUM(H189:H192)</f>
        <v>0</v>
      </c>
      <c r="I193" s="38">
        <f>I178+I184+SUM(I189:I192)</f>
        <v>0</v>
      </c>
      <c r="J193" s="38">
        <f>J184</f>
        <v>170000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15735294.799999999</v>
      </c>
      <c r="G194" s="38">
        <f>G112+G140+G170+G193</f>
        <v>207931.64</v>
      </c>
      <c r="H194" s="38">
        <f>H112+H140+H170+H193</f>
        <v>325822.12999999995</v>
      </c>
      <c r="I194" s="38">
        <f>I112+I140+I170+I193</f>
        <v>0</v>
      </c>
      <c r="J194" s="38">
        <f>J112+J140+J193</f>
        <v>190624.97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1897768.3+1519342.6</f>
        <v>3417110.9000000004</v>
      </c>
      <c r="G198" s="18">
        <f>903982.95+1007.96+726680.85+31427.92</f>
        <v>1663099.6799999997</v>
      </c>
      <c r="H198" s="18">
        <f>2407+46487+9485.43</f>
        <v>58379.43</v>
      </c>
      <c r="I198" s="18">
        <f>58614.85+65769.15+2643.05+97.55</f>
        <v>127124.6</v>
      </c>
      <c r="J198" s="18">
        <f>2901.2+62509.51+18283.96</f>
        <v>83694.67</v>
      </c>
      <c r="K198" s="18"/>
      <c r="L198" s="13">
        <f>SUM(F198:K198)</f>
        <v>5349409.2799999993</v>
      </c>
      <c r="M198" s="8"/>
      <c r="N198" s="165"/>
    </row>
    <row r="199" spans="1:14" s="3" customFormat="1" ht="12.2" customHeight="1" x14ac:dyDescent="0.15">
      <c r="A199" s="1" t="s">
        <v>439</v>
      </c>
      <c r="B199" s="2" t="s">
        <v>341</v>
      </c>
      <c r="C199" s="2" t="s">
        <v>291</v>
      </c>
      <c r="D199" s="2" t="s">
        <v>431</v>
      </c>
      <c r="E199" s="6">
        <v>1200</v>
      </c>
      <c r="F199" s="18">
        <f>276698.15+347615.53</f>
        <v>624313.68000000005</v>
      </c>
      <c r="G199" s="18">
        <f>155882.95+171332.47</f>
        <v>327215.42000000004</v>
      </c>
      <c r="H199" s="18">
        <f>162347.47+197018.51</f>
        <v>359365.98</v>
      </c>
      <c r="I199" s="18">
        <f>7567.29+7117.18+1280.96</f>
        <v>15965.43</v>
      </c>
      <c r="J199" s="18">
        <v>667.85</v>
      </c>
      <c r="K199" s="18"/>
      <c r="L199" s="13">
        <f>SUM(F199:K199)</f>
        <v>1327528.3600000001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28896.5+55100</f>
        <v>83996.5</v>
      </c>
      <c r="G201" s="18">
        <f>7233.75+9195.23</f>
        <v>16428.98</v>
      </c>
      <c r="H201" s="18">
        <f>12398.47+37136.42+4300+11565.56</f>
        <v>65400.45</v>
      </c>
      <c r="I201" s="18">
        <f>79.36+8069.57</f>
        <v>8148.9299999999994</v>
      </c>
      <c r="J201" s="18">
        <v>981.06</v>
      </c>
      <c r="K201" s="18"/>
      <c r="L201" s="13">
        <f>SUM(F201:K201)</f>
        <v>174955.91999999998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153906+158940+296693.07</f>
        <v>609539.07000000007</v>
      </c>
      <c r="G203" s="18">
        <f>81807.52+79146.82+123306.44</f>
        <v>284260.78000000003</v>
      </c>
      <c r="H203" s="18">
        <f>10852.5+2721.72+1000</f>
        <v>14574.22</v>
      </c>
      <c r="I203" s="18">
        <f>2229.84+2611.43+2821.39+760.89</f>
        <v>8423.5499999999993</v>
      </c>
      <c r="J203" s="18">
        <v>546.07000000000005</v>
      </c>
      <c r="K203" s="18"/>
      <c r="L203" s="13">
        <f t="shared" ref="L203:L209" si="0">SUM(F203:K203)</f>
        <v>917343.69000000006</v>
      </c>
      <c r="M203" s="8"/>
      <c r="N203" s="165"/>
    </row>
    <row r="204" spans="1:14" s="3" customFormat="1" ht="12.2" customHeight="1" x14ac:dyDescent="0.15">
      <c r="A204" s="1" t="s">
        <v>443</v>
      </c>
      <c r="B204" s="2" t="s">
        <v>341</v>
      </c>
      <c r="C204" s="2" t="s">
        <v>295</v>
      </c>
      <c r="D204" s="2" t="s">
        <v>431</v>
      </c>
      <c r="E204" s="6">
        <v>2200</v>
      </c>
      <c r="F204" s="18">
        <f>94198+73086+150168.2</f>
        <v>317452.2</v>
      </c>
      <c r="G204" s="18">
        <f>61901.43+53142.21+52531.71+2509.14</f>
        <v>170084.49000000002</v>
      </c>
      <c r="H204" s="18">
        <f>14291.71+14424.35+1107</f>
        <v>29823.059999999998</v>
      </c>
      <c r="I204" s="18">
        <f>40545.98+26197.51</f>
        <v>66743.490000000005</v>
      </c>
      <c r="J204" s="18">
        <f>64970.7+93283.75</f>
        <v>158254.45000000001</v>
      </c>
      <c r="K204" s="18">
        <f>89+992</f>
        <v>1081</v>
      </c>
      <c r="L204" s="13">
        <f t="shared" si="0"/>
        <v>743438.69000000018</v>
      </c>
      <c r="M204" s="8"/>
      <c r="N204" s="165"/>
    </row>
    <row r="205" spans="1:14" s="3" customFormat="1" ht="12.2" customHeight="1" x14ac:dyDescent="0.15">
      <c r="A205" s="1" t="s">
        <v>444</v>
      </c>
      <c r="B205" s="2" t="s">
        <v>341</v>
      </c>
      <c r="C205" s="2" t="s">
        <v>296</v>
      </c>
      <c r="D205" s="2" t="s">
        <v>431</v>
      </c>
      <c r="E205" s="6">
        <v>2300</v>
      </c>
      <c r="F205" s="18">
        <v>114844</v>
      </c>
      <c r="G205" s="18">
        <v>55175.93</v>
      </c>
      <c r="H205" s="18">
        <v>888505.08</v>
      </c>
      <c r="I205" s="18"/>
      <c r="J205" s="18"/>
      <c r="K205" s="18">
        <v>5958.88</v>
      </c>
      <c r="L205" s="13">
        <f t="shared" si="0"/>
        <v>1064483.8899999999</v>
      </c>
      <c r="M205" s="8"/>
      <c r="N205" s="165"/>
    </row>
    <row r="206" spans="1:14" s="3" customFormat="1" ht="12.2" customHeight="1" x14ac:dyDescent="0.15">
      <c r="A206" s="1" t="s">
        <v>445</v>
      </c>
      <c r="B206" s="2" t="s">
        <v>341</v>
      </c>
      <c r="C206" s="2" t="s">
        <v>297</v>
      </c>
      <c r="D206" s="2" t="s">
        <v>431</v>
      </c>
      <c r="E206" s="6">
        <v>2400</v>
      </c>
      <c r="F206" s="18">
        <f>206451.25+176639.18</f>
        <v>383090.43</v>
      </c>
      <c r="G206" s="18">
        <f>116067.97+97157.14</f>
        <v>213225.11</v>
      </c>
      <c r="H206" s="18">
        <f>16260.29+17160.43+7000</f>
        <v>40420.720000000001</v>
      </c>
      <c r="I206" s="18">
        <f>10264.08+16875.08</f>
        <v>27139.160000000003</v>
      </c>
      <c r="J206" s="18"/>
      <c r="K206" s="18">
        <f>560+74.98</f>
        <v>634.98</v>
      </c>
      <c r="L206" s="13">
        <f t="shared" si="0"/>
        <v>664510.4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96980.96+101978.76+80987</f>
        <v>279946.71999999997</v>
      </c>
      <c r="G208" s="18">
        <f>33424.13+36559.51+35535.11</f>
        <v>105518.75</v>
      </c>
      <c r="H208" s="18">
        <f>150380.35+163069.84+688.4+256.12</f>
        <v>314394.71000000002</v>
      </c>
      <c r="I208" s="18">
        <f>110787.08+119283.16</f>
        <v>230070.24</v>
      </c>
      <c r="J208" s="18">
        <v>7077.58</v>
      </c>
      <c r="K208" s="18"/>
      <c r="L208" s="13">
        <f t="shared" si="0"/>
        <v>937007.99999999988</v>
      </c>
      <c r="M208" s="8"/>
      <c r="N208" s="165"/>
    </row>
    <row r="209" spans="1:14" s="3" customFormat="1" ht="12.2" customHeight="1" x14ac:dyDescent="0.15">
      <c r="A209" s="1" t="s">
        <v>448</v>
      </c>
      <c r="B209" s="2" t="s">
        <v>341</v>
      </c>
      <c r="C209" s="2" t="s">
        <v>300</v>
      </c>
      <c r="D209" s="2" t="s">
        <v>431</v>
      </c>
      <c r="E209" s="6">
        <v>2700</v>
      </c>
      <c r="F209" s="18"/>
      <c r="G209" s="18"/>
      <c r="H209" s="18">
        <f>187879.94+225031.21+51.5</f>
        <v>412962.65</v>
      </c>
      <c r="I209" s="18"/>
      <c r="J209" s="18"/>
      <c r="K209" s="18"/>
      <c r="L209" s="13">
        <f t="shared" si="0"/>
        <v>412962.65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5830293.5</v>
      </c>
      <c r="G212" s="38">
        <f t="shared" si="1"/>
        <v>2835009.1399999997</v>
      </c>
      <c r="H212" s="38">
        <f t="shared" si="1"/>
        <v>2183826.2999999998</v>
      </c>
      <c r="I212" s="38">
        <f t="shared" si="1"/>
        <v>483615.4</v>
      </c>
      <c r="J212" s="38">
        <f t="shared" si="1"/>
        <v>251221.68000000002</v>
      </c>
      <c r="K212" s="38">
        <f t="shared" si="1"/>
        <v>7674.8600000000006</v>
      </c>
      <c r="L212" s="38">
        <f t="shared" si="1"/>
        <v>11591640.880000001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3200847.9</v>
      </c>
      <c r="I234" s="18"/>
      <c r="J234" s="18"/>
      <c r="K234" s="18"/>
      <c r="L234" s="13">
        <f>SUM(F234:K234)</f>
        <v>3200847.9</v>
      </c>
      <c r="M234" s="8"/>
      <c r="N234" s="165"/>
    </row>
    <row r="235" spans="1:14" s="3" customFormat="1" ht="12.2" customHeight="1" x14ac:dyDescent="0.15">
      <c r="A235" s="1" t="s">
        <v>439</v>
      </c>
      <c r="B235" s="2" t="s">
        <v>350</v>
      </c>
      <c r="C235" s="2" t="s">
        <v>291</v>
      </c>
      <c r="D235" s="2" t="s">
        <v>431</v>
      </c>
      <c r="E235" s="6">
        <v>1200</v>
      </c>
      <c r="F235" s="18"/>
      <c r="G235" s="18"/>
      <c r="H235" s="18">
        <f>5591.36+53857</f>
        <v>59448.36</v>
      </c>
      <c r="I235" s="18"/>
      <c r="J235" s="18"/>
      <c r="K235" s="18"/>
      <c r="L235" s="13">
        <f>SUM(F235:K235)</f>
        <v>59448.36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93495.82</v>
      </c>
      <c r="I245" s="18"/>
      <c r="J245" s="18"/>
      <c r="K245" s="18"/>
      <c r="L245" s="13">
        <f t="shared" si="4"/>
        <v>93495.82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3353792.0799999996</v>
      </c>
      <c r="I248" s="38">
        <f t="shared" si="5"/>
        <v>0</v>
      </c>
      <c r="J248" s="38">
        <f t="shared" si="5"/>
        <v>0</v>
      </c>
      <c r="K248" s="38">
        <f t="shared" si="5"/>
        <v>0</v>
      </c>
      <c r="L248" s="38">
        <f t="shared" si="5"/>
        <v>3353792.0799999996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254675</v>
      </c>
      <c r="I256" s="18"/>
      <c r="J256" s="18"/>
      <c r="K256" s="18"/>
      <c r="L256" s="13">
        <f t="shared" si="6"/>
        <v>254675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254675</v>
      </c>
      <c r="I257" s="38">
        <f t="shared" si="7"/>
        <v>0</v>
      </c>
      <c r="J257" s="38">
        <f t="shared" si="7"/>
        <v>0</v>
      </c>
      <c r="K257" s="38">
        <f t="shared" si="7"/>
        <v>0</v>
      </c>
      <c r="L257" s="38">
        <f>SUM(F257:K257)</f>
        <v>254675</v>
      </c>
      <c r="M257" s="8"/>
      <c r="N257" s="165"/>
    </row>
    <row r="258" spans="1:14" s="3" customFormat="1" ht="12.2" customHeight="1" thickTop="1" x14ac:dyDescent="0.15">
      <c r="A258" s="35" t="s">
        <v>462</v>
      </c>
      <c r="B258" s="37">
        <v>10</v>
      </c>
      <c r="C258" s="37">
        <v>8</v>
      </c>
      <c r="D258" s="36" t="s">
        <v>431</v>
      </c>
      <c r="E258" s="37"/>
      <c r="F258" s="38">
        <f t="shared" ref="F258:L258" si="8">F212+F230+F248+F257</f>
        <v>5830293.5</v>
      </c>
      <c r="G258" s="38">
        <f t="shared" si="8"/>
        <v>2835009.1399999997</v>
      </c>
      <c r="H258" s="38">
        <f t="shared" si="8"/>
        <v>5792293.379999999</v>
      </c>
      <c r="I258" s="38">
        <f t="shared" si="8"/>
        <v>483615.4</v>
      </c>
      <c r="J258" s="38">
        <f t="shared" si="8"/>
        <v>251221.68000000002</v>
      </c>
      <c r="K258" s="38">
        <f t="shared" si="8"/>
        <v>7674.8600000000006</v>
      </c>
      <c r="L258" s="38">
        <f t="shared" si="8"/>
        <v>15200107.960000001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40295.730000000003</v>
      </c>
      <c r="L264" s="13">
        <f>SUM(F264:K264)</f>
        <v>40295.730000000003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170000</v>
      </c>
      <c r="L267" s="13">
        <f t="shared" si="9"/>
        <v>170000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210295.73</v>
      </c>
      <c r="L271" s="38">
        <f t="shared" si="9"/>
        <v>210295.73</v>
      </c>
      <c r="M271" s="8"/>
      <c r="N271" s="165"/>
    </row>
    <row r="272" spans="1:14" s="33" customFormat="1" ht="12.2" customHeight="1" thickTop="1" x14ac:dyDescent="0.2">
      <c r="A272" s="40" t="s">
        <v>464</v>
      </c>
      <c r="B272" s="37">
        <v>10</v>
      </c>
      <c r="C272" s="37">
        <v>18</v>
      </c>
      <c r="D272" s="36" t="s">
        <v>431</v>
      </c>
      <c r="E272" s="37"/>
      <c r="F272" s="39">
        <f t="shared" ref="F272:L272" si="11">F258+F271</f>
        <v>5830293.5</v>
      </c>
      <c r="G272" s="39">
        <f t="shared" si="11"/>
        <v>2835009.1399999997</v>
      </c>
      <c r="H272" s="39">
        <f t="shared" si="11"/>
        <v>5792293.379999999</v>
      </c>
      <c r="I272" s="39">
        <f t="shared" si="11"/>
        <v>483615.4</v>
      </c>
      <c r="J272" s="39">
        <f t="shared" si="11"/>
        <v>251221.68000000002</v>
      </c>
      <c r="K272" s="39">
        <f t="shared" si="11"/>
        <v>217970.59000000003</v>
      </c>
      <c r="L272" s="39">
        <f t="shared" si="11"/>
        <v>15410403.690000001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7584</v>
      </c>
      <c r="G277" s="18">
        <v>580.16999999999996</v>
      </c>
      <c r="H277" s="18"/>
      <c r="I277" s="18"/>
      <c r="J277" s="18"/>
      <c r="K277" s="18"/>
      <c r="L277" s="13">
        <f>SUM(F277:K277)</f>
        <v>8164.17</v>
      </c>
      <c r="M277" s="8"/>
      <c r="N277" s="165"/>
    </row>
    <row r="278" spans="1:14" s="3" customFormat="1" ht="12.2" customHeight="1" x14ac:dyDescent="0.15">
      <c r="A278" s="1" t="s">
        <v>439</v>
      </c>
      <c r="B278" s="2" t="s">
        <v>357</v>
      </c>
      <c r="C278" s="2" t="s">
        <v>291</v>
      </c>
      <c r="D278" s="2" t="s">
        <v>431</v>
      </c>
      <c r="E278" s="6">
        <v>1200</v>
      </c>
      <c r="F278" s="18">
        <f>56230.69+15603.48</f>
        <v>71834.17</v>
      </c>
      <c r="G278" s="18">
        <f>11206.69+5201.17</f>
        <v>16407.86</v>
      </c>
      <c r="H278" s="18"/>
      <c r="I278" s="18">
        <f>4733.57+2106.26</f>
        <v>6839.83</v>
      </c>
      <c r="J278" s="18">
        <v>405.38</v>
      </c>
      <c r="K278" s="18"/>
      <c r="L278" s="13">
        <f>SUM(F278:K278)</f>
        <v>95487.24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14395.51</v>
      </c>
      <c r="G282" s="18">
        <v>6389.08</v>
      </c>
      <c r="H282" s="18">
        <f>22492.52+2342.24</f>
        <v>24834.760000000002</v>
      </c>
      <c r="I282" s="18"/>
      <c r="J282" s="18"/>
      <c r="K282" s="18"/>
      <c r="L282" s="13">
        <f t="shared" ref="L282:L288" si="12">SUM(F282:K282)</f>
        <v>45619.350000000006</v>
      </c>
      <c r="M282" s="8"/>
      <c r="N282" s="165"/>
    </row>
    <row r="283" spans="1:14" s="3" customFormat="1" ht="12.2" customHeight="1" x14ac:dyDescent="0.15">
      <c r="A283" s="1" t="s">
        <v>443</v>
      </c>
      <c r="B283" s="2" t="s">
        <v>357</v>
      </c>
      <c r="C283" s="2" t="s">
        <v>295</v>
      </c>
      <c r="D283" s="2" t="s">
        <v>431</v>
      </c>
      <c r="E283" s="6">
        <v>2200</v>
      </c>
      <c r="F283" s="18">
        <v>8400</v>
      </c>
      <c r="G283" s="18">
        <v>2297.5300000000002</v>
      </c>
      <c r="H283" s="18">
        <v>6949.3</v>
      </c>
      <c r="I283" s="18"/>
      <c r="J283" s="18"/>
      <c r="K283" s="18"/>
      <c r="L283" s="13">
        <f t="shared" si="12"/>
        <v>17646.830000000002</v>
      </c>
      <c r="M283" s="8"/>
      <c r="N283" s="165"/>
    </row>
    <row r="284" spans="1:14" s="3" customFormat="1" ht="12.2" customHeight="1" x14ac:dyDescent="0.15">
      <c r="A284" s="1" t="s">
        <v>444</v>
      </c>
      <c r="B284" s="2" t="s">
        <v>357</v>
      </c>
      <c r="C284" s="2" t="s">
        <v>296</v>
      </c>
      <c r="D284" s="2" t="s">
        <v>431</v>
      </c>
      <c r="E284" s="6">
        <v>2300</v>
      </c>
      <c r="F284" s="18">
        <v>1124.99</v>
      </c>
      <c r="G284" s="18">
        <v>86.06</v>
      </c>
      <c r="H284" s="18"/>
      <c r="I284" s="18"/>
      <c r="J284" s="18"/>
      <c r="K284" s="18"/>
      <c r="L284" s="13">
        <f t="shared" si="12"/>
        <v>1211.05</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14615.96</v>
      </c>
      <c r="G287" s="18">
        <v>1118.1099999999999</v>
      </c>
      <c r="H287" s="18"/>
      <c r="I287" s="18">
        <v>9099.5</v>
      </c>
      <c r="J287" s="18">
        <v>115109.92</v>
      </c>
      <c r="K287" s="18"/>
      <c r="L287" s="13">
        <f t="shared" si="12"/>
        <v>139943.49</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117954.63</v>
      </c>
      <c r="G291" s="39">
        <f t="shared" si="13"/>
        <v>26878.81</v>
      </c>
      <c r="H291" s="39">
        <f t="shared" si="13"/>
        <v>31784.06</v>
      </c>
      <c r="I291" s="39">
        <f t="shared" si="13"/>
        <v>15939.33</v>
      </c>
      <c r="J291" s="39">
        <f t="shared" si="13"/>
        <v>115515.3</v>
      </c>
      <c r="K291" s="39">
        <f t="shared" si="13"/>
        <v>0</v>
      </c>
      <c r="L291" s="38">
        <f t="shared" si="13"/>
        <v>308072.13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17750</v>
      </c>
      <c r="I337" s="18"/>
      <c r="J337" s="18"/>
      <c r="K337" s="18"/>
      <c r="L337" s="13">
        <f t="shared" si="18"/>
        <v>17750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17750</v>
      </c>
      <c r="I338" s="38">
        <f t="shared" si="19"/>
        <v>0</v>
      </c>
      <c r="J338" s="38">
        <f t="shared" si="19"/>
        <v>0</v>
      </c>
      <c r="K338" s="38">
        <f t="shared" si="19"/>
        <v>0</v>
      </c>
      <c r="L338" s="38">
        <f t="shared" si="18"/>
        <v>17750</v>
      </c>
      <c r="M338" s="8"/>
      <c r="N338" s="165"/>
    </row>
    <row r="339" spans="1:43" s="3" customFormat="1" ht="12.2" customHeight="1" thickTop="1" x14ac:dyDescent="0.15">
      <c r="A339" s="35" t="s">
        <v>468</v>
      </c>
      <c r="B339" s="37">
        <v>14</v>
      </c>
      <c r="C339" s="37">
        <v>7</v>
      </c>
      <c r="D339" s="36" t="s">
        <v>431</v>
      </c>
      <c r="E339" s="37"/>
      <c r="F339" s="38">
        <f t="shared" ref="F339:L339" si="20">F291+F310+F329+F338</f>
        <v>117954.63</v>
      </c>
      <c r="G339" s="38">
        <f t="shared" si="20"/>
        <v>26878.81</v>
      </c>
      <c r="H339" s="38">
        <f t="shared" si="20"/>
        <v>49534.06</v>
      </c>
      <c r="I339" s="38">
        <f t="shared" si="20"/>
        <v>15939.33</v>
      </c>
      <c r="J339" s="38">
        <f t="shared" si="20"/>
        <v>115515.3</v>
      </c>
      <c r="K339" s="38">
        <f t="shared" si="20"/>
        <v>0</v>
      </c>
      <c r="L339" s="38">
        <f t="shared" si="20"/>
        <v>325822.13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117954.63</v>
      </c>
      <c r="G353" s="38">
        <f>G339</f>
        <v>26878.81</v>
      </c>
      <c r="H353" s="38">
        <f>H339</f>
        <v>49534.06</v>
      </c>
      <c r="I353" s="38">
        <f>I339</f>
        <v>15939.33</v>
      </c>
      <c r="J353" s="38">
        <f>J339</f>
        <v>115515.3</v>
      </c>
      <c r="K353" s="38">
        <f>K339+K352</f>
        <v>0</v>
      </c>
      <c r="L353" s="38">
        <f>L339+L352</f>
        <v>325822.13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103247.55</v>
      </c>
      <c r="G359" s="18">
        <v>37303.35</v>
      </c>
      <c r="H359" s="18">
        <v>4765.3500000000004</v>
      </c>
      <c r="I359" s="18">
        <v>67389.86</v>
      </c>
      <c r="J359" s="18">
        <v>6770.51</v>
      </c>
      <c r="K359" s="18"/>
      <c r="L359" s="13">
        <f>SUM(F359:K359)</f>
        <v>219476.62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103247.55</v>
      </c>
      <c r="G363" s="38">
        <f t="shared" si="22"/>
        <v>37303.35</v>
      </c>
      <c r="H363" s="38">
        <f t="shared" si="22"/>
        <v>4765.3500000000004</v>
      </c>
      <c r="I363" s="38">
        <f t="shared" si="22"/>
        <v>67389.86</v>
      </c>
      <c r="J363" s="38">
        <f t="shared" si="22"/>
        <v>6770.51</v>
      </c>
      <c r="K363" s="38">
        <f t="shared" si="22"/>
        <v>0</v>
      </c>
      <c r="L363" s="38">
        <f t="shared" si="22"/>
        <v>219476.62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62163.38</v>
      </c>
      <c r="G368" s="18"/>
      <c r="H368" s="18"/>
      <c r="I368" s="13">
        <f>SUM(F368:H368)</f>
        <v>62163.38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5226.4799999999996</v>
      </c>
      <c r="G369" s="53"/>
      <c r="H369" s="53"/>
      <c r="I369" s="13">
        <f>SUM(F369:H369)</f>
        <v>5226.4799999999996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67389.86</v>
      </c>
      <c r="G370" s="38">
        <f>SUM(G368:G369)</f>
        <v>0</v>
      </c>
      <c r="H370" s="38">
        <f>SUM(H368:H369)</f>
        <v>0</v>
      </c>
      <c r="I370" s="38">
        <f>SUM(I368:I369)</f>
        <v>67389.86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90000</v>
      </c>
      <c r="H397" s="18">
        <v>7929.72</v>
      </c>
      <c r="I397" s="18"/>
      <c r="J397" s="23" t="s">
        <v>288</v>
      </c>
      <c r="K397" s="23" t="s">
        <v>288</v>
      </c>
      <c r="L397" s="13">
        <f t="shared" si="26"/>
        <v>97929.72</v>
      </c>
      <c r="M397" s="8"/>
      <c r="N397" s="165"/>
    </row>
    <row r="398" spans="1:14" s="3" customFormat="1" ht="12.2" customHeight="1" x14ac:dyDescent="0.15">
      <c r="A398" s="62" t="s">
        <v>515</v>
      </c>
      <c r="B398" s="2" t="s">
        <v>381</v>
      </c>
      <c r="C398" s="6">
        <v>10</v>
      </c>
      <c r="D398" s="2" t="s">
        <v>432</v>
      </c>
      <c r="E398" s="6"/>
      <c r="F398" s="18"/>
      <c r="G398" s="18"/>
      <c r="H398" s="18">
        <v>5268.52</v>
      </c>
      <c r="I398" s="18"/>
      <c r="J398" s="23" t="s">
        <v>288</v>
      </c>
      <c r="K398" s="23" t="s">
        <v>288</v>
      </c>
      <c r="L398" s="13">
        <f t="shared" si="26"/>
        <v>5268.52</v>
      </c>
      <c r="M398" s="8"/>
      <c r="N398" s="165"/>
    </row>
    <row r="399" spans="1:14" s="3" customFormat="1" ht="12.2" customHeight="1" x14ac:dyDescent="0.15">
      <c r="A399" s="62" t="s">
        <v>558</v>
      </c>
      <c r="B399" s="2" t="s">
        <v>381</v>
      </c>
      <c r="C399" s="6">
        <v>11</v>
      </c>
      <c r="D399" s="2" t="s">
        <v>432</v>
      </c>
      <c r="E399" s="6"/>
      <c r="F399" s="18"/>
      <c r="G399" s="18">
        <v>80000</v>
      </c>
      <c r="H399" s="18">
        <v>2878.51</v>
      </c>
      <c r="I399" s="18"/>
      <c r="J399" s="23" t="s">
        <v>288</v>
      </c>
      <c r="K399" s="23" t="s">
        <v>288</v>
      </c>
      <c r="L399" s="13">
        <f t="shared" si="26"/>
        <v>82878.509999999995</v>
      </c>
      <c r="M399" s="8"/>
      <c r="N399" s="165"/>
    </row>
    <row r="400" spans="1:14" s="3" customFormat="1" ht="12.2" customHeight="1" x14ac:dyDescent="0.15">
      <c r="A400" s="62" t="s">
        <v>559</v>
      </c>
      <c r="B400" s="2" t="s">
        <v>381</v>
      </c>
      <c r="C400" s="6">
        <v>12</v>
      </c>
      <c r="D400" s="2" t="s">
        <v>432</v>
      </c>
      <c r="E400" s="6"/>
      <c r="F400" s="18"/>
      <c r="G400" s="18"/>
      <c r="H400" s="18">
        <v>1964.91</v>
      </c>
      <c r="I400" s="18"/>
      <c r="J400" s="23" t="s">
        <v>288</v>
      </c>
      <c r="K400" s="23" t="s">
        <v>288</v>
      </c>
      <c r="L400" s="13">
        <f t="shared" si="26"/>
        <v>1964.91</v>
      </c>
      <c r="M400" s="8"/>
      <c r="N400" s="165"/>
    </row>
    <row r="401" spans="1:21" s="3" customFormat="1" ht="12.2" customHeight="1" thickBot="1" x14ac:dyDescent="0.2">
      <c r="A401" s="62" t="s">
        <v>510</v>
      </c>
      <c r="B401" s="2" t="s">
        <v>381</v>
      </c>
      <c r="C401" s="6">
        <v>13</v>
      </c>
      <c r="D401" s="2" t="s">
        <v>432</v>
      </c>
      <c r="E401" s="6"/>
      <c r="F401" s="18"/>
      <c r="G401" s="18"/>
      <c r="H401" s="18">
        <v>2583.31</v>
      </c>
      <c r="I401" s="18"/>
      <c r="J401" s="23" t="s">
        <v>288</v>
      </c>
      <c r="K401" s="23" t="s">
        <v>288</v>
      </c>
      <c r="L401" s="13">
        <f t="shared" si="26"/>
        <v>2583.31</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170000</v>
      </c>
      <c r="H402" s="38">
        <f>SUM(H396:H401)</f>
        <v>20624.970000000005</v>
      </c>
      <c r="I402" s="38">
        <f>SUM(I396:I401)</f>
        <v>0</v>
      </c>
      <c r="J402" s="42" t="s">
        <v>288</v>
      </c>
      <c r="K402" s="42" t="s">
        <v>288</v>
      </c>
      <c r="L402" s="38">
        <f>SUM(L396:L401)</f>
        <v>190624.97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170000</v>
      </c>
      <c r="H409" s="38">
        <f>H394+H402+H408</f>
        <v>20624.970000000005</v>
      </c>
      <c r="I409" s="38">
        <f>I394+I402+I408</f>
        <v>0</v>
      </c>
      <c r="J409" s="23" t="s">
        <v>288</v>
      </c>
      <c r="K409" s="23" t="s">
        <v>288</v>
      </c>
      <c r="L409" s="38">
        <f>L394+L402+L408</f>
        <v>190624.97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252525</v>
      </c>
      <c r="L423" s="13">
        <f t="shared" si="29"/>
        <v>252525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v>35000</v>
      </c>
      <c r="L426" s="13">
        <f t="shared" si="29"/>
        <v>35000</v>
      </c>
      <c r="M426" s="8"/>
      <c r="N426" s="165"/>
    </row>
    <row r="427" spans="1:21" s="3" customFormat="1" ht="12.2" customHeight="1" thickBot="1" x14ac:dyDescent="0.2">
      <c r="A427" s="62" t="s">
        <v>510</v>
      </c>
      <c r="B427" s="6">
        <v>17</v>
      </c>
      <c r="C427" s="6">
        <v>13</v>
      </c>
      <c r="D427" s="2" t="s">
        <v>432</v>
      </c>
      <c r="E427" s="6"/>
      <c r="F427" s="18"/>
      <c r="G427" s="18"/>
      <c r="H427" s="18"/>
      <c r="I427" s="18"/>
      <c r="J427" s="18"/>
      <c r="K427" s="18">
        <v>1492.17</v>
      </c>
      <c r="L427" s="13">
        <f t="shared" si="29"/>
        <v>1492.17</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289017.17</v>
      </c>
      <c r="L428" s="38">
        <f t="shared" si="30"/>
        <v>289017.17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289017.17</v>
      </c>
      <c r="L435" s="38">
        <f t="shared" si="32"/>
        <v>289017.17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478099.23</v>
      </c>
      <c r="H443" s="18"/>
      <c r="I443" s="13">
        <f t="shared" si="33"/>
        <v>478099.23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478099.23</v>
      </c>
      <c r="H447" s="13">
        <f>SUM(H440:H446)</f>
        <v>0</v>
      </c>
      <c r="I447" s="13">
        <f>SUM(I440:I446)</f>
        <v>478099.23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v>36492.17</v>
      </c>
      <c r="H450" s="18"/>
      <c r="I450" s="13">
        <f>SUM(F450:H450)</f>
        <v>36492.17</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36492.17</v>
      </c>
      <c r="H453" s="57">
        <f>SUM(H449:H452)</f>
        <v>0</v>
      </c>
      <c r="I453" s="57">
        <f>SUM(I449:I452)</f>
        <v>36492.17</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441607.06</v>
      </c>
      <c r="H460" s="18"/>
      <c r="I460" s="13">
        <f t="shared" si="34"/>
        <v>441607.06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441607.06</v>
      </c>
      <c r="H461" s="65">
        <f>SUM(H455:H460)</f>
        <v>0</v>
      </c>
      <c r="I461" s="65">
        <f>SUM(I455:I460)</f>
        <v>441607.06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478099.23</v>
      </c>
      <c r="H462" s="39">
        <f>H453+H461</f>
        <v>0</v>
      </c>
      <c r="I462" s="39">
        <f>I453+I461</f>
        <v>478099.23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1093864.47</v>
      </c>
      <c r="G466" s="18">
        <v>12694.08</v>
      </c>
      <c r="H466" s="18"/>
      <c r="I466" s="18"/>
      <c r="J466" s="18">
        <v>539999.26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15735294.800000001</v>
      </c>
      <c r="G469" s="18">
        <v>207931.64</v>
      </c>
      <c r="H469" s="18">
        <v>325822.13</v>
      </c>
      <c r="I469" s="18"/>
      <c r="J469" s="18">
        <f>170000+20624.97</f>
        <v>190624.97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15735294.800000001</v>
      </c>
      <c r="G471" s="19">
        <f>SUM(G469:G470)</f>
        <v>207931.64</v>
      </c>
      <c r="H471" s="19">
        <f>SUM(H469:H470)</f>
        <v>325822.13</v>
      </c>
      <c r="I471" s="19">
        <f>SUM(I469:I470)</f>
        <v>0</v>
      </c>
      <c r="J471" s="19">
        <f>SUM(J469:J470)</f>
        <v>190624.97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15355362.53+55041.16</f>
        <v>15410403.689999999</v>
      </c>
      <c r="G473" s="18">
        <v>219476.62</v>
      </c>
      <c r="H473" s="18">
        <f>279379.01+46443.12</f>
        <v>325822.13</v>
      </c>
      <c r="I473" s="18"/>
      <c r="J473" s="18">
        <f>252525+36492.17</f>
        <v>289017.17</v>
      </c>
      <c r="K473" s="23" t="s">
        <v>288</v>
      </c>
      <c r="L473" s="23" t="s">
        <v>288</v>
      </c>
      <c r="N473" s="131"/>
    </row>
    <row r="474" spans="1:14" ht="12.2" customHeight="1" x14ac:dyDescent="0.2">
      <c r="A474" s="71" t="s">
        <v>613</v>
      </c>
      <c r="B474" s="22">
        <v>19</v>
      </c>
      <c r="C474" s="31">
        <v>6</v>
      </c>
      <c r="D474" s="2" t="s">
        <v>432</v>
      </c>
      <c r="E474" s="31"/>
      <c r="F474" s="18"/>
      <c r="G474" s="18"/>
      <c r="H474" s="18" t="s">
        <v>286</v>
      </c>
      <c r="I474" s="18"/>
      <c r="J474" s="18"/>
      <c r="K474" s="23" t="s">
        <v>288</v>
      </c>
      <c r="L474" s="23" t="s">
        <v>288</v>
      </c>
      <c r="N474" s="131"/>
    </row>
    <row r="475" spans="1:14" ht="12.2" customHeight="1" x14ac:dyDescent="0.2">
      <c r="A475" s="32" t="s">
        <v>426</v>
      </c>
      <c r="B475" s="22">
        <v>19</v>
      </c>
      <c r="C475" s="31">
        <v>7</v>
      </c>
      <c r="D475" s="2" t="s">
        <v>432</v>
      </c>
      <c r="E475" s="31"/>
      <c r="F475" s="19">
        <f>SUM(F473:F474)</f>
        <v>15410403.689999999</v>
      </c>
      <c r="G475" s="19">
        <f>SUM(G473:G474)</f>
        <v>219476.62</v>
      </c>
      <c r="H475" s="19">
        <f>SUM(H473:H474)</f>
        <v>325822.13</v>
      </c>
      <c r="I475" s="19">
        <f>SUM(I473:I474)</f>
        <v>0</v>
      </c>
      <c r="J475" s="19">
        <f>SUM(J473:J474)</f>
        <v>289017.17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1418755.58</v>
      </c>
      <c r="G477" s="19">
        <f>(G466+G471)- G475</f>
        <v>1149.1000000000058</v>
      </c>
      <c r="H477" s="19">
        <f>(H466+H471)- H475</f>
        <v>0</v>
      </c>
      <c r="I477" s="19">
        <f>(I466+I471)- I475</f>
        <v>0</v>
      </c>
      <c r="J477" s="19">
        <f>(J466+J471)- J475</f>
        <v>441607.06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276698.15+347615.53+56230.69+15603.48</f>
        <v>696147.85000000009</v>
      </c>
      <c r="G522" s="18">
        <f>155882.95+171332.47+11206.69+5201.17</f>
        <v>343623.28</v>
      </c>
      <c r="H522" s="18">
        <f>162347.47+197018.51</f>
        <v>359365.98</v>
      </c>
      <c r="I522" s="18">
        <f>7567.29+7117.18+1280.96+4733.57+2106.26</f>
        <v>22805.260000000002</v>
      </c>
      <c r="J522" s="18">
        <f>667.85+405.38</f>
        <v>1073.23</v>
      </c>
      <c r="K522" s="18"/>
      <c r="L522" s="69">
        <f>SUM(F522:K522)</f>
        <v>1423015.6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59448.36</v>
      </c>
      <c r="I524" s="18"/>
      <c r="J524" s="18"/>
      <c r="K524" s="18"/>
      <c r="L524" s="69">
        <f>SUM(F524:K524)</f>
        <v>59448.36</v>
      </c>
      <c r="N524" s="131"/>
    </row>
    <row r="525" spans="1:14" ht="12.2" customHeight="1" thickTop="1" x14ac:dyDescent="0.2">
      <c r="A525" s="97" t="s">
        <v>63</v>
      </c>
      <c r="B525" s="41">
        <v>21</v>
      </c>
      <c r="C525" s="41">
        <v>4</v>
      </c>
      <c r="D525" s="115" t="s">
        <v>432</v>
      </c>
      <c r="E525" s="41"/>
      <c r="F525" s="81">
        <f>SUM(F522:F524)</f>
        <v>696147.85000000009</v>
      </c>
      <c r="G525" s="81">
        <f t="shared" ref="G525:L525" si="36">SUM(G522:G524)</f>
        <v>343623.28</v>
      </c>
      <c r="H525" s="81">
        <f t="shared" si="36"/>
        <v>418814.33999999997</v>
      </c>
      <c r="I525" s="81">
        <f t="shared" si="36"/>
        <v>22805.260000000002</v>
      </c>
      <c r="J525" s="81">
        <f t="shared" si="36"/>
        <v>1073.23</v>
      </c>
      <c r="K525" s="81">
        <f t="shared" si="36"/>
        <v>0</v>
      </c>
      <c r="L525" s="70">
        <f t="shared" si="36"/>
        <v>1482463.9600000002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153906+158940+296693.07+14395.51</f>
        <v>623934.58000000007</v>
      </c>
      <c r="G527" s="18">
        <f>81807.52+79146.82+123306.44+6389.08</f>
        <v>290649.86000000004</v>
      </c>
      <c r="H527" s="18">
        <f>10852.5+2721.72+1000+22492.52+2342.24</f>
        <v>39408.979999999996</v>
      </c>
      <c r="I527" s="18">
        <f>2229.84+2611.43+2821.39+760.89</f>
        <v>8423.5499999999993</v>
      </c>
      <c r="J527" s="18">
        <v>546.07000000000005</v>
      </c>
      <c r="K527" s="18"/>
      <c r="L527" s="69">
        <f>SUM(F527:K527)</f>
        <v>962963.04000000015</v>
      </c>
      <c r="M527" s="8"/>
      <c r="N527" s="165"/>
    </row>
    <row r="528" spans="1:14" s="3" customFormat="1" ht="12.2" customHeight="1" x14ac:dyDescent="0.15">
      <c r="A528" s="21" t="s">
        <v>634</v>
      </c>
      <c r="B528" s="22">
        <v>21</v>
      </c>
      <c r="C528" s="22">
        <v>6</v>
      </c>
      <c r="D528" s="2" t="s">
        <v>432</v>
      </c>
      <c r="E528" s="22"/>
      <c r="F528" s="18"/>
      <c r="G528" s="18"/>
      <c r="H528" s="18"/>
      <c r="I528" s="18" t="s">
        <v>286</v>
      </c>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623934.58000000007</v>
      </c>
      <c r="G530" s="70">
        <f t="shared" ref="G530:L530" si="37">SUM(G527:G529)</f>
        <v>290649.86000000004</v>
      </c>
      <c r="H530" s="70">
        <f t="shared" si="37"/>
        <v>39408.979999999996</v>
      </c>
      <c r="I530" s="70">
        <f t="shared" si="37"/>
        <v>8423.5499999999993</v>
      </c>
      <c r="J530" s="70">
        <f t="shared" si="37"/>
        <v>546.07000000000005</v>
      </c>
      <c r="K530" s="70">
        <f t="shared" si="37"/>
        <v>0</v>
      </c>
      <c r="L530" s="70">
        <f t="shared" si="37"/>
        <v>962963.04000000015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105562</v>
      </c>
      <c r="G532" s="18">
        <v>54492.46</v>
      </c>
      <c r="H532" s="18"/>
      <c r="I532" s="18"/>
      <c r="J532" s="18"/>
      <c r="K532" s="18"/>
      <c r="L532" s="69">
        <f>SUM(F532:K532)</f>
        <v>160054.46</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105562</v>
      </c>
      <c r="G535" s="70">
        <f t="shared" ref="G535:L535" si="38">SUM(G532:G534)</f>
        <v>54492.46</v>
      </c>
      <c r="H535" s="70">
        <f t="shared" si="38"/>
        <v>0</v>
      </c>
      <c r="I535" s="70">
        <f t="shared" si="38"/>
        <v>0</v>
      </c>
      <c r="J535" s="70">
        <f t="shared" si="38"/>
        <v>0</v>
      </c>
      <c r="K535" s="70">
        <f t="shared" si="38"/>
        <v>0</v>
      </c>
      <c r="L535" s="70">
        <f t="shared" si="38"/>
        <v>160054.46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58855</v>
      </c>
      <c r="I542" s="18"/>
      <c r="J542" s="18"/>
      <c r="K542" s="18"/>
      <c r="L542" s="69">
        <f>SUM(F542:K542)</f>
        <v>58855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58855</v>
      </c>
      <c r="I545" s="141">
        <f t="shared" si="40"/>
        <v>0</v>
      </c>
      <c r="J545" s="141">
        <f t="shared" si="40"/>
        <v>0</v>
      </c>
      <c r="K545" s="141">
        <f t="shared" si="40"/>
        <v>0</v>
      </c>
      <c r="L545" s="141">
        <f t="shared" si="40"/>
        <v>58855</v>
      </c>
      <c r="M545" s="8"/>
      <c r="N545" s="165"/>
    </row>
    <row r="546" spans="1:14" s="3" customFormat="1" ht="12.2" customHeight="1" thickTop="1" x14ac:dyDescent="0.15">
      <c r="A546" s="75" t="s">
        <v>72</v>
      </c>
      <c r="B546" s="41">
        <v>21</v>
      </c>
      <c r="C546" s="41">
        <v>21</v>
      </c>
      <c r="D546" s="115" t="s">
        <v>432</v>
      </c>
      <c r="E546" s="41"/>
      <c r="F546" s="70">
        <f>F525+F530+F535+F540+F545</f>
        <v>1425644.4300000002</v>
      </c>
      <c r="G546" s="70">
        <f t="shared" ref="G546:L546" si="41">G525+G530+G535+G540+G545</f>
        <v>688765.60000000009</v>
      </c>
      <c r="H546" s="70">
        <f t="shared" si="41"/>
        <v>517078.31999999995</v>
      </c>
      <c r="I546" s="70">
        <f t="shared" si="41"/>
        <v>31228.81</v>
      </c>
      <c r="J546" s="70">
        <f t="shared" si="41"/>
        <v>1619.3000000000002</v>
      </c>
      <c r="K546" s="70">
        <f t="shared" si="41"/>
        <v>0</v>
      </c>
      <c r="L546" s="70">
        <f t="shared" si="41"/>
        <v>2664336.4600000004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1423015.6</v>
      </c>
      <c r="G550" s="69">
        <f>L527</f>
        <v>962963.04000000015</v>
      </c>
      <c r="H550" s="69">
        <f>L532</f>
        <v>160054.46</v>
      </c>
      <c r="I550" s="69">
        <f>L537</f>
        <v>0</v>
      </c>
      <c r="J550" s="69">
        <f>L542</f>
        <v>58855</v>
      </c>
      <c r="K550" s="69">
        <f>SUM(F550:J550)</f>
        <v>2604888.1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59448.36</v>
      </c>
      <c r="G552" s="69">
        <f>L529</f>
        <v>0</v>
      </c>
      <c r="H552" s="69">
        <f>L534</f>
        <v>0</v>
      </c>
      <c r="I552" s="69">
        <f>L539</f>
        <v>0</v>
      </c>
      <c r="J552" s="69">
        <f>L544</f>
        <v>0</v>
      </c>
      <c r="K552" s="69">
        <f>SUM(F552:J552)</f>
        <v>59448.36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1482463.9600000002</v>
      </c>
      <c r="G553" s="70">
        <f t="shared" si="42"/>
        <v>962963.04000000015</v>
      </c>
      <c r="H553" s="70">
        <f t="shared" si="42"/>
        <v>160054.46</v>
      </c>
      <c r="I553" s="70">
        <f t="shared" si="42"/>
        <v>0</v>
      </c>
      <c r="J553" s="70">
        <f t="shared" si="42"/>
        <v>58855</v>
      </c>
      <c r="K553" s="70">
        <f t="shared" si="42"/>
        <v>2664336.46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3200847.9</v>
      </c>
      <c r="I576" s="69">
        <f>SUM(F576:H576)</f>
        <v>3200847.9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4"/>
      <c r="G579" s="18"/>
      <c r="H579" s="4"/>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53857</v>
      </c>
      <c r="I580" s="69">
        <f>SUM(F580:H580)</f>
        <v>53857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189673.12+5100</f>
        <v>194773.12</v>
      </c>
      <c r="G583" s="18"/>
      <c r="H583" s="18"/>
      <c r="I583" s="69">
        <f>SUM(F583:H583)</f>
        <v>194773.12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184743.77+151153.78</f>
        <v>335897.55</v>
      </c>
      <c r="I592" s="18"/>
      <c r="J592" s="18">
        <v>93495.82</v>
      </c>
      <c r="K592" s="80">
        <f t="shared" ref="K592:K598" si="48">SUM(H592:J592)</f>
        <v>429393.37</v>
      </c>
      <c r="L592" s="23" t="s">
        <v>288</v>
      </c>
      <c r="M592" s="8"/>
      <c r="N592" s="165"/>
    </row>
    <row r="593" spans="1:14" s="3" customFormat="1" ht="12.2" customHeight="1" x14ac:dyDescent="0.15">
      <c r="A593" s="3" t="s">
        <v>638</v>
      </c>
      <c r="B593" s="22">
        <v>23</v>
      </c>
      <c r="C593" s="22">
        <v>2</v>
      </c>
      <c r="D593" s="2" t="s">
        <v>432</v>
      </c>
      <c r="E593" s="22"/>
      <c r="F593" s="78">
        <v>2722</v>
      </c>
      <c r="G593" s="79" t="s">
        <v>97</v>
      </c>
      <c r="H593" s="18">
        <v>58855</v>
      </c>
      <c r="I593" s="18"/>
      <c r="J593" s="18"/>
      <c r="K593" s="80">
        <f t="shared" si="48"/>
        <v>58855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4592.45+3136.17+10429.98+51.5</f>
        <v>18210.099999999999</v>
      </c>
      <c r="I596" s="18"/>
      <c r="J596" s="18"/>
      <c r="K596" s="80">
        <f t="shared" si="48"/>
        <v>18210.099999999999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412962.64999999997</v>
      </c>
      <c r="I599" s="81">
        <f>SUM(I592:I598)</f>
        <v>0</v>
      </c>
      <c r="J599" s="81">
        <f>SUM(J592:J598)</f>
        <v>93495.82</v>
      </c>
      <c r="K599" s="81">
        <f>SUM(K592:K598)</f>
        <v>506458.47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251221.68+115109.92+405.38</f>
        <v>366736.98</v>
      </c>
      <c r="I605" s="18"/>
      <c r="J605" s="18"/>
      <c r="K605" s="80">
        <f>SUM(H605:J605)</f>
        <v>366736.98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366736.98</v>
      </c>
      <c r="I606" s="81">
        <f>SUM(I603:I605)</f>
        <v>0</v>
      </c>
      <c r="J606" s="81">
        <f>SUM(J603:J605)</f>
        <v>0</v>
      </c>
      <c r="K606" s="81">
        <f>SUM(K603:K605)</f>
        <v>366736.98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1933889.3499999999</v>
      </c>
      <c r="H618" s="80">
        <f>SUM(F52)</f>
        <v>1933889.35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6491.48</v>
      </c>
      <c r="H619" s="80">
        <f>SUM(G52)</f>
        <v>6491.4800000000014</v>
      </c>
      <c r="I619" s="87" t="s">
        <v>875</v>
      </c>
      <c r="J619" s="80">
        <f>G619-H619</f>
        <v>0</v>
      </c>
      <c r="K619" s="80"/>
      <c r="L619" s="80"/>
      <c r="M619" s="8"/>
    </row>
    <row r="620" spans="1:14" s="3" customFormat="1" ht="12.2" customHeight="1" x14ac:dyDescent="0.15">
      <c r="A620" s="74"/>
      <c r="B620" s="22"/>
      <c r="C620" s="22"/>
      <c r="D620" s="22"/>
      <c r="E620" s="22"/>
      <c r="F620" s="87" t="s">
        <v>685</v>
      </c>
      <c r="G620" s="80">
        <f>SUM(H19)</f>
        <v>198105.14</v>
      </c>
      <c r="H620" s="80">
        <f>SUM(H52)</f>
        <v>198105.14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478099.23</v>
      </c>
      <c r="H622" s="80">
        <f>SUM(J52)</f>
        <v>478099.23</v>
      </c>
      <c r="I622" s="87" t="s">
        <v>878</v>
      </c>
      <c r="J622" s="80">
        <f>G622-H622</f>
        <v>0</v>
      </c>
      <c r="K622" s="80"/>
      <c r="L622" s="80"/>
      <c r="M622" s="8"/>
    </row>
    <row r="623" spans="1:14" s="3" customFormat="1" ht="12.2" customHeight="1" x14ac:dyDescent="0.15">
      <c r="A623" s="74"/>
      <c r="B623" s="22"/>
      <c r="C623" s="22"/>
      <c r="D623" s="22"/>
      <c r="E623" s="22"/>
      <c r="F623" s="87" t="s">
        <v>864</v>
      </c>
      <c r="G623" s="80">
        <f>F51</f>
        <v>1418755.58</v>
      </c>
      <c r="H623" s="80">
        <f>F477</f>
        <v>1418755.58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1149.0999999999999</v>
      </c>
      <c r="H624" s="80">
        <f>G477</f>
        <v>1149.1000000000058</v>
      </c>
      <c r="I624" s="87" t="s">
        <v>102</v>
      </c>
      <c r="J624" s="80">
        <f t="shared" si="50"/>
        <v>-5.9117155615240335E-12</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441607.06</v>
      </c>
      <c r="H627" s="80">
        <f>J477</f>
        <v>441607.06</v>
      </c>
      <c r="I627" s="87" t="s">
        <v>105</v>
      </c>
      <c r="J627" s="80">
        <f t="shared" si="50"/>
        <v>0</v>
      </c>
      <c r="K627" s="67"/>
      <c r="L627" s="69"/>
      <c r="M627" s="8"/>
    </row>
    <row r="628" spans="1:13" s="3" customFormat="1" ht="12.2" customHeight="1" x14ac:dyDescent="0.15">
      <c r="A628" s="21"/>
      <c r="B628" s="22"/>
      <c r="C628" s="22"/>
      <c r="D628" s="22"/>
      <c r="E628" s="22"/>
      <c r="F628" s="86" t="s">
        <v>658</v>
      </c>
      <c r="G628" s="80">
        <f>F194</f>
        <v>15735294.799999999</v>
      </c>
      <c r="H628" s="80">
        <f>SUM(F469)</f>
        <v>15735294.800000001</v>
      </c>
      <c r="I628" s="87" t="s">
        <v>106</v>
      </c>
      <c r="J628" s="80">
        <f>G628-H628</f>
        <v>0</v>
      </c>
      <c r="K628" s="67"/>
      <c r="L628" s="69"/>
      <c r="M628" s="8"/>
    </row>
    <row r="629" spans="1:13" s="3" customFormat="1" ht="12.2" customHeight="1" x14ac:dyDescent="0.15">
      <c r="A629" s="21"/>
      <c r="B629" s="22"/>
      <c r="C629" s="22"/>
      <c r="D629" s="22"/>
      <c r="E629" s="22"/>
      <c r="F629" s="86" t="s">
        <v>659</v>
      </c>
      <c r="G629" s="80">
        <f>G194</f>
        <v>207931.64</v>
      </c>
      <c r="H629" s="80">
        <f>SUM(G469)</f>
        <v>207931.64</v>
      </c>
      <c r="I629" s="87" t="s">
        <v>107</v>
      </c>
      <c r="J629" s="80">
        <f>G629-H629</f>
        <v>0</v>
      </c>
      <c r="K629" s="67"/>
      <c r="L629" s="69"/>
      <c r="M629" s="8"/>
    </row>
    <row r="630" spans="1:13" s="3" customFormat="1" ht="12.2" customHeight="1" x14ac:dyDescent="0.15">
      <c r="A630" s="21"/>
      <c r="B630" s="22"/>
      <c r="C630" s="22"/>
      <c r="D630" s="22"/>
      <c r="E630" s="22"/>
      <c r="F630" s="86" t="s">
        <v>660</v>
      </c>
      <c r="G630" s="80">
        <f>H194</f>
        <v>325822.12999999995</v>
      </c>
      <c r="H630" s="80">
        <f>SUM(H469)</f>
        <v>325822.13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190624.97</v>
      </c>
      <c r="H632" s="80">
        <f>SUM(J469)</f>
        <v>190624.97</v>
      </c>
      <c r="I632" s="87" t="s">
        <v>110</v>
      </c>
      <c r="J632" s="80">
        <f>G632-H632</f>
        <v>0</v>
      </c>
      <c r="K632" s="67"/>
      <c r="L632" s="69"/>
      <c r="M632" s="8"/>
    </row>
    <row r="633" spans="1:13" s="3" customFormat="1" ht="12.2" customHeight="1" x14ac:dyDescent="0.15">
      <c r="A633" s="21"/>
      <c r="B633" s="22"/>
      <c r="C633" s="22"/>
      <c r="D633" s="22"/>
      <c r="E633" s="22"/>
      <c r="F633" s="86" t="s">
        <v>394</v>
      </c>
      <c r="G633" s="80">
        <f>SUM(L272)</f>
        <v>15410403.690000001</v>
      </c>
      <c r="H633" s="80">
        <f>SUM(F473)</f>
        <v>15410403.689999999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325822.13</v>
      </c>
      <c r="H634" s="80">
        <f>SUM(H473)</f>
        <v>325822.13</v>
      </c>
      <c r="I634" s="87" t="s">
        <v>112</v>
      </c>
      <c r="J634" s="80">
        <f>G634-H634</f>
        <v>0</v>
      </c>
      <c r="K634" s="67"/>
      <c r="L634" s="69"/>
      <c r="M634" s="8"/>
    </row>
    <row r="635" spans="1:13" s="124" customFormat="1" ht="12.2" customHeight="1" x14ac:dyDescent="0.15">
      <c r="A635" s="21"/>
      <c r="B635" s="22"/>
      <c r="C635" s="22"/>
      <c r="D635" s="22"/>
      <c r="E635" s="22"/>
      <c r="F635" s="99" t="s">
        <v>247</v>
      </c>
      <c r="G635" s="80">
        <f>I363</f>
        <v>67389.86</v>
      </c>
      <c r="H635" s="80">
        <f>I370</f>
        <v>67389.86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219476.62</v>
      </c>
      <c r="H636" s="80">
        <f>SUM(G473)</f>
        <v>219476.62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190624.97</v>
      </c>
      <c r="H638" s="108">
        <f>SUM(J469)</f>
        <v>190624.97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289017.17</v>
      </c>
      <c r="H639" s="108">
        <f>SUM(J473)</f>
        <v>289017.17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478099.23</v>
      </c>
      <c r="H641" s="80">
        <f>SUM(G462)</f>
        <v>478099.23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478099.23</v>
      </c>
      <c r="H643" s="80">
        <f>SUM(I462)</f>
        <v>478099.23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20624.97</v>
      </c>
      <c r="H645" s="80">
        <f>H409</f>
        <v>20624.970000000005</v>
      </c>
      <c r="I645" s="87" t="s">
        <v>480</v>
      </c>
      <c r="J645" s="80">
        <f t="shared" si="50"/>
        <v>0</v>
      </c>
      <c r="K645" s="67"/>
      <c r="L645" s="69"/>
      <c r="M645" s="8"/>
    </row>
    <row r="646" spans="1:13" s="3" customFormat="1" ht="12.2" customHeight="1" x14ac:dyDescent="0.15">
      <c r="A646" s="21"/>
      <c r="B646" s="22"/>
      <c r="C646" s="22"/>
      <c r="D646" s="22"/>
      <c r="E646" s="22"/>
      <c r="F646" s="86" t="s">
        <v>664</v>
      </c>
      <c r="G646" s="80">
        <f>J184</f>
        <v>170000</v>
      </c>
      <c r="H646" s="80">
        <f>G409</f>
        <v>170000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190624.97</v>
      </c>
      <c r="H647" s="80">
        <f>L409</f>
        <v>190624.97</v>
      </c>
      <c r="I647" s="87" t="s">
        <v>477</v>
      </c>
      <c r="J647" s="80">
        <f t="shared" si="50"/>
        <v>0</v>
      </c>
      <c r="K647" s="67"/>
      <c r="L647" s="69"/>
      <c r="M647" s="8"/>
    </row>
    <row r="648" spans="1:13" s="3" customFormat="1" ht="12.2" customHeight="1" x14ac:dyDescent="0.15">
      <c r="A648" s="21"/>
      <c r="B648" s="22"/>
      <c r="C648" s="22"/>
      <c r="D648" s="22"/>
      <c r="E648" s="22"/>
      <c r="F648" s="86" t="s">
        <v>51</v>
      </c>
      <c r="G648" s="80">
        <f>K599</f>
        <v>506458.47</v>
      </c>
      <c r="H648" s="80">
        <f>L209+L227+L245</f>
        <v>506458.47000000003</v>
      </c>
      <c r="I648" s="87" t="s">
        <v>396</v>
      </c>
      <c r="J648" s="80">
        <f t="shared" si="50"/>
        <v>0</v>
      </c>
      <c r="K648" s="67"/>
      <c r="L648" s="69"/>
      <c r="M648" s="8"/>
    </row>
    <row r="649" spans="1:13" s="3" customFormat="1" ht="12.2" customHeight="1" x14ac:dyDescent="0.15">
      <c r="A649" s="21"/>
      <c r="B649" s="22"/>
      <c r="C649" s="22"/>
      <c r="D649" s="22"/>
      <c r="E649" s="22"/>
      <c r="F649" s="86" t="s">
        <v>52</v>
      </c>
      <c r="G649" s="80">
        <f>K606</f>
        <v>366736.98</v>
      </c>
      <c r="H649" s="80">
        <f>(J258+J339)-(J256+J337)</f>
        <v>366736.98000000004</v>
      </c>
      <c r="I649" s="87" t="s">
        <v>699</v>
      </c>
      <c r="J649" s="80">
        <f t="shared" si="50"/>
        <v>0</v>
      </c>
      <c r="K649" s="67"/>
      <c r="L649" s="69"/>
      <c r="M649" s="8"/>
    </row>
    <row r="650" spans="1:13" s="3" customFormat="1" ht="12.2" customHeight="1" x14ac:dyDescent="0.15">
      <c r="A650" s="21"/>
      <c r="B650" s="22"/>
      <c r="C650" s="22"/>
      <c r="D650" s="22"/>
      <c r="E650" s="22"/>
      <c r="F650" s="86" t="s">
        <v>387</v>
      </c>
      <c r="G650" s="80">
        <f>L209</f>
        <v>412962.65</v>
      </c>
      <c r="H650" s="80">
        <f>H599</f>
        <v>412962.64999999997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93495.82</v>
      </c>
      <c r="H652" s="80">
        <f>J599</f>
        <v>93495.82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40295.730000000003</v>
      </c>
      <c r="H653" s="80">
        <f>K264+K346</f>
        <v>40295.730000000003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170000</v>
      </c>
      <c r="H656" s="80">
        <f>K267+K348</f>
        <v>170000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12119189.630000001</v>
      </c>
      <c r="G661" s="13">
        <f>(L230+L310+L360)</f>
        <v>0</v>
      </c>
      <c r="H661" s="13">
        <f>(L248+L329+L361)</f>
        <v>3353792.0799999996</v>
      </c>
      <c r="I661" s="13">
        <f>SUM(F661:H661)</f>
        <v>15472981.710000001</v>
      </c>
      <c r="J661" s="13"/>
      <c r="K661" s="13"/>
      <c r="L661" s="13"/>
      <c r="M661" s="9"/>
    </row>
    <row r="662" spans="1:13" s="3" customFormat="1" ht="12.2" customHeight="1" x14ac:dyDescent="0.2">
      <c r="A662" s="1" t="s">
        <v>127</v>
      </c>
      <c r="F662" s="13">
        <f>(L359/IF(SUM(L359:L361)=0,1,SUM(L359:L361))*(SUM(G97:G110)))</f>
        <v>108787.63</v>
      </c>
      <c r="G662" s="13">
        <f>(L360/IF(SUM(L359:L361)=0,1,SUM(L359:L361))*(SUM(G97:G110)))</f>
        <v>0</v>
      </c>
      <c r="H662" s="13">
        <f>(L361/IF(SUM(L359:L361)=0,1,SUM(L359:L361))*(SUM(G97:G110)))</f>
        <v>0</v>
      </c>
      <c r="I662" s="13">
        <f>SUM(F662:H662)</f>
        <v>108787.63</v>
      </c>
      <c r="J662"/>
      <c r="K662" s="13"/>
      <c r="L662" s="13"/>
      <c r="M662" s="8"/>
    </row>
    <row r="663" spans="1:13" s="3" customFormat="1" ht="12.2" customHeight="1" x14ac:dyDescent="0.2">
      <c r="A663" s="1" t="s">
        <v>128</v>
      </c>
      <c r="F663" s="13">
        <f>(L209+L288)-(J209+J288)</f>
        <v>412962.65</v>
      </c>
      <c r="G663" s="13">
        <f>(L227+L307)-(J227+J307)</f>
        <v>0</v>
      </c>
      <c r="H663" s="13">
        <f>(L245+L326)-(J245+J326)</f>
        <v>93495.82</v>
      </c>
      <c r="I663" s="13">
        <f>SUM(F663:H663)</f>
        <v>506458.47000000003</v>
      </c>
      <c r="J663"/>
      <c r="K663" s="13"/>
      <c r="L663" s="13"/>
      <c r="M663" s="9"/>
    </row>
    <row r="664" spans="1:13" s="3" customFormat="1" ht="12.2" customHeight="1" x14ac:dyDescent="0.15">
      <c r="A664" s="142" t="s">
        <v>129</v>
      </c>
      <c r="B664" s="124"/>
      <c r="C664" s="124"/>
      <c r="D664" s="124"/>
      <c r="E664" s="124"/>
      <c r="F664" s="143">
        <f>SUM(F576:F588)+SUM(H603:H605)+SUM(L612)</f>
        <v>561510.1</v>
      </c>
      <c r="G664" s="143">
        <f>SUM(G576:G588)+SUM(I603:I605)+L613</f>
        <v>0</v>
      </c>
      <c r="H664" s="143">
        <f>SUM(H576:H588)+SUM(J603:J605)+L614</f>
        <v>3254704.9</v>
      </c>
      <c r="I664" s="13">
        <f>SUM(F664:H664)</f>
        <v>3816215</v>
      </c>
      <c r="J664" s="13"/>
      <c r="K664" s="13"/>
      <c r="L664" s="13"/>
      <c r="M664" s="9"/>
    </row>
    <row r="665" spans="1:13" s="3" customFormat="1" ht="12.2" customHeight="1" x14ac:dyDescent="0.15">
      <c r="A665" s="1" t="s">
        <v>130</v>
      </c>
      <c r="F665" s="13">
        <f>F661-SUM(F662:F664)</f>
        <v>11035929.25</v>
      </c>
      <c r="G665" s="13">
        <f>G661-SUM(G662:G664)</f>
        <v>0</v>
      </c>
      <c r="H665" s="13">
        <f>H661-SUM(H662:H664)</f>
        <v>5591.3599999998696</v>
      </c>
      <c r="I665" s="13">
        <f>I661-SUM(I662:I664)</f>
        <v>11041520.610000001</v>
      </c>
      <c r="J665" s="13"/>
      <c r="K665" s="13"/>
      <c r="L665" s="13"/>
      <c r="M665" s="8"/>
    </row>
    <row r="666" spans="1:13" s="3" customFormat="1" ht="12.2" customHeight="1" x14ac:dyDescent="0.2">
      <c r="A666" s="1" t="s">
        <v>131</v>
      </c>
      <c r="F666" s="183">
        <v>393.44</v>
      </c>
      <c r="G666" s="184"/>
      <c r="H666" s="184"/>
      <c r="I666" s="13">
        <f>SUM(F666:H666)</f>
        <v>393.44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28049.84</v>
      </c>
      <c r="G668" s="13" t="e">
        <f>ROUND(G665/G666,2)</f>
        <v>#DIV/0!</v>
      </c>
      <c r="H668" s="13" t="e">
        <f>ROUND(H665/H666,2)</f>
        <v>#DIV/0!</v>
      </c>
      <c r="I668" s="13">
        <f>ROUND(I665/I666,2)</f>
        <v>28064.05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-5591.3599999998696</v>
      </c>
      <c r="I670" s="13">
        <f>SUM(F670:H670)</f>
        <v>-5591.3599999998696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28049.84</v>
      </c>
      <c r="G673" s="13" t="e">
        <f>ROUND((G665+G670)/(G666+G671),2)</f>
        <v>#DIV/0!</v>
      </c>
      <c r="H673" s="13" t="e">
        <f>ROUND((H665+H670)/(H666+H671),2)</f>
        <v>#DIV/0!</v>
      </c>
      <c r="I673" s="13">
        <f>ROUND((I665+I670)/(I666+I671),2)</f>
        <v>28049.84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9" sqref="A9"/>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14406.83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14406.83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Rye</v>
      </c>
      <c r="C5" s="317"/>
      <c r="D5" s="317"/>
      <c r="E5" s="317"/>
      <c r="F5" s="317"/>
    </row>
    <row r="8" spans="1:9" ht="18" x14ac:dyDescent="0.25">
      <c r="A8" s="240" t="s">
        <v>1560</v>
      </c>
      <c r="F8" s="247" t="s">
        <v>1578</v>
      </c>
    </row>
    <row r="9" spans="1:9" ht="15" x14ac:dyDescent="0.2">
      <c r="A9" s="238" t="s">
        <v>1561</v>
      </c>
      <c r="B9" s="241">
        <f>'DOE25'!G97</f>
        <v>108787.63</v>
      </c>
      <c r="F9" s="238" t="s">
        <v>1574</v>
      </c>
    </row>
    <row r="10" spans="1:9" ht="15" x14ac:dyDescent="0.2">
      <c r="A10" s="238" t="s">
        <v>1562</v>
      </c>
      <c r="B10" s="241">
        <f>'DOE25'!G112-'DOE25'!G97</f>
        <v>0</v>
      </c>
      <c r="F10" s="238" t="s">
        <v>1575</v>
      </c>
    </row>
    <row r="11" spans="1:9" ht="15" x14ac:dyDescent="0.2">
      <c r="A11" s="238" t="s">
        <v>1563</v>
      </c>
      <c r="B11" s="241">
        <f>'DOE25'!G140</f>
        <v>1536.89</v>
      </c>
      <c r="F11" s="238" t="s">
        <v>1576</v>
      </c>
    </row>
    <row r="12" spans="1:9" ht="15" x14ac:dyDescent="0.2">
      <c r="A12" s="238" t="s">
        <v>1564</v>
      </c>
      <c r="B12" s="241">
        <f>'DOE25'!G170</f>
        <v>57311.39</v>
      </c>
      <c r="F12" s="238" t="s">
        <v>1577</v>
      </c>
    </row>
    <row r="13" spans="1:9" ht="15" x14ac:dyDescent="0.2">
      <c r="A13" s="238" t="s">
        <v>1565</v>
      </c>
      <c r="B13" s="241">
        <f>'DOE25'!G193-'DOE25'!G180</f>
        <v>0</v>
      </c>
      <c r="F13" s="238" t="s">
        <v>1587</v>
      </c>
    </row>
    <row r="14" spans="1:9" ht="18" x14ac:dyDescent="0.25">
      <c r="A14" s="240" t="s">
        <v>732</v>
      </c>
      <c r="B14" s="242">
        <f>SUM(B9:B13)</f>
        <v>167635.91</v>
      </c>
    </row>
    <row r="16" spans="1:9" ht="18" x14ac:dyDescent="0.25">
      <c r="A16" s="240" t="s">
        <v>786</v>
      </c>
      <c r="F16" s="247" t="s">
        <v>1579</v>
      </c>
    </row>
    <row r="17" spans="1:6" ht="15" x14ac:dyDescent="0.2">
      <c r="A17" s="238" t="s">
        <v>1566</v>
      </c>
      <c r="B17" s="241">
        <f>'DOE25'!L363-'DOE25'!L362</f>
        <v>219476.62</v>
      </c>
      <c r="F17" s="238" t="s">
        <v>1580</v>
      </c>
    </row>
    <row r="18" spans="1:6" ht="15" x14ac:dyDescent="0.2">
      <c r="A18" s="238" t="s">
        <v>1567</v>
      </c>
      <c r="B18" s="251">
        <v>0</v>
      </c>
      <c r="F18" s="247" t="s">
        <v>1604</v>
      </c>
    </row>
    <row r="19" spans="1:6" ht="18" x14ac:dyDescent="0.25">
      <c r="A19" s="240" t="s">
        <v>725</v>
      </c>
      <c r="B19" s="242">
        <f>SUM(B17:B18)</f>
        <v>219476.62</v>
      </c>
    </row>
    <row r="21" spans="1:6" ht="18.75" thickBot="1" x14ac:dyDescent="0.3">
      <c r="A21" s="240" t="s">
        <v>1568</v>
      </c>
    </row>
    <row r="22" spans="1:6" ht="18.75" thickTop="1" x14ac:dyDescent="0.25">
      <c r="A22" s="240" t="s">
        <v>1569</v>
      </c>
      <c r="B22" s="246">
        <f>B14-B19</f>
        <v>-51840.709999999992</v>
      </c>
      <c r="F22" s="238" t="s">
        <v>1581</v>
      </c>
    </row>
    <row r="26" spans="1:6" ht="18" x14ac:dyDescent="0.25">
      <c r="A26" s="240" t="s">
        <v>186</v>
      </c>
    </row>
    <row r="27" spans="1:6" ht="15" x14ac:dyDescent="0.2">
      <c r="A27" s="238" t="s">
        <v>1570</v>
      </c>
      <c r="B27" s="241">
        <f>'DOE25'!G180</f>
        <v>40295.730000000003</v>
      </c>
      <c r="F27" s="238" t="s">
        <v>1582</v>
      </c>
    </row>
    <row r="28" spans="1:6" ht="15" x14ac:dyDescent="0.2">
      <c r="A28" s="238" t="s">
        <v>1572</v>
      </c>
      <c r="B28" s="241">
        <f>'DOE25'!L362</f>
        <v>0</v>
      </c>
      <c r="F28" s="238" t="s">
        <v>1583</v>
      </c>
    </row>
    <row r="31" spans="1:6" ht="15" x14ac:dyDescent="0.2">
      <c r="A31" s="238" t="s">
        <v>1797</v>
      </c>
      <c r="B31" s="241">
        <f>'DOE25'!G466</f>
        <v>12694.08</v>
      </c>
      <c r="F31" s="238" t="s">
        <v>1584</v>
      </c>
    </row>
    <row r="33" spans="1:6" ht="15" x14ac:dyDescent="0.2">
      <c r="A33" s="238" t="s">
        <v>1798</v>
      </c>
      <c r="B33" s="241">
        <f>'DOE25'!G477</f>
        <v>1149.1000000000058</v>
      </c>
      <c r="F33" s="238" t="s">
        <v>1585</v>
      </c>
    </row>
    <row r="36" spans="1:6" ht="15" x14ac:dyDescent="0.2">
      <c r="A36" s="238" t="s">
        <v>1571</v>
      </c>
      <c r="B36" s="252">
        <v>16465.88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Rye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3424694.9000000004</v>
      </c>
      <c r="C9" s="167">
        <f>'DOE25'!G198+'DOE25'!G216+'DOE25'!G234+'DOE25'!G277+'DOE25'!G296+'DOE25'!G315</f>
        <v>1663679.8499999996</v>
      </c>
    </row>
    <row r="10" spans="1:3" x14ac:dyDescent="0.2">
      <c r="A10" t="s">
        <v>775</v>
      </c>
      <c r="B10" s="177">
        <f>1755956.07+1400352.24</f>
        <v>3156308.31</v>
      </c>
      <c r="C10" s="177">
        <v>1607176.43</v>
      </c>
    </row>
    <row r="11" spans="1:3" x14ac:dyDescent="0.2">
      <c r="A11" t="s">
        <v>776</v>
      </c>
      <c r="B11" s="177">
        <f>46964.43+8356.55+4327.5+3256.5</f>
        <v>62904.979999999996</v>
      </c>
      <c r="C11" s="177">
        <v>40784.07</v>
      </c>
    </row>
    <row r="12" spans="1:3" x14ac:dyDescent="0.2">
      <c r="A12" t="s">
        <v>777</v>
      </c>
      <c r="B12" s="177">
        <f>18987.5+53376.8+22483.5+33769.56+63480.77+13383.48</f>
        <v>205481.61000000002</v>
      </c>
      <c r="C12" s="177">
        <v>15719.35</v>
      </c>
    </row>
    <row r="13" spans="1:3" x14ac:dyDescent="0.2">
      <c r="A13" t="str">
        <f>IF(B9=B13,IF(C9=C13,"Check Total OK","Check Total Error"),"Check Total Error")</f>
        <v>Check Total OK</v>
      </c>
      <c r="B13" s="169">
        <f>SUM(B10:B12)</f>
        <v>3424694.9</v>
      </c>
      <c r="C13" s="169">
        <f>SUM(C10:C12)</f>
        <v>1663679.85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696147.85000000009</v>
      </c>
      <c r="C18" s="167">
        <f>'DOE25'!G199+'DOE25'!G217+'DOE25'!G235+'DOE25'!G278+'DOE25'!G297+'DOE25'!G316</f>
        <v>343623.28</v>
      </c>
    </row>
    <row r="19" spans="1:3" x14ac:dyDescent="0.2">
      <c r="A19" t="s">
        <v>775</v>
      </c>
      <c r="B19" s="177">
        <f>160810+276438+25969.14+12501.47+3874.67</f>
        <v>479593.27999999997</v>
      </c>
      <c r="C19" s="177">
        <v>210384.45</v>
      </c>
    </row>
    <row r="20" spans="1:3" x14ac:dyDescent="0.2">
      <c r="A20" t="s">
        <v>776</v>
      </c>
      <c r="B20" s="177">
        <f>103386.68+67302.86+11115+7784.55+11362</f>
        <v>200951.08999999997</v>
      </c>
      <c r="C20" s="177">
        <v>128037.66</v>
      </c>
    </row>
    <row r="21" spans="1:3" x14ac:dyDescent="0.2">
      <c r="A21" t="s">
        <v>777</v>
      </c>
      <c r="B21" s="177">
        <v>15603.48</v>
      </c>
      <c r="C21" s="177">
        <v>5201.17</v>
      </c>
    </row>
    <row r="22" spans="1:3" x14ac:dyDescent="0.2">
      <c r="A22" t="str">
        <f>IF(B18=B22,IF(C18=C22,"Check Total OK","Check Total Error"),"Check Total Error")</f>
        <v>Check Total OK</v>
      </c>
      <c r="B22" s="169">
        <f>SUM(B19:B21)</f>
        <v>696147.84999999986</v>
      </c>
      <c r="C22" s="169">
        <f>SUM(C19:C21)</f>
        <v>343623.27999999997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83996.5</v>
      </c>
      <c r="C36" s="173">
        <f>'DOE25'!G201+'DOE25'!G219+'DOE25'!G237+'DOE25'!G280+'DOE25'!G299+'DOE25'!G318</f>
        <v>16428.98</v>
      </c>
    </row>
    <row r="37" spans="1:3" x14ac:dyDescent="0.2">
      <c r="A37" t="s">
        <v>775</v>
      </c>
      <c r="B37" s="177"/>
      <c r="C37" s="177"/>
    </row>
    <row r="38" spans="1:3" x14ac:dyDescent="0.2">
      <c r="A38" t="s">
        <v>776</v>
      </c>
      <c r="B38" s="177"/>
      <c r="C38" s="177"/>
    </row>
    <row r="39" spans="1:3" x14ac:dyDescent="0.2">
      <c r="A39" t="s">
        <v>777</v>
      </c>
      <c r="B39" s="177">
        <v>83996.5</v>
      </c>
      <c r="C39" s="177">
        <v>16428.98</v>
      </c>
    </row>
    <row r="40" spans="1:3" x14ac:dyDescent="0.2">
      <c r="A40" t="str">
        <f>IF(B36=B40,IF(C36=C40,"Check Total OK","Check Total Error"),"Check Total Error")</f>
        <v>Check Total OK</v>
      </c>
      <c r="B40" s="169">
        <f>SUM(B37:B39)</f>
        <v>83996.5</v>
      </c>
      <c r="C40" s="169">
        <f>SUM(C37:C39)</f>
        <v>16428.98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4" sqref="F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Rye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10112189.82</v>
      </c>
      <c r="D5" s="19">
        <f>SUM('DOE25'!L198:L201)+SUM('DOE25'!L216:L219)+SUM('DOE25'!L234:L237)-F5-G5-H5</f>
        <v>10026846.24</v>
      </c>
      <c r="E5" s="180"/>
      <c r="F5" s="181"/>
      <c r="G5" s="19">
        <f>SUM('DOE25'!J198:J201)+SUM('DOE25'!J216:J219)+SUM('DOE25'!J234:J237)</f>
        <v>85343.58</v>
      </c>
      <c r="H5" s="19">
        <f>SUM('DOE25'!K198:K201)+SUM('DOE25'!K216:K219)+SUM('DOE25'!K234:K237)</f>
        <v>0</v>
      </c>
      <c r="I5" s="192"/>
    </row>
    <row r="6" spans="1:9" x14ac:dyDescent="0.2">
      <c r="A6" s="31">
        <v>2100</v>
      </c>
      <c r="B6" t="s">
        <v>796</v>
      </c>
      <c r="C6" s="206">
        <f t="shared" si="0"/>
        <v>917343.69000000006</v>
      </c>
      <c r="D6" s="19">
        <f>'DOE25'!L203+'DOE25'!L221+'DOE25'!L239-F6-G6-H6</f>
        <v>916797.62000000011</v>
      </c>
      <c r="E6" s="180"/>
      <c r="F6" s="181"/>
      <c r="G6" s="19">
        <f>'DOE25'!J203+'DOE25'!J221+'DOE25'!J239</f>
        <v>546.07000000000005</v>
      </c>
      <c r="H6" s="19">
        <f>'DOE25'!K203+'DOE25'!K221+'DOE25'!K239</f>
        <v>0</v>
      </c>
      <c r="I6" s="192"/>
    </row>
    <row r="7" spans="1:9" x14ac:dyDescent="0.2">
      <c r="A7" s="31">
        <v>2200</v>
      </c>
      <c r="B7" t="s">
        <v>820</v>
      </c>
      <c r="C7" s="206">
        <f t="shared" si="0"/>
        <v>743438.69000000018</v>
      </c>
      <c r="D7" s="19">
        <f>'DOE25'!L204+'DOE25'!L222+'DOE25'!L240-F7-G7-H7</f>
        <v>584103.24000000022</v>
      </c>
      <c r="E7" s="180"/>
      <c r="F7" s="181"/>
      <c r="G7" s="19">
        <f>'DOE25'!J204+'DOE25'!J222+'DOE25'!J240</f>
        <v>158254.45000000001</v>
      </c>
      <c r="H7" s="19">
        <f>'DOE25'!K204+'DOE25'!K222+'DOE25'!K240</f>
        <v>1081</v>
      </c>
      <c r="I7" s="192"/>
    </row>
    <row r="8" spans="1:9" x14ac:dyDescent="0.2">
      <c r="A8" s="31">
        <v>2300</v>
      </c>
      <c r="B8" t="s">
        <v>797</v>
      </c>
      <c r="C8" s="206">
        <f t="shared" si="0"/>
        <v>1064483.8899999999</v>
      </c>
      <c r="D8" s="180"/>
      <c r="E8" s="19">
        <f>'DOE25'!L205+'DOE25'!L223+'DOE25'!L241-F8-G8-H8-D9-D11</f>
        <v>1058525.01</v>
      </c>
      <c r="F8" s="181"/>
      <c r="G8" s="19">
        <f>'DOE25'!J205+'DOE25'!J223+'DOE25'!J241</f>
        <v>0</v>
      </c>
      <c r="H8" s="19">
        <f>'DOE25'!K205+'DOE25'!K223+'DOE25'!K241</f>
        <v>5958.88</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664510.4</v>
      </c>
      <c r="D12" s="19">
        <f>'DOE25'!L206+'DOE25'!L224+'DOE25'!L242-F12-G12-H12</f>
        <v>663875.42000000004</v>
      </c>
      <c r="E12" s="180"/>
      <c r="F12" s="181"/>
      <c r="G12" s="19">
        <f>'DOE25'!J206+'DOE25'!J224+'DOE25'!J242</f>
        <v>0</v>
      </c>
      <c r="H12" s="19">
        <f>'DOE25'!K206+'DOE25'!K224+'DOE25'!K242</f>
        <v>634.98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937007.99999999988</v>
      </c>
      <c r="D14" s="19">
        <f>'DOE25'!L208+'DOE25'!L226+'DOE25'!L244-F14-G14-H14</f>
        <v>929930.41999999993</v>
      </c>
      <c r="E14" s="180"/>
      <c r="F14" s="181"/>
      <c r="G14" s="19">
        <f>'DOE25'!J208+'DOE25'!J226+'DOE25'!J244</f>
        <v>7077.58</v>
      </c>
      <c r="H14" s="19">
        <f>'DOE25'!K208+'DOE25'!K226+'DOE25'!K244</f>
        <v>0</v>
      </c>
      <c r="I14" s="192"/>
    </row>
    <row r="15" spans="1:9" x14ac:dyDescent="0.2">
      <c r="A15" s="31">
        <v>2700</v>
      </c>
      <c r="B15" t="s">
        <v>799</v>
      </c>
      <c r="C15" s="206">
        <f t="shared" si="0"/>
        <v>506458.47000000003</v>
      </c>
      <c r="D15" s="19">
        <f>'DOE25'!L209+'DOE25'!L227+'DOE25'!L245-F15-G15-H15</f>
        <v>506458.47000000003</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272425</v>
      </c>
      <c r="D22" s="180"/>
      <c r="E22" s="180"/>
      <c r="F22" s="180"/>
      <c r="G22" s="19">
        <f>'DOE25'!L256+'DOE25'!L337</f>
        <v>272425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157313.24</v>
      </c>
      <c r="D29" s="212">
        <f>'DOE25'!L359+'DOE25'!L360+'DOE25'!L361-'DOE25'!I368-F29-G29-H29-F39</f>
        <v>150542.72999999998</v>
      </c>
      <c r="E29" s="180"/>
      <c r="F29" s="180"/>
      <c r="G29" s="19">
        <f>'DOE25'!J359+'DOE25'!J360+'DOE25'!J361</f>
        <v>6770.51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308072.13</v>
      </c>
      <c r="D31" s="19">
        <f>'DOE25'!L291+'DOE25'!L310+'DOE25'!L329+'DOE25'!L334+'DOE25'!L335+'DOE25'!L336-F31-G31-H31</f>
        <v>192556.83000000002</v>
      </c>
      <c r="E31" s="180"/>
      <c r="F31" s="181"/>
      <c r="G31" s="19">
        <f>'DOE25'!J291+'DOE25'!J310+'DOE25'!J329+'DOE25'!J334+'DOE25'!J335+'DOE25'!J336</f>
        <v>115515.3</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13971110.970000001</v>
      </c>
      <c r="E33" s="182">
        <f t="shared" si="1"/>
        <v>1058525.01</v>
      </c>
      <c r="F33" s="182">
        <f t="shared" si="1"/>
        <v>0</v>
      </c>
      <c r="G33" s="182">
        <f t="shared" si="1"/>
        <v>645932.49000000011</v>
      </c>
      <c r="H33" s="182">
        <f t="shared" si="1"/>
        <v>7674.8600000000006</v>
      </c>
      <c r="I33" s="182">
        <f t="shared" si="1"/>
        <v>0</v>
      </c>
    </row>
    <row r="34" spans="1:9" ht="12" thickBot="1" x14ac:dyDescent="0.25"/>
    <row r="35" spans="1:9" ht="12" thickBot="1" x14ac:dyDescent="0.25">
      <c r="B35" s="188" t="s">
        <v>830</v>
      </c>
      <c r="D35" s="189">
        <f>E33</f>
        <v>1058525.01</v>
      </c>
      <c r="E35" s="185"/>
      <c r="F35" s="295" t="s">
        <v>1608</v>
      </c>
      <c r="G35" s="296"/>
      <c r="H35" s="296"/>
      <c r="I35" s="297"/>
    </row>
    <row r="36" spans="1:9" ht="12" thickTop="1" x14ac:dyDescent="0.2">
      <c r="B36" t="s">
        <v>810</v>
      </c>
      <c r="D36" s="19">
        <f>D33</f>
        <v>13971110.970000001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K8" sqref="K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Rye</v>
      </c>
      <c r="B2">
        <f>'DOE25'!B2</f>
        <v>471</v>
      </c>
      <c r="J2" s="224" t="s">
        <v>1808</v>
      </c>
      <c r="K2" s="309">
        <f>SUM('DOE25'!L198:L201)+SUM('DOE25'!L216:L219)+SUM('DOE25'!L234:L237)+SUM('DOE25'!L277:L280)+SUM('DOE25'!L296:L299)+SUM('DOE25'!L315:L318)</f>
        <v>10215841.23</v>
      </c>
      <c r="L2" s="309">
        <f>'DOE25'!L203+'DOE25'!L221+'DOE25'!L239+'DOE25'!L282+'DOE25'!L301+'DOE25'!L320</f>
        <v>962963.04</v>
      </c>
      <c r="M2" s="309">
        <f>'DOE25'!L204+'DOE25'!L222+'DOE25'!L240+'DOE25'!L283+'DOE25'!L302+'DOE25'!L321</f>
        <v>761085.52000000014</v>
      </c>
      <c r="N2" s="309">
        <f>'DOE25'!L206+'DOE25'!L224+'DOE25'!L242+'DOE25'!L285+'DOE25'!L304+'DOE25'!L323</f>
        <v>664510.4</v>
      </c>
      <c r="O2" s="309">
        <f>'Salaries-Benefits'!B10+'Salaries-Benefits'!B12+'Salaries-Benefits'!B19+'Salaries-Benefits'!B21+'Salaries-Benefits'!B28+'Salaries-Benefits'!B30+'Salaries-Benefits'!B37+'Salaries-Benefits'!B39</f>
        <v>3940983.1799999997</v>
      </c>
      <c r="P2" s="309">
        <f>'Salaries-Benefits'!B11+'Salaries-Benefits'!B20+'Salaries-Benefits'!B29+'Salaries-Benefits'!B38</f>
        <v>263856.06999999995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11899713.01</v>
      </c>
      <c r="G4" s="229">
        <f>'DOE25'!L212+'DOE25'!L291</f>
        <v>11899713.010000002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Rye Elementary School</v>
      </c>
      <c r="B6" s="230">
        <f>IFERROR(VLOOKUP(A6,'School Tables'!$C$3:$D$365,2,FALSE),"")</f>
        <v>22475</v>
      </c>
      <c r="C6" s="223" t="str">
        <f>IFERROR(INDEX('School Tables'!$B$3:$B$365,MATCH('School Level Expenditures'!B6,'School Tables'!$D$3:$D$365,0)),"")</f>
        <v>Rye</v>
      </c>
      <c r="D6" s="220">
        <f>4979380.36+922244.6+23582.91</f>
        <v>5925207.8700000001</v>
      </c>
      <c r="E6" s="220">
        <f>183554.04+23221.56</f>
        <v>206775.6</v>
      </c>
      <c r="F6" s="232">
        <f t="shared" ref="F6:F20" si="1">D6+E6</f>
        <v>6131983.4699999997</v>
      </c>
      <c r="G6" s="223"/>
      <c r="H6" s="223"/>
      <c r="J6" t="str">
        <f>A6</f>
        <v>Rye Elementary School</v>
      </c>
      <c r="K6" s="20">
        <f>11658.15+2865674.3+603163.71+48608.08+2150+12683.1+1280.96+1092.56+4327.5+331.05+59939.76+84.93+15713.96+503.98</f>
        <v>3627212.0399999996</v>
      </c>
      <c r="L6" s="20">
        <f>248795.86+11563.42+212183.49+760.89+22492.52</f>
        <v>495796.18000000005</v>
      </c>
      <c r="M6" s="308">
        <f>275996.82+101349.95+372.85+16697.42</f>
        <v>394417.04</v>
      </c>
      <c r="N6" s="20">
        <f>349603.59+7000</f>
        <v>356603.59</v>
      </c>
      <c r="O6" s="20">
        <f>7801.74+1755956.07+18987.5+53376.8+22483.5+160810+12501.47+25969.14+28896.5</f>
        <v>2086782.72</v>
      </c>
      <c r="P6" s="20">
        <f>46964.43+103386.68+4327.5+11115+7784.55</f>
        <v>173578.15999999997</v>
      </c>
      <c r="Q6" s="20"/>
    </row>
    <row r="7" spans="1:21" x14ac:dyDescent="0.2">
      <c r="A7" t="str" cm="1">
        <f t="array" ref="A7">IFERROR(INDEX('School Tables'!$A$4:$G$325,'School Tables'!$J5,3),"")</f>
        <v>Rye Junior High School</v>
      </c>
      <c r="B7" s="230">
        <f>IFERROR(VLOOKUP(A7,'School Tables'!$C$3:$D$365,2,FALSE),"")</f>
        <v>22470</v>
      </c>
      <c r="C7" s="223" t="str">
        <f>IFERROR(INDEX('School Tables'!$B$3:$B$365,MATCH('School Level Expenditures'!B7,'School Tables'!$D$3:$D$365,0)),"")</f>
        <v>Rye</v>
      </c>
      <c r="D7" s="220">
        <f>4712730.16+922244.6+31458.25</f>
        <v>5666433.0099999998</v>
      </c>
      <c r="E7" s="220">
        <f>78074.97+23221.56</f>
        <v>101296.53</v>
      </c>
      <c r="F7" s="232">
        <f t="shared" si="1"/>
        <v>5767729.54</v>
      </c>
      <c r="G7" s="223"/>
      <c r="H7" s="223"/>
      <c r="J7" t="str">
        <f t="shared" ref="J7:J20" si="2">A7</f>
        <v>Rye Junior High School</v>
      </c>
      <c r="K7" s="20">
        <f>11658.14+2420789.11+723083.69+110482.28+2150+17729.34+8493+1980+3256.5+249.12+12231.19+12.62+15713.96+503.98</f>
        <v>3328332.9299999997</v>
      </c>
      <c r="L7" s="20">
        <f>243419.97+11563.41+212183.48</f>
        <v>467166.86</v>
      </c>
      <c r="M7" s="308">
        <f>261125.82+101349.96+734.15+949.41+2509.14</f>
        <v>366668.48000000004</v>
      </c>
      <c r="N7" s="20">
        <v>307906.81</v>
      </c>
      <c r="O7" s="20">
        <f>7801.74+1400352.24+33769.56+63480.77+13383.48+276438+3874.67+55100</f>
        <v>1854200.46</v>
      </c>
      <c r="P7" s="20">
        <f>8356.55+67302.86+3256.5+11362</f>
        <v>90277.91</v>
      </c>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11591640.879999999</v>
      </c>
      <c r="E21" s="262">
        <f>SUM(E5:E20)</f>
        <v>308072.13</v>
      </c>
      <c r="F21" s="217"/>
      <c r="G21" s="217"/>
      <c r="H21" s="217"/>
      <c r="K21" s="263">
        <f t="shared" ref="K21:Q21" si="3">SUM(K5:K20)</f>
        <v>6955544.9699999988</v>
      </c>
      <c r="L21" s="263">
        <f t="shared" si="3"/>
        <v>962963.04</v>
      </c>
      <c r="M21" s="263">
        <f t="shared" si="3"/>
        <v>761085.52</v>
      </c>
      <c r="N21" s="263">
        <f t="shared" si="3"/>
        <v>664510.4</v>
      </c>
      <c r="O21" s="263">
        <f t="shared" si="3"/>
        <v>3940983.1799999997</v>
      </c>
      <c r="P21" s="263">
        <f t="shared" si="3"/>
        <v>263856.06999999995</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3353792.08</v>
      </c>
      <c r="G36" s="229">
        <f>'DOE25'!L248+'DOE25'!L329</f>
        <v>3353792.0799999996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3353792.08</v>
      </c>
      <c r="E37" s="220"/>
      <c r="F37" s="232">
        <f t="shared" ref="F37:F42" si="7">D37+E37</f>
        <v>3353792.08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3260296.26</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3353792.08</v>
      </c>
      <c r="E43" s="263">
        <f>SUM(E37:E42)</f>
        <v>0</v>
      </c>
      <c r="K43" s="263">
        <f t="shared" ref="K43:Q43" si="9">SUM(K37:K42)</f>
        <v>3260296.26</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0" zoomScale="115" zoomScaleNormal="115" workbookViewId="0">
      <selection activeCell="C70" sqref="C7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Rye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1839623.46</v>
      </c>
      <c r="D8" s="73">
        <f>'DOE25'!G9</f>
        <v>0</v>
      </c>
      <c r="E8" s="73">
        <f>'DOE25'!H9</f>
        <v>0</v>
      </c>
      <c r="F8" s="73">
        <f>'DOE25'!I9</f>
        <v>0</v>
      </c>
      <c r="G8" s="73">
        <f>'DOE25'!J9</f>
        <v>0</v>
      </c>
      <c r="H8" s="13">
        <f>SUM(C8:G8)</f>
        <v>1839623.46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t="str">
        <f>'DOE25'!F11</f>
        <v xml:space="preserve"> </v>
      </c>
      <c r="D10" s="23" t="s">
        <v>288</v>
      </c>
      <c r="E10" s="23" t="s">
        <v>288</v>
      </c>
      <c r="F10" s="23" t="s">
        <v>288</v>
      </c>
      <c r="G10" s="23" t="s">
        <v>288</v>
      </c>
      <c r="H10" s="13">
        <f t="shared" si="0"/>
        <v>0</v>
      </c>
      <c r="I10" s="90"/>
    </row>
    <row r="11" spans="1:9" x14ac:dyDescent="0.2">
      <c r="A11" s="1" t="s">
        <v>142</v>
      </c>
      <c r="B11" s="6">
        <v>130</v>
      </c>
      <c r="C11" s="73">
        <f>'DOE25'!F12</f>
        <v>79580.47</v>
      </c>
      <c r="D11" s="73">
        <f>'DOE25'!G12</f>
        <v>0</v>
      </c>
      <c r="E11" s="73">
        <f>'DOE25'!H12</f>
        <v>0</v>
      </c>
      <c r="F11" s="73">
        <f>'DOE25'!I12</f>
        <v>0</v>
      </c>
      <c r="G11" s="73">
        <f>'DOE25'!J12</f>
        <v>0</v>
      </c>
      <c r="H11" s="13">
        <f t="shared" si="0"/>
        <v>79580.47</v>
      </c>
      <c r="I11" s="90"/>
    </row>
    <row r="12" spans="1:9" x14ac:dyDescent="0.2">
      <c r="A12" s="1" t="s">
        <v>143</v>
      </c>
      <c r="B12" s="6">
        <v>140</v>
      </c>
      <c r="C12" s="73">
        <f>'DOE25'!F13</f>
        <v>14685.42</v>
      </c>
      <c r="D12" s="73">
        <f>'DOE25'!G13</f>
        <v>4848.78</v>
      </c>
      <c r="E12" s="73">
        <f>'DOE25'!H13</f>
        <v>198105.14</v>
      </c>
      <c r="F12" s="73">
        <f>'DOE25'!I13</f>
        <v>0</v>
      </c>
      <c r="G12" s="73">
        <f>'DOE25'!J13</f>
        <v>478099.23</v>
      </c>
      <c r="H12" s="13">
        <f t="shared" si="0"/>
        <v>695738.57000000007</v>
      </c>
      <c r="I12" s="90"/>
    </row>
    <row r="13" spans="1:9" x14ac:dyDescent="0.2">
      <c r="A13" s="1" t="s">
        <v>144</v>
      </c>
      <c r="B13" s="6">
        <v>150</v>
      </c>
      <c r="C13" s="73">
        <f>'DOE25'!F14</f>
        <v>0</v>
      </c>
      <c r="D13" s="73">
        <f>'DOE25'!G14</f>
        <v>493.6</v>
      </c>
      <c r="E13" s="73">
        <f>'DOE25'!H14</f>
        <v>0</v>
      </c>
      <c r="F13" s="73">
        <f>'DOE25'!I14</f>
        <v>0</v>
      </c>
      <c r="G13" s="73">
        <f>'DOE25'!J14</f>
        <v>0</v>
      </c>
      <c r="H13" s="13">
        <f t="shared" si="0"/>
        <v>493.6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1149.0999999999999</v>
      </c>
      <c r="E15" s="73">
        <f>'DOE25'!H16</f>
        <v>0</v>
      </c>
      <c r="F15" s="73">
        <f>'DOE25'!I16</f>
        <v>0</v>
      </c>
      <c r="G15" s="23" t="s">
        <v>288</v>
      </c>
      <c r="H15" s="13">
        <f t="shared" si="0"/>
        <v>1149.0999999999999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1933889.3499999999</v>
      </c>
      <c r="D18" s="38">
        <f>SUM(D8:D17)</f>
        <v>6491.48</v>
      </c>
      <c r="E18" s="38">
        <f>SUM(E8:E17)</f>
        <v>198105.14</v>
      </c>
      <c r="F18" s="38">
        <f>SUM(F8:F17)</f>
        <v>0</v>
      </c>
      <c r="G18" s="38">
        <f>SUM(G8:G17)</f>
        <v>478099.23</v>
      </c>
      <c r="H18" s="38">
        <f t="shared" si="0"/>
        <v>2616585.1999999997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-151117.76000000001</v>
      </c>
      <c r="D21" s="73">
        <f>'DOE25'!G22</f>
        <v>-3899.08</v>
      </c>
      <c r="E21" s="73">
        <f>'DOE25'!H22</f>
        <v>198105.14</v>
      </c>
      <c r="F21" s="73">
        <f>'DOE25'!I22</f>
        <v>0</v>
      </c>
      <c r="G21" s="73">
        <f>'DOE25'!J22</f>
        <v>0</v>
      </c>
      <c r="H21" s="13">
        <f t="shared" ref="H21:H31" si="1">SUM(C21:G21)</f>
        <v>43088.300000000017</v>
      </c>
      <c r="I21" s="90"/>
    </row>
    <row r="22" spans="1:9" x14ac:dyDescent="0.2">
      <c r="A22" s="1" t="s">
        <v>151</v>
      </c>
      <c r="B22" s="6">
        <v>410</v>
      </c>
      <c r="C22" s="73">
        <f>'DOE25'!F23</f>
        <v>0</v>
      </c>
      <c r="D22" s="73">
        <f>'DOE25'!G23</f>
        <v>0</v>
      </c>
      <c r="E22" s="73">
        <f>'DOE25'!H23</f>
        <v>0</v>
      </c>
      <c r="F22" s="73">
        <f>'DOE25'!I23</f>
        <v>0</v>
      </c>
      <c r="G22" s="73">
        <f>'DOE25'!J23</f>
        <v>36492.17</v>
      </c>
      <c r="H22" s="13">
        <f t="shared" si="1"/>
        <v>36492.17</v>
      </c>
      <c r="I22" s="90"/>
    </row>
    <row r="23" spans="1:9" x14ac:dyDescent="0.2">
      <c r="A23" s="1" t="s">
        <v>152</v>
      </c>
      <c r="B23" s="6">
        <v>420</v>
      </c>
      <c r="C23" s="73">
        <f>'DOE25'!F24</f>
        <v>0</v>
      </c>
      <c r="D23" s="73">
        <f>'DOE25'!G24</f>
        <v>8232.94</v>
      </c>
      <c r="E23" s="73">
        <f>'DOE25'!H24</f>
        <v>0</v>
      </c>
      <c r="F23" s="73">
        <f>'DOE25'!I24</f>
        <v>0</v>
      </c>
      <c r="G23" s="73">
        <f>'DOE25'!J24</f>
        <v>0</v>
      </c>
      <c r="H23" s="13">
        <f t="shared" si="1"/>
        <v>8232.94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592816.22</v>
      </c>
      <c r="D27" s="73">
        <f>'DOE25'!G28</f>
        <v>1008.52</v>
      </c>
      <c r="E27" s="73">
        <f>'DOE25'!H28</f>
        <v>0</v>
      </c>
      <c r="F27" s="73">
        <f>'DOE25'!I28</f>
        <v>0</v>
      </c>
      <c r="G27" s="23" t="s">
        <v>288</v>
      </c>
      <c r="H27" s="13">
        <f t="shared" si="1"/>
        <v>593824.74</v>
      </c>
      <c r="I27" s="90"/>
    </row>
    <row r="28" spans="1:9" x14ac:dyDescent="0.2">
      <c r="A28" s="1" t="s">
        <v>157</v>
      </c>
      <c r="B28" s="6">
        <v>470</v>
      </c>
      <c r="C28" s="73">
        <f>'DOE25'!F29</f>
        <v>29847.01</v>
      </c>
      <c r="D28" s="73">
        <f>'DOE25'!G29</f>
        <v>0</v>
      </c>
      <c r="E28" s="73">
        <f>'DOE25'!H29</f>
        <v>0</v>
      </c>
      <c r="F28" s="73">
        <f>'DOE25'!I29</f>
        <v>0</v>
      </c>
      <c r="G28" s="23" t="s">
        <v>288</v>
      </c>
      <c r="H28" s="13">
        <f t="shared" si="1"/>
        <v>29847.01</v>
      </c>
      <c r="I28" s="90"/>
    </row>
    <row r="29" spans="1:9" x14ac:dyDescent="0.2">
      <c r="A29" s="1" t="s">
        <v>158</v>
      </c>
      <c r="B29" s="6">
        <v>480</v>
      </c>
      <c r="C29" s="73">
        <f>'DOE25'!F30</f>
        <v>43588.3</v>
      </c>
      <c r="D29" s="73">
        <f>'DOE25'!G30</f>
        <v>0</v>
      </c>
      <c r="E29" s="73">
        <f>'DOE25'!H30</f>
        <v>0</v>
      </c>
      <c r="F29" s="73">
        <f>'DOE25'!I30</f>
        <v>0</v>
      </c>
      <c r="G29" s="23" t="s">
        <v>288</v>
      </c>
      <c r="H29" s="13">
        <f t="shared" si="1"/>
        <v>43588.3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515133.76999999996</v>
      </c>
      <c r="D31" s="38">
        <f>SUM(D21:D30)</f>
        <v>5342.380000000001</v>
      </c>
      <c r="E31" s="38">
        <f>SUM(E21:E30)</f>
        <v>198105.14</v>
      </c>
      <c r="F31" s="38">
        <f>SUM(F21:F30)</f>
        <v>0</v>
      </c>
      <c r="G31" s="38">
        <f>SUM(G21:G30)</f>
        <v>36492.17</v>
      </c>
      <c r="H31" s="38">
        <f t="shared" si="1"/>
        <v>755073.46000000008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1149.0999999999999</v>
      </c>
      <c r="E34" s="73">
        <f>'DOE25'!H35</f>
        <v>0</v>
      </c>
      <c r="F34" s="73">
        <f>'DOE25'!I35</f>
        <v>0</v>
      </c>
      <c r="G34" s="23" t="s">
        <v>288</v>
      </c>
      <c r="H34" s="13">
        <f t="shared" ref="H34:H51" si="2">SUM(C34:G34)</f>
        <v>1149.0999999999999</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625000</v>
      </c>
      <c r="D43" s="73">
        <f>'DOE25'!G44</f>
        <v>0</v>
      </c>
      <c r="E43" s="73">
        <f>'DOE25'!H44</f>
        <v>0</v>
      </c>
      <c r="F43" s="73">
        <f>'DOE25'!I44</f>
        <v>0</v>
      </c>
      <c r="G43" s="23" t="s">
        <v>288</v>
      </c>
      <c r="H43" s="13">
        <f t="shared" si="2"/>
        <v>625000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550000</v>
      </c>
      <c r="D45" s="23" t="s">
        <v>288</v>
      </c>
      <c r="E45" s="23" t="s">
        <v>288</v>
      </c>
      <c r="F45" s="23" t="s">
        <v>288</v>
      </c>
      <c r="G45" s="23" t="s">
        <v>288</v>
      </c>
      <c r="H45" s="13">
        <f t="shared" si="2"/>
        <v>550000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441607.06</v>
      </c>
      <c r="H47" s="13">
        <f t="shared" si="2"/>
        <v>441607.06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243755.58</v>
      </c>
      <c r="D49" s="23" t="s">
        <v>288</v>
      </c>
      <c r="E49" s="23" t="s">
        <v>288</v>
      </c>
      <c r="F49" s="23" t="s">
        <v>288</v>
      </c>
      <c r="G49" s="23" t="s">
        <v>288</v>
      </c>
      <c r="H49" s="13">
        <f t="shared" si="2"/>
        <v>243755.58</v>
      </c>
      <c r="I49" s="90"/>
    </row>
    <row r="50" spans="1:9" ht="12.75" thickTop="1" thickBot="1" x14ac:dyDescent="0.25">
      <c r="A50" s="35" t="s">
        <v>883</v>
      </c>
      <c r="B50" s="44"/>
      <c r="C50" s="38">
        <f>SUM(C34:C49)</f>
        <v>1418755.58</v>
      </c>
      <c r="D50" s="38">
        <f>SUM(D34:D49)</f>
        <v>1149.0999999999999</v>
      </c>
      <c r="E50" s="38">
        <f>SUM(E34:E49)</f>
        <v>0</v>
      </c>
      <c r="F50" s="38">
        <f>SUM(F34:F49)</f>
        <v>0</v>
      </c>
      <c r="G50" s="38">
        <f>SUM(G34:G49)</f>
        <v>441607.06</v>
      </c>
      <c r="H50" s="38">
        <f t="shared" si="2"/>
        <v>1861511.7400000002</v>
      </c>
      <c r="I50" s="90"/>
    </row>
    <row r="51" spans="1:9" ht="12" thickTop="1" x14ac:dyDescent="0.2">
      <c r="A51" s="35" t="s">
        <v>884</v>
      </c>
      <c r="B51" s="2"/>
      <c r="C51" s="38">
        <f>C50+C31</f>
        <v>1933889.35</v>
      </c>
      <c r="D51" s="38">
        <f>D50+D31</f>
        <v>6491.4800000000014</v>
      </c>
      <c r="E51" s="38">
        <f>E50+E31</f>
        <v>198105.14</v>
      </c>
      <c r="F51" s="38">
        <f>F50+F31</f>
        <v>0</v>
      </c>
      <c r="G51" s="38">
        <f>G50+G31</f>
        <v>478099.23</v>
      </c>
      <c r="H51" s="38">
        <f t="shared" si="2"/>
        <v>2616585.2000000002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10365744</v>
      </c>
      <c r="D56" s="73">
        <f>'DOE25'!G60</f>
        <v>0</v>
      </c>
      <c r="E56" s="73">
        <f>'DOE25'!H60</f>
        <v>0</v>
      </c>
      <c r="F56" s="73">
        <f>'DOE25'!I60</f>
        <v>0</v>
      </c>
      <c r="G56" s="73">
        <f>'DOE25'!J60</f>
        <v>0</v>
      </c>
      <c r="H56" s="13">
        <f t="shared" ref="H56:H63" si="3">SUM(C56:G56)</f>
        <v>10365744</v>
      </c>
      <c r="I56"/>
    </row>
    <row r="57" spans="1:9" x14ac:dyDescent="0.2">
      <c r="A57" s="1" t="s">
        <v>164</v>
      </c>
      <c r="B57" s="6" t="s">
        <v>165</v>
      </c>
      <c r="C57" s="73">
        <f>'DOE25'!F79</f>
        <v>151619.42000000001</v>
      </c>
      <c r="D57" s="23" t="s">
        <v>288</v>
      </c>
      <c r="E57" s="73">
        <f>'DOE25'!H79</f>
        <v>0</v>
      </c>
      <c r="F57" s="23" t="s">
        <v>288</v>
      </c>
      <c r="G57" s="23" t="s">
        <v>288</v>
      </c>
      <c r="H57" s="13">
        <f t="shared" si="3"/>
        <v>151619.42000000001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55530.87</v>
      </c>
      <c r="D59" s="73">
        <f>'DOE25'!G96</f>
        <v>0</v>
      </c>
      <c r="E59" s="73">
        <f>'DOE25'!H96</f>
        <v>0</v>
      </c>
      <c r="F59" s="73">
        <f>'DOE25'!I96</f>
        <v>0</v>
      </c>
      <c r="G59" s="73">
        <f>'DOE25'!J96</f>
        <v>20624.97</v>
      </c>
      <c r="H59" s="13">
        <f t="shared" si="3"/>
        <v>76155.839999999997</v>
      </c>
      <c r="I59"/>
    </row>
    <row r="60" spans="1:9" x14ac:dyDescent="0.2">
      <c r="A60" s="1" t="s">
        <v>170</v>
      </c>
      <c r="B60" s="22" t="s">
        <v>171</v>
      </c>
      <c r="C60" s="23" t="s">
        <v>288</v>
      </c>
      <c r="D60" s="73">
        <f>'DOE25'!G97</f>
        <v>108787.63</v>
      </c>
      <c r="E60" s="23" t="s">
        <v>288</v>
      </c>
      <c r="F60" s="23" t="s">
        <v>288</v>
      </c>
      <c r="G60" s="23" t="s">
        <v>288</v>
      </c>
      <c r="H60" s="13">
        <f t="shared" si="3"/>
        <v>108787.63</v>
      </c>
      <c r="I60"/>
    </row>
    <row r="61" spans="1:9" ht="12" thickBot="1" x14ac:dyDescent="0.25">
      <c r="A61" s="1" t="s">
        <v>172</v>
      </c>
      <c r="B61" s="22" t="s">
        <v>173</v>
      </c>
      <c r="C61" s="73">
        <f>SUM('DOE25'!F98:F110)</f>
        <v>184348.7</v>
      </c>
      <c r="D61" s="73">
        <f>SUM('DOE25'!G98:G110)</f>
        <v>0</v>
      </c>
      <c r="E61" s="73">
        <f>SUM('DOE25'!H98:H110)</f>
        <v>0</v>
      </c>
      <c r="F61" s="73">
        <f>SUM('DOE25'!I98:I110)</f>
        <v>0</v>
      </c>
      <c r="G61" s="73">
        <f>SUM('DOE25'!J98:J110)</f>
        <v>0</v>
      </c>
      <c r="H61" s="13">
        <f t="shared" si="3"/>
        <v>184348.7</v>
      </c>
      <c r="I61"/>
    </row>
    <row r="62" spans="1:9" ht="12.75" thickTop="1" thickBot="1" x14ac:dyDescent="0.25">
      <c r="A62" s="28" t="s">
        <v>174</v>
      </c>
      <c r="B62" s="6"/>
      <c r="C62" s="93">
        <f>SUM(C57:C61)</f>
        <v>391498.99</v>
      </c>
      <c r="D62" s="93">
        <f>SUM(D57:D61)</f>
        <v>108787.63</v>
      </c>
      <c r="E62" s="93">
        <f>SUM(E57:E61)</f>
        <v>0</v>
      </c>
      <c r="F62" s="93">
        <f>SUM(F57:F61)</f>
        <v>0</v>
      </c>
      <c r="G62" s="93">
        <f>SUM(G57:G61)</f>
        <v>20624.97</v>
      </c>
      <c r="H62" s="13">
        <f t="shared" si="3"/>
        <v>520911.58999999997</v>
      </c>
      <c r="I62"/>
    </row>
    <row r="63" spans="1:9" ht="12" thickTop="1" x14ac:dyDescent="0.2">
      <c r="A63" s="28" t="s">
        <v>175</v>
      </c>
      <c r="B63" s="6"/>
      <c r="C63" s="21">
        <f>C56+C62</f>
        <v>10757242.99</v>
      </c>
      <c r="D63" s="21">
        <f>D56+D62</f>
        <v>108787.63</v>
      </c>
      <c r="E63" s="21">
        <f>E56+E62</f>
        <v>0</v>
      </c>
      <c r="F63" s="21">
        <f>F56+F62</f>
        <v>0</v>
      </c>
      <c r="G63" s="21">
        <f>G56+G62</f>
        <v>20624.97</v>
      </c>
      <c r="H63" s="13">
        <f t="shared" si="3"/>
        <v>10886655.590000002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1277895</v>
      </c>
      <c r="D66" s="23" t="s">
        <v>288</v>
      </c>
      <c r="E66" s="23" t="s">
        <v>288</v>
      </c>
      <c r="F66" s="23" t="s">
        <v>288</v>
      </c>
      <c r="G66" s="23" t="s">
        <v>288</v>
      </c>
      <c r="H66" s="13">
        <f t="shared" ref="H66:H81" si="4">SUM(C66:G66)</f>
        <v>1277895</v>
      </c>
      <c r="I66"/>
    </row>
    <row r="67" spans="1:9" x14ac:dyDescent="0.2">
      <c r="A67" s="1" t="s">
        <v>770</v>
      </c>
      <c r="B67" s="6">
        <v>3112</v>
      </c>
      <c r="C67" s="73">
        <f>'DOE25'!F118</f>
        <v>3344277</v>
      </c>
      <c r="D67" s="23"/>
      <c r="E67" s="23"/>
      <c r="F67" s="23"/>
      <c r="G67" s="23"/>
      <c r="H67" s="13">
        <f t="shared" si="4"/>
        <v>3344277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59982.02</v>
      </c>
      <c r="D69" s="73">
        <f>'DOE25'!G120</f>
        <v>0</v>
      </c>
      <c r="E69" s="73">
        <f>'DOE25'!H120</f>
        <v>0</v>
      </c>
      <c r="F69" s="73">
        <f>'DOE25'!I120</f>
        <v>0</v>
      </c>
      <c r="G69" s="73">
        <f>'DOE25'!J120</f>
        <v>0</v>
      </c>
      <c r="H69" s="13">
        <f t="shared" si="4"/>
        <v>59982.02</v>
      </c>
      <c r="I69"/>
    </row>
    <row r="70" spans="1:9" ht="12" thickTop="1" x14ac:dyDescent="0.2">
      <c r="A70" s="28" t="s">
        <v>252</v>
      </c>
      <c r="B70" s="2"/>
      <c r="C70" s="97">
        <f>SUM(C66:C69)</f>
        <v>4682154.0199999996</v>
      </c>
      <c r="D70" s="97">
        <f>D69</f>
        <v>0</v>
      </c>
      <c r="E70" s="97">
        <f>E69</f>
        <v>0</v>
      </c>
      <c r="F70" s="97">
        <f>F69</f>
        <v>0</v>
      </c>
      <c r="G70" s="97">
        <f>G69</f>
        <v>0</v>
      </c>
      <c r="H70" s="13">
        <f t="shared" si="4"/>
        <v>4682154.0199999996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6880.62</v>
      </c>
      <c r="D75" s="23" t="s">
        <v>288</v>
      </c>
      <c r="E75" s="23" t="s">
        <v>288</v>
      </c>
      <c r="F75" s="23" t="s">
        <v>288</v>
      </c>
      <c r="G75" s="23" t="s">
        <v>288</v>
      </c>
      <c r="H75" s="13">
        <f t="shared" si="4"/>
        <v>6880.62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1536.89</v>
      </c>
      <c r="E77" s="73">
        <f>SUM('DOE25'!H131:H135)</f>
        <v>115109.92</v>
      </c>
      <c r="F77" s="73">
        <f>SUM('DOE25'!I131:I135)</f>
        <v>0</v>
      </c>
      <c r="G77" s="73">
        <f>SUM('DOE25'!J131:J135)</f>
        <v>0</v>
      </c>
      <c r="H77" s="13">
        <f t="shared" si="4"/>
        <v>116646.81</v>
      </c>
      <c r="I77"/>
    </row>
    <row r="78" spans="1:9" ht="12.75" thickTop="1" thickBot="1" x14ac:dyDescent="0.25">
      <c r="A78" s="28" t="s">
        <v>259</v>
      </c>
      <c r="B78" s="6"/>
      <c r="C78" s="93">
        <f>SUM(C72:C77)</f>
        <v>6880.62</v>
      </c>
      <c r="D78" s="93">
        <f>SUM(D72:D77)</f>
        <v>1536.89</v>
      </c>
      <c r="E78" s="93">
        <f>SUM(E72:E77)</f>
        <v>115109.92</v>
      </c>
      <c r="F78" s="93">
        <f>SUM(F72:F77)</f>
        <v>0</v>
      </c>
      <c r="G78" s="93">
        <f>SUM(G72:G77)</f>
        <v>0</v>
      </c>
      <c r="H78" s="13">
        <f t="shared" si="4"/>
        <v>123527.43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4689034.6399999997</v>
      </c>
      <c r="D81" s="93">
        <f>SUM(D79:D80)+D78+D70</f>
        <v>1536.89</v>
      </c>
      <c r="E81" s="93">
        <f>SUM(E79:E80)+E78+E70</f>
        <v>115109.92</v>
      </c>
      <c r="F81" s="93">
        <f>SUM(F79:F80)+F78+F70</f>
        <v>0</v>
      </c>
      <c r="G81" s="93">
        <f>SUM(G79:G80)+G78+G70</f>
        <v>0</v>
      </c>
      <c r="H81" s="93">
        <f t="shared" si="4"/>
        <v>4805681.4499999993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57311.39</v>
      </c>
      <c r="E88" s="253">
        <f>SUM('DOE25'!H153:H162)</f>
        <v>210712.20999999996</v>
      </c>
      <c r="F88" s="253">
        <f>SUM('DOE25'!I153:I162)</f>
        <v>0</v>
      </c>
      <c r="G88" s="23" t="s">
        <v>288</v>
      </c>
      <c r="H88" s="13">
        <f t="shared" si="5"/>
        <v>268023.59999999998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57311.39</v>
      </c>
      <c r="E91" s="94">
        <f>SUM(E85:E90)</f>
        <v>210712.20999999996</v>
      </c>
      <c r="F91" s="94">
        <f>SUM(F85:F90)</f>
        <v>0</v>
      </c>
      <c r="G91" s="23" t="s">
        <v>288</v>
      </c>
      <c r="H91" s="13">
        <f t="shared" si="5"/>
        <v>268023.59999999998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40295.730000000003</v>
      </c>
      <c r="E96" s="73">
        <f>'DOE25'!H180</f>
        <v>0</v>
      </c>
      <c r="F96" s="73">
        <f>'DOE25'!I180</f>
        <v>0</v>
      </c>
      <c r="G96" s="73">
        <f>'DOE25'!J180</f>
        <v>170000</v>
      </c>
      <c r="H96" s="13">
        <f t="shared" si="5"/>
        <v>210295.73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289017.17</v>
      </c>
      <c r="D100" s="73">
        <f>SUM('DOE25'!G187:G188)</f>
        <v>0</v>
      </c>
      <c r="E100" s="73">
        <f>SUM('DOE25'!H187:H188)</f>
        <v>0</v>
      </c>
      <c r="F100" s="73">
        <f>SUM('DOE25'!I187:I188)</f>
        <v>0</v>
      </c>
      <c r="G100" s="23" t="s">
        <v>288</v>
      </c>
      <c r="H100" s="13">
        <f t="shared" si="5"/>
        <v>289017.17</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289017.17</v>
      </c>
      <c r="D103" s="68">
        <f>SUM(D93:D102)</f>
        <v>40295.730000000003</v>
      </c>
      <c r="E103" s="68">
        <f>SUM(E93:E102)</f>
        <v>0</v>
      </c>
      <c r="F103" s="68">
        <f>SUM(F93:F102)</f>
        <v>0</v>
      </c>
      <c r="G103" s="68">
        <f>SUM(G93:G102)</f>
        <v>170000</v>
      </c>
      <c r="H103" s="68">
        <f t="shared" si="5"/>
        <v>499312.89999999997</v>
      </c>
    </row>
    <row r="104" spans="1:8" ht="12.75" thickTop="1" thickBot="1" x14ac:dyDescent="0.25">
      <c r="A104" s="32" t="s">
        <v>761</v>
      </c>
      <c r="C104" s="68">
        <f>C63+C81+C91+C103</f>
        <v>15735294.799999999</v>
      </c>
      <c r="D104" s="68">
        <f>D63+D81+D91+D103</f>
        <v>207931.64</v>
      </c>
      <c r="E104" s="68">
        <f>E63+E81+E91+E103</f>
        <v>325822.12999999995</v>
      </c>
      <c r="F104" s="68">
        <f>F63+F81+F91+F103</f>
        <v>0</v>
      </c>
      <c r="G104" s="68">
        <f>G63+G81+G103</f>
        <v>190624.97</v>
      </c>
      <c r="H104" s="68">
        <f t="shared" si="5"/>
        <v>16459673.540000001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8550257.1799999997</v>
      </c>
      <c r="D109" s="23" t="s">
        <v>288</v>
      </c>
      <c r="E109" s="73">
        <f>('DOE25'!L277)+('DOE25'!L296)+('DOE25'!L315)</f>
        <v>8164.17</v>
      </c>
      <c r="F109" s="23" t="s">
        <v>288</v>
      </c>
      <c r="G109" s="23" t="s">
        <v>288</v>
      </c>
      <c r="H109" s="13">
        <f t="shared" ref="H109:H115" si="6">SUM(C109:G109)</f>
        <v>8558421.3499999996</v>
      </c>
    </row>
    <row r="110" spans="1:8" x14ac:dyDescent="0.2">
      <c r="A110" t="s">
        <v>198</v>
      </c>
      <c r="B110" s="31" t="s">
        <v>199</v>
      </c>
      <c r="C110" s="73">
        <f>('DOE25'!L199)+('DOE25'!L217)+('DOE25'!L235)</f>
        <v>1386976.7200000002</v>
      </c>
      <c r="D110" s="23" t="s">
        <v>288</v>
      </c>
      <c r="E110" s="73">
        <f>('DOE25'!L278)+('DOE25'!L297)+('DOE25'!L316)</f>
        <v>95487.24</v>
      </c>
      <c r="F110" s="23" t="s">
        <v>288</v>
      </c>
      <c r="G110" s="23" t="s">
        <v>288</v>
      </c>
      <c r="H110" s="13">
        <f t="shared" si="6"/>
        <v>1482463.9600000002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174955.91999999998</v>
      </c>
      <c r="D112" s="23" t="s">
        <v>288</v>
      </c>
      <c r="E112" s="73">
        <f>+('DOE25'!L280)+('DOE25'!L299)+('DOE25'!L318)</f>
        <v>0</v>
      </c>
      <c r="F112" s="23" t="s">
        <v>288</v>
      </c>
      <c r="G112" s="23" t="s">
        <v>288</v>
      </c>
      <c r="H112" s="13">
        <f t="shared" si="6"/>
        <v>174955.91999999998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10112189.82</v>
      </c>
      <c r="D115" s="68">
        <f>SUM(D109:D114)</f>
        <v>0</v>
      </c>
      <c r="E115" s="68">
        <f>SUM(E109:E114)</f>
        <v>103651.41</v>
      </c>
      <c r="F115" s="68">
        <f>SUM(F109:F114)</f>
        <v>0</v>
      </c>
      <c r="G115" s="68">
        <f>SUM(G109:G114)</f>
        <v>0</v>
      </c>
      <c r="H115" s="68">
        <f t="shared" si="6"/>
        <v>10215841.23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917343.69000000006</v>
      </c>
      <c r="D118" s="23" t="s">
        <v>288</v>
      </c>
      <c r="E118" s="73">
        <f>+('DOE25'!L282)+('DOE25'!L301)+('DOE25'!L320)</f>
        <v>45619.350000000006</v>
      </c>
      <c r="F118" s="23" t="s">
        <v>288</v>
      </c>
      <c r="G118" s="23" t="s">
        <v>288</v>
      </c>
      <c r="H118" s="13">
        <f t="shared" ref="H118:H145" si="7">SUM(C118:G118)</f>
        <v>962963.04</v>
      </c>
    </row>
    <row r="119" spans="1:8" x14ac:dyDescent="0.2">
      <c r="A119" t="s">
        <v>208</v>
      </c>
      <c r="B119" s="31" t="s">
        <v>209</v>
      </c>
      <c r="C119" s="73">
        <f>('DOE25'!L204)+('DOE25'!L222)+('DOE25'!L240)</f>
        <v>743438.69000000018</v>
      </c>
      <c r="D119" s="23" t="s">
        <v>288</v>
      </c>
      <c r="E119" s="73">
        <f>+('DOE25'!L283)+('DOE25'!L302)+('DOE25'!L321)</f>
        <v>17646.830000000002</v>
      </c>
      <c r="F119" s="23" t="s">
        <v>288</v>
      </c>
      <c r="G119" s="23" t="s">
        <v>288</v>
      </c>
      <c r="H119" s="13">
        <f t="shared" si="7"/>
        <v>761085.52000000014</v>
      </c>
    </row>
    <row r="120" spans="1:8" x14ac:dyDescent="0.2">
      <c r="A120" t="s">
        <v>210</v>
      </c>
      <c r="B120" s="31" t="s">
        <v>211</v>
      </c>
      <c r="C120" s="73">
        <f>('DOE25'!L205)+('DOE25'!L223)+('DOE25'!L241)</f>
        <v>1064483.8899999999</v>
      </c>
      <c r="D120" s="23" t="s">
        <v>288</v>
      </c>
      <c r="E120" s="73">
        <f>+('DOE25'!L284)+('DOE25'!L303)+('DOE25'!L322)</f>
        <v>1211.05</v>
      </c>
      <c r="F120" s="23" t="s">
        <v>288</v>
      </c>
      <c r="G120" s="23" t="s">
        <v>288</v>
      </c>
      <c r="H120" s="13">
        <f t="shared" si="7"/>
        <v>1065694.94</v>
      </c>
    </row>
    <row r="121" spans="1:8" x14ac:dyDescent="0.2">
      <c r="A121" t="s">
        <v>212</v>
      </c>
      <c r="B121" s="31" t="s">
        <v>213</v>
      </c>
      <c r="C121" s="73">
        <f>('DOE25'!L206)+('DOE25'!L224)+('DOE25'!L242)</f>
        <v>664510.4</v>
      </c>
      <c r="D121" s="23" t="s">
        <v>288</v>
      </c>
      <c r="E121" s="73">
        <f>+('DOE25'!L285)+('DOE25'!L304)+('DOE25'!L323)</f>
        <v>0</v>
      </c>
      <c r="F121" s="23" t="s">
        <v>288</v>
      </c>
      <c r="G121" s="23" t="s">
        <v>288</v>
      </c>
      <c r="H121" s="13">
        <f t="shared" si="7"/>
        <v>664510.4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937007.99999999988</v>
      </c>
      <c r="D123" s="23" t="s">
        <v>288</v>
      </c>
      <c r="E123" s="73">
        <f>+('DOE25'!L287)+('DOE25'!L306)+('DOE25'!L325)</f>
        <v>139943.49</v>
      </c>
      <c r="F123" s="23" t="s">
        <v>288</v>
      </c>
      <c r="G123" s="23" t="s">
        <v>288</v>
      </c>
      <c r="H123" s="13">
        <f t="shared" si="7"/>
        <v>1076951.4899999998</v>
      </c>
    </row>
    <row r="124" spans="1:8" x14ac:dyDescent="0.2">
      <c r="A124" t="s">
        <v>218</v>
      </c>
      <c r="B124" s="31" t="s">
        <v>219</v>
      </c>
      <c r="C124" s="73">
        <f>('DOE25'!L209)+('DOE25'!L227)+('DOE25'!L245+'DOE25'!L255)</f>
        <v>506458.47000000003</v>
      </c>
      <c r="D124" s="23" t="s">
        <v>288</v>
      </c>
      <c r="E124" s="73">
        <f>+('DOE25'!L288)+('DOE25'!L307)+('DOE25'!L326)</f>
        <v>0</v>
      </c>
      <c r="F124" s="23" t="s">
        <v>288</v>
      </c>
      <c r="G124" s="23" t="s">
        <v>288</v>
      </c>
      <c r="H124" s="13">
        <f t="shared" si="7"/>
        <v>506458.47000000003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219476.62</v>
      </c>
      <c r="E127" s="23" t="s">
        <v>288</v>
      </c>
      <c r="F127" s="23" t="s">
        <v>288</v>
      </c>
      <c r="G127" s="23" t="s">
        <v>288</v>
      </c>
      <c r="H127" s="13">
        <f t="shared" si="7"/>
        <v>219476.62</v>
      </c>
    </row>
    <row r="128" spans="1:8" ht="12.75" thickTop="1" thickBot="1" x14ac:dyDescent="0.25">
      <c r="A128" s="32" t="s">
        <v>226</v>
      </c>
      <c r="C128" s="68">
        <f>SUM(C118:C127)</f>
        <v>4833243.1399999997</v>
      </c>
      <c r="D128" s="68">
        <f>SUM(D118:D127)</f>
        <v>219476.62</v>
      </c>
      <c r="E128" s="68">
        <f>SUM(E118:E127)</f>
        <v>204420.72</v>
      </c>
      <c r="F128" s="68">
        <f>SUM(F118:F127)</f>
        <v>0</v>
      </c>
      <c r="G128" s="68">
        <f>SUM(G118:G127)</f>
        <v>0</v>
      </c>
      <c r="H128" s="68">
        <f t="shared" si="7"/>
        <v>5257140.4799999995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254675</v>
      </c>
      <c r="D130" s="23" t="s">
        <v>288</v>
      </c>
      <c r="E130" s="92">
        <f>'DOE25'!L337</f>
        <v>17750</v>
      </c>
      <c r="F130" s="92">
        <f>SUM('DOE25'!L375:'DOE25'!L381)</f>
        <v>0</v>
      </c>
      <c r="G130" s="23" t="s">
        <v>288</v>
      </c>
      <c r="H130" s="13">
        <f t="shared" si="7"/>
        <v>272425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289017.17</v>
      </c>
      <c r="H134" s="13">
        <f t="shared" si="7"/>
        <v>289017.17</v>
      </c>
    </row>
    <row r="135" spans="1:8" x14ac:dyDescent="0.2">
      <c r="A135" t="s">
        <v>233</v>
      </c>
      <c r="B135" s="31" t="s">
        <v>234</v>
      </c>
      <c r="C135" s="73">
        <f>'DOE25'!L264</f>
        <v>40295.730000000003</v>
      </c>
      <c r="D135" s="23" t="s">
        <v>288</v>
      </c>
      <c r="E135" s="92">
        <f>'DOE25'!L346</f>
        <v>0</v>
      </c>
      <c r="F135" s="23" t="s">
        <v>288</v>
      </c>
      <c r="G135" s="23" t="s">
        <v>288</v>
      </c>
      <c r="H135" s="13">
        <f t="shared" si="7"/>
        <v>40295.730000000003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190624.97</v>
      </c>
      <c r="D139" s="23" t="s">
        <v>288</v>
      </c>
      <c r="E139" s="23" t="s">
        <v>288</v>
      </c>
      <c r="F139" s="23" t="s">
        <v>288</v>
      </c>
      <c r="G139" s="23" t="s">
        <v>288</v>
      </c>
      <c r="H139" s="13">
        <f t="shared" si="7"/>
        <v>190624.97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-20624.97</v>
      </c>
      <c r="D141" s="23" t="s">
        <v>288</v>
      </c>
      <c r="E141" s="23" t="s">
        <v>288</v>
      </c>
      <c r="F141" s="23" t="s">
        <v>288</v>
      </c>
      <c r="G141" s="23" t="s">
        <v>288</v>
      </c>
      <c r="H141" s="13">
        <f t="shared" si="7"/>
        <v>-20624.97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464970.73</v>
      </c>
      <c r="D144" s="98">
        <f>SUM(D130:D143)</f>
        <v>0</v>
      </c>
      <c r="E144" s="98">
        <f>SUM(E130:E143)</f>
        <v>17750</v>
      </c>
      <c r="F144" s="98">
        <f>SUM(F130:F143)</f>
        <v>0</v>
      </c>
      <c r="G144" s="98">
        <f>SUM(G130:G143)</f>
        <v>289017.17</v>
      </c>
      <c r="H144" s="98">
        <f t="shared" si="7"/>
        <v>771737.89999999991</v>
      </c>
    </row>
    <row r="145" spans="1:9" ht="12.75" thickTop="1" thickBot="1" x14ac:dyDescent="0.25">
      <c r="A145" s="32" t="s">
        <v>244</v>
      </c>
      <c r="C145" s="68">
        <f>(C115+C128+C144)</f>
        <v>15410403.690000001</v>
      </c>
      <c r="D145" s="68">
        <f>(D115+D128+D144)</f>
        <v>219476.62</v>
      </c>
      <c r="E145" s="68">
        <f>(E115+E128+E144)</f>
        <v>325822.13</v>
      </c>
      <c r="F145" s="68">
        <f>(F115+F128+F144)</f>
        <v>0</v>
      </c>
      <c r="G145" s="68">
        <f>(G115+G128+G144)</f>
        <v>289017.17</v>
      </c>
      <c r="H145" s="68">
        <f t="shared" si="7"/>
        <v>16244719.610000001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0gCkkVMpXqP4LC9odsQCs1HT+vxcoreAkWnvXEnYm7wM/KDLSnIqDiQj+8zpGinofwD74vME4r5I5cqSSZieQ==" saltValue="1JPJcV8jwKGTmgpw0CI0VA=="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Rye</v>
      </c>
    </row>
    <row r="3" spans="1:4" x14ac:dyDescent="0.2">
      <c r="B3" s="137" t="s">
        <v>1799</v>
      </c>
    </row>
    <row r="4" spans="1:4" x14ac:dyDescent="0.2">
      <c r="B4" t="s">
        <v>61</v>
      </c>
      <c r="C4" s="129">
        <f>IF('DOE25'!F666+'DOE25'!F671=0,0,ROUND('DOE25'!F673,0))</f>
        <v>28050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28050</v>
      </c>
    </row>
    <row r="9" spans="1:4" x14ac:dyDescent="0.2">
      <c r="A9" s="136" t="s">
        <v>94</v>
      </c>
      <c r="B9" s="137" t="s">
        <v>1800</v>
      </c>
      <c r="C9" s="131" t="s">
        <v>720</v>
      </c>
      <c r="D9" s="131" t="s">
        <v>721</v>
      </c>
    </row>
    <row r="10" spans="1:4" x14ac:dyDescent="0.2">
      <c r="A10">
        <v>1100</v>
      </c>
      <c r="B10" t="s">
        <v>702</v>
      </c>
      <c r="C10" s="129">
        <f>ROUND('DOE25'!L198+'DOE25'!L216+'DOE25'!L234+'DOE25'!L277+'DOE25'!L296+'DOE25'!L315,0)</f>
        <v>8558421</v>
      </c>
      <c r="D10" s="132">
        <f>ROUND((C10/$C$28)*100,1)</f>
        <v>55.7</v>
      </c>
    </row>
    <row r="11" spans="1:4" x14ac:dyDescent="0.2">
      <c r="A11">
        <v>1200</v>
      </c>
      <c r="B11" t="s">
        <v>703</v>
      </c>
      <c r="C11" s="129">
        <f>ROUND('DOE25'!L199+'DOE25'!L217+'DOE25'!L235+'DOE25'!L278+'DOE25'!L297+'DOE25'!L316,0)</f>
        <v>1482464</v>
      </c>
      <c r="D11" s="132">
        <f>ROUND((C11/$C$28)*100,1)</f>
        <v>9.6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174956</v>
      </c>
      <c r="D13" s="132">
        <f>ROUND((C13/$C$28)*100,1)</f>
        <v>1.1000000000000001</v>
      </c>
    </row>
    <row r="14" spans="1:4" x14ac:dyDescent="0.2">
      <c r="D14" s="132"/>
    </row>
    <row r="15" spans="1:4" x14ac:dyDescent="0.2">
      <c r="A15">
        <v>2100</v>
      </c>
      <c r="B15" t="s">
        <v>706</v>
      </c>
      <c r="C15" s="129">
        <f>ROUND('DOE25'!L203+'DOE25'!L221+'DOE25'!L239+'DOE25'!L282+'DOE25'!L301+'DOE25'!L320,0)</f>
        <v>962963</v>
      </c>
      <c r="D15" s="132">
        <f t="shared" ref="D15:D27" si="0">ROUND((C15/$C$28)*100,1)</f>
        <v>6.3</v>
      </c>
    </row>
    <row r="16" spans="1:4" x14ac:dyDescent="0.2">
      <c r="A16">
        <v>2200</v>
      </c>
      <c r="B16" t="s">
        <v>707</v>
      </c>
      <c r="C16" s="129">
        <f>ROUND('DOE25'!L204+'DOE25'!L222+'DOE25'!L240+'DOE25'!L283+'DOE25'!L302+'DOE25'!L321,0)</f>
        <v>761086</v>
      </c>
      <c r="D16" s="132">
        <f t="shared" si="0"/>
        <v>5</v>
      </c>
    </row>
    <row r="17" spans="1:4" x14ac:dyDescent="0.2">
      <c r="A17" s="133" t="s">
        <v>723</v>
      </c>
      <c r="B17" t="s">
        <v>738</v>
      </c>
      <c r="C17" s="129">
        <f>ROUND('DOE25'!L205+'DOE25'!L210+'DOE25'!L223+'DOE25'!L228+'DOE25'!L241+'DOE25'!L246+'DOE25'!L284+'DOE25'!L289+'DOE25'!L303+'DOE25'!L308+'DOE25'!L322+'DOE25'!L327,0)</f>
        <v>1065695</v>
      </c>
      <c r="D17" s="132">
        <f t="shared" si="0"/>
        <v>6.9</v>
      </c>
    </row>
    <row r="18" spans="1:4" x14ac:dyDescent="0.2">
      <c r="A18">
        <v>2400</v>
      </c>
      <c r="B18" t="s">
        <v>711</v>
      </c>
      <c r="C18" s="129">
        <f>ROUND('DOE25'!L206+'DOE25'!L224+'DOE25'!L242+'DOE25'!L285+'DOE25'!L304+'DOE25'!L323,0)</f>
        <v>664510</v>
      </c>
      <c r="D18" s="132">
        <f t="shared" si="0"/>
        <v>4.3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1076951</v>
      </c>
      <c r="D20" s="132">
        <f t="shared" si="0"/>
        <v>7</v>
      </c>
    </row>
    <row r="21" spans="1:4" x14ac:dyDescent="0.2">
      <c r="A21">
        <v>2700</v>
      </c>
      <c r="B21" t="s">
        <v>710</v>
      </c>
      <c r="C21" s="129">
        <f>ROUND('DOE25'!L209+'DOE25'!L227+'DOE25'!L245+'DOE25'!L288+'DOE25'!L307+'DOE25'!L326,0)</f>
        <v>506458</v>
      </c>
      <c r="D21" s="132">
        <f t="shared" si="0"/>
        <v>3.3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110689.37</v>
      </c>
      <c r="D27" s="132">
        <f t="shared" si="0"/>
        <v>0.7</v>
      </c>
    </row>
    <row r="28" spans="1:4" x14ac:dyDescent="0.2">
      <c r="B28" s="136" t="s">
        <v>719</v>
      </c>
      <c r="C28" s="130">
        <f>SUM(C10:C27)</f>
        <v>15364193.369999999</v>
      </c>
      <c r="D28" s="134">
        <f>ROUND(SUM(D10:D27),0)</f>
        <v>100</v>
      </c>
    </row>
    <row r="29" spans="1:4" x14ac:dyDescent="0.2">
      <c r="A29">
        <v>4000</v>
      </c>
      <c r="B29" t="s">
        <v>724</v>
      </c>
      <c r="C29" s="129">
        <f>ROUND('DOE25'!L256+'DOE25'!L337+'DOE25'!L375+'DOE25'!L376+'DOE25'!L377+'DOE25'!L378+'DOE25'!L379+'DOE25'!L380+'DOE25'!L381,0)</f>
        <v>272425</v>
      </c>
    </row>
    <row r="30" spans="1:4" x14ac:dyDescent="0.2">
      <c r="B30" s="136" t="s">
        <v>725</v>
      </c>
      <c r="C30" s="130">
        <f>SUM(C28:C29)</f>
        <v>15636618.369999999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10365744</v>
      </c>
      <c r="D35" s="132">
        <f t="shared" ref="D35:D40" si="1">ROUND((C35/$C$41)*100,1)</f>
        <v>65.400000000000006</v>
      </c>
    </row>
    <row r="36" spans="1:4" x14ac:dyDescent="0.2">
      <c r="B36" s="71" t="s">
        <v>739</v>
      </c>
      <c r="C36" s="129">
        <f>SUM('DOE25'!F112:J112)-SUM('DOE25'!G97:G110)+('DOE25'!F175+'DOE25'!F176+'DOE25'!I175+'DOE25'!I176)-C35</f>
        <v>412123.96000000089</v>
      </c>
      <c r="D36" s="132">
        <f t="shared" si="1"/>
        <v>2.6</v>
      </c>
    </row>
    <row r="37" spans="1:4" x14ac:dyDescent="0.2">
      <c r="A37" s="133" t="s">
        <v>834</v>
      </c>
      <c r="B37" s="71" t="s">
        <v>728</v>
      </c>
      <c r="C37" s="129">
        <f>ROUND('DOE25'!F117+'DOE25'!F118,0)</f>
        <v>4622172</v>
      </c>
      <c r="D37" s="132">
        <f t="shared" si="1"/>
        <v>29.2</v>
      </c>
    </row>
    <row r="38" spans="1:4" x14ac:dyDescent="0.2">
      <c r="A38" s="133" t="s">
        <v>734</v>
      </c>
      <c r="B38" s="71" t="s">
        <v>729</v>
      </c>
      <c r="C38" s="129">
        <f>ROUND(SUM('DOE25'!F140:J140)-SUM('DOE25'!F117:F119),0)</f>
        <v>183509</v>
      </c>
      <c r="D38" s="132">
        <f t="shared" si="1"/>
        <v>1.2</v>
      </c>
    </row>
    <row r="39" spans="1:4" x14ac:dyDescent="0.2">
      <c r="A39">
        <v>4000</v>
      </c>
      <c r="B39" s="71" t="s">
        <v>730</v>
      </c>
      <c r="C39" s="129">
        <f>ROUND('DOE25'!F170+'DOE25'!G170+'DOE25'!H170+'DOE25'!I170,0)</f>
        <v>268024</v>
      </c>
      <c r="D39" s="132">
        <f t="shared" si="1"/>
        <v>1.7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15851572.960000001</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Rye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257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258</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f>IF('School Level Expenditures'!$B$2=A260,'School Tables'!H260,"")</f>
        <v>257</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f>IF('School Level Expenditures'!$B$2=A261,'School Tables'!H261,"")</f>
        <v>258</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2023-08-29T22:08:35Z</cp:lastPrinted>
  <dcterms:created xsi:type="dcterms:W3CDTF">1997-12-04T19:04:30Z</dcterms:created>
  <dcterms:modified xsi:type="dcterms:W3CDTF">2023-12-29T14:20:27Z</dcterms:modified>
</cp:coreProperties>
</file>